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6.xml" ContentType="application/vnd.openxmlformats-officedocument.spreadsheetml.externalLink+xml"/>
  <Override PartName="/xl/comments7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 firstSheet="24" activeTab="28"/>
  </bookViews>
  <sheets>
    <sheet name="1. Escavad 18 " sheetId="1" r:id="rId1"/>
    <sheet name="2. Escavad 20" sheetId="2" r:id="rId2"/>
    <sheet name="3. Escavad 23" sheetId="3" r:id="rId3"/>
    <sheet name="4. Caminhão Truck 6x2" sheetId="4" r:id="rId4"/>
    <sheet name="5. Caminhão Traçado 6x4" sheetId="5" r:id="rId5"/>
    <sheet name="6. Guincho com Plataforma Desl" sheetId="6" r:id="rId6"/>
    <sheet name="7. Retroescavadeira 4x4" sheetId="7" r:id="rId7"/>
    <sheet name="8. Motoniveladora 17" sheetId="8" r:id="rId8"/>
    <sheet name="9. Trator de Esteira 14" sheetId="9" r:id="rId9"/>
    <sheet name="10. Trator de Esteira 19" sheetId="10" r:id="rId10"/>
    <sheet name="11. Caminhão Içamento S Platafo" sheetId="11" r:id="rId11"/>
    <sheet name="12. Caminhão Guindaste" sheetId="12" r:id="rId12"/>
    <sheet name="13. Guincho com Plataforma Desl" sheetId="13" r:id="rId13"/>
    <sheet name="14. Carreta Prancha" sheetId="14" r:id="rId14"/>
    <sheet name="15. Moto Scraper " sheetId="15" r:id="rId15"/>
    <sheet name="16. Máquina Rolo com espargidor" sheetId="16" r:id="rId16"/>
    <sheet name="17. Rolo Compac. Vibratório" sheetId="17" r:id="rId17"/>
    <sheet name="18. Caminhão Pipa" sheetId="18" r:id="rId18"/>
    <sheet name="19. Rolo Compac. Vibratório 18 " sheetId="19" r:id="rId19"/>
    <sheet name="20. Caminhão Guindaste Articula" sheetId="20" r:id="rId20"/>
    <sheet name="21. Retro Escavadeira com Rompe" sheetId="21" r:id="rId21"/>
    <sheet name="22. Mini Escavadeira" sheetId="22" r:id="rId22"/>
    <sheet name="23. Empilhadeira" sheetId="23" r:id="rId23"/>
    <sheet name="24.Encargos Sociais" sheetId="24" r:id="rId24"/>
    <sheet name="25.CAGED" sheetId="25" r:id="rId25"/>
    <sheet name="26.BDI" sheetId="26" r:id="rId26"/>
    <sheet name="27.Horários" sheetId="27" r:id="rId27"/>
    <sheet name="28. Depreciação" sheetId="28" r:id="rId28"/>
    <sheet name="TAB ANP DIESEL_S10" sheetId="29" r:id="rId29"/>
  </sheets>
  <externalReferences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AbaDeprec">'28. Depreciação'!$A$1</definedName>
    <definedName name="AbaRemun" localSheetId="26">#REF!</definedName>
    <definedName name="AbaRemun">#REF!</definedName>
    <definedName name="_xlnm.Print_Area" localSheetId="0">'1. Escavad 18 '!$A$1:$F$216</definedName>
    <definedName name="_xlnm.Print_Area" localSheetId="9">'10. Trator de Esteira 19'!$A$11:$F$229</definedName>
    <definedName name="_xlnm.Print_Area" localSheetId="10">'[1]11'!$A$11:$F$230</definedName>
    <definedName name="_xlnm.Print_Area" localSheetId="11">'12. Caminhão Guindaste'!$A$11:$F$229</definedName>
    <definedName name="_xlnm.Print_Area" localSheetId="12">'[2]13'!$A$11:$F$230</definedName>
    <definedName name="_xlnm.Print_Area" localSheetId="13">'14. Carreta Prancha'!$A$11:$F$229</definedName>
    <definedName name="_xlnm.Print_Area" localSheetId="14">'15. Moto Scraper '!$A$11:$F$229</definedName>
    <definedName name="_xlnm.Print_Area" localSheetId="15">'16. Máquina Rolo com espargidor'!$A$11:$F$230</definedName>
    <definedName name="_xlnm.Print_Area" localSheetId="16">'17. Rolo Compac. Vibratório'!$A$11:$F$228</definedName>
    <definedName name="_xlnm.Print_Area" localSheetId="17">'18. Caminhão Pipa'!$A$11:$F$229</definedName>
    <definedName name="_xlnm.Print_Area" localSheetId="18">'[3]19. Rolo Compac'!$A$11:$F$229</definedName>
    <definedName name="_xlnm.Print_Area" localSheetId="1">'2. Escavad 20'!$A$1:$F$216</definedName>
    <definedName name="_xlnm.Print_Area" localSheetId="19">'[4]20'!$A$11:$F$230</definedName>
    <definedName name="_xlnm.Print_Area" localSheetId="20">'[5]21'!$A$11:$F$230</definedName>
    <definedName name="_xlnm.Print_Area" localSheetId="21">'22. Mini Escavadeira'!$A$1:$F$216</definedName>
    <definedName name="_xlnm.Print_Area" localSheetId="22">'23. Empilhadeira'!$A$1:$F$216</definedName>
    <definedName name="_xlnm.Print_Area" localSheetId="23">'24.Encargos Sociais'!$A$1:$C$38</definedName>
    <definedName name="_xlnm.Print_Area" localSheetId="25">'26.BDI'!$A$1:$F$21</definedName>
    <definedName name="_xlnm.Print_Area" localSheetId="27">'28. Depreciação'!$A$1:$B$17</definedName>
    <definedName name="_xlnm.Print_Area" localSheetId="2">'3. Escavad 23'!$A$1:$F$216</definedName>
    <definedName name="_xlnm.Print_Area" localSheetId="3">'4. Caminhão Truck 6x2'!$A$11:$F$231</definedName>
    <definedName name="_xlnm.Print_Area" localSheetId="4">'5. Caminhão Traçado 6x4'!$A$11:$F$229</definedName>
    <definedName name="_xlnm.Print_Area" localSheetId="5">'6. Guincho com Plataforma Desl'!$A$11:$F$229</definedName>
    <definedName name="_xlnm.Print_Area" localSheetId="6">'7. Retroescavadeira 4x4'!$A$11:$F$229</definedName>
    <definedName name="_xlnm.Print_Area" localSheetId="7">'8. Motoniveladora 17'!$A$11:$F$229</definedName>
    <definedName name="_xlnm.Print_Area" localSheetId="8">'9. Trator de Esteira 14'!$A$11:$F$229</definedName>
    <definedName name="_xlnm.Print_Area" localSheetId="28">'TAB ANP DIESEL_S10'!$A$1:$F$14</definedName>
    <definedName name="Google_Sheet_Link_1080678013">AbaDeprec</definedName>
    <definedName name="Google_Sheet_Link_1283984240">AbaDeprec</definedName>
    <definedName name="Google_Sheet_Link_1352214653">AbaDeprec</definedName>
    <definedName name="Google_Sheet_Link_1653490250">AbaDeprec</definedName>
    <definedName name="Google_Sheet_Link_1771193190">AbaDeprec</definedName>
    <definedName name="Google_Sheet_Link_1821469400">AbaDeprec</definedName>
    <definedName name="Google_Sheet_Link_188411900">AbaDeprec</definedName>
    <definedName name="Google_Sheet_Link_191308448">AbaDeprec</definedName>
    <definedName name="Google_Sheet_Link_1940138237">AbaDeprec</definedName>
    <definedName name="Google_Sheet_Link_543727741">AbaDeprec</definedName>
    <definedName name="Google_Sheet_Link_570812577">AbaDeprec</definedName>
    <definedName name="Google_Sheet_Link_577369567">AbaDeprec</definedName>
    <definedName name="Google_Sheet_Link_608649082">AbaDeprec</definedName>
    <definedName name="Google_Sheet_Link_968232355">AbaDeprec</definedName>
  </definedNames>
  <calcPr calcId="124519" iterateDelta="1E-4"/>
  <fileRecoveryPr repairLoad="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12" i="27"/>
  <c r="F15" s="1"/>
  <c r="F17" s="1"/>
  <c r="C16" i="26"/>
  <c r="C21" s="1"/>
  <c r="C29" i="25"/>
  <c r="C30" s="1"/>
  <c r="C27"/>
  <c r="C36" i="24"/>
  <c r="C33"/>
  <c r="C26"/>
  <c r="C18"/>
  <c r="C35" s="1"/>
  <c r="C37" s="1"/>
  <c r="C38" s="1"/>
  <c r="E194" i="23"/>
  <c r="D195" s="1"/>
  <c r="E195" s="1"/>
  <c r="D193"/>
  <c r="E193" s="1"/>
  <c r="E192"/>
  <c r="E184"/>
  <c r="E183"/>
  <c r="E181"/>
  <c r="E180"/>
  <c r="E179"/>
  <c r="F185" s="1"/>
  <c r="F187" s="1"/>
  <c r="E20" s="1"/>
  <c r="C171"/>
  <c r="E169"/>
  <c r="C169"/>
  <c r="E167"/>
  <c r="D156"/>
  <c r="E156" s="1"/>
  <c r="F158" s="1"/>
  <c r="E17" s="1"/>
  <c r="C156"/>
  <c r="C162" s="1"/>
  <c r="E162" s="1"/>
  <c r="F163" s="1"/>
  <c r="E18" s="1"/>
  <c r="C139"/>
  <c r="C134"/>
  <c r="D133"/>
  <c r="D128"/>
  <c r="E128" s="1"/>
  <c r="C121"/>
  <c r="C120"/>
  <c r="C117"/>
  <c r="E117" s="1"/>
  <c r="C116"/>
  <c r="D115"/>
  <c r="C115"/>
  <c r="E112"/>
  <c r="E99"/>
  <c r="E98"/>
  <c r="E97"/>
  <c r="E96"/>
  <c r="E95"/>
  <c r="E94"/>
  <c r="E93"/>
  <c r="E92"/>
  <c r="E91"/>
  <c r="E90"/>
  <c r="E80"/>
  <c r="F81" s="1"/>
  <c r="E10" s="1"/>
  <c r="E79"/>
  <c r="E74"/>
  <c r="E73"/>
  <c r="A73"/>
  <c r="E72"/>
  <c r="A72"/>
  <c r="C67"/>
  <c r="E67" s="1"/>
  <c r="D66"/>
  <c r="E66" s="1"/>
  <c r="C66"/>
  <c r="D55"/>
  <c r="E55" s="1"/>
  <c r="C52"/>
  <c r="C49"/>
  <c r="C46"/>
  <c r="E43"/>
  <c r="D43"/>
  <c r="D49" s="1"/>
  <c r="E34"/>
  <c r="A34"/>
  <c r="E28"/>
  <c r="E31" s="1"/>
  <c r="A22"/>
  <c r="A21"/>
  <c r="A20"/>
  <c r="A19"/>
  <c r="A18"/>
  <c r="A17"/>
  <c r="A16"/>
  <c r="A13"/>
  <c r="A12"/>
  <c r="A11"/>
  <c r="A10"/>
  <c r="A9"/>
  <c r="A8"/>
  <c r="A7"/>
  <c r="A6"/>
  <c r="E194" i="22"/>
  <c r="D195" s="1"/>
  <c r="E195" s="1"/>
  <c r="E192"/>
  <c r="D193" s="1"/>
  <c r="E193" s="1"/>
  <c r="E184"/>
  <c r="E183"/>
  <c r="E181"/>
  <c r="E180"/>
  <c r="E179"/>
  <c r="C171"/>
  <c r="C169"/>
  <c r="E169" s="1"/>
  <c r="D170" s="1"/>
  <c r="E170" s="1"/>
  <c r="D171" s="1"/>
  <c r="E167"/>
  <c r="D156"/>
  <c r="C156"/>
  <c r="C162" s="1"/>
  <c r="E162" s="1"/>
  <c r="F163" s="1"/>
  <c r="E18" s="1"/>
  <c r="C146"/>
  <c r="C139"/>
  <c r="C134"/>
  <c r="D133"/>
  <c r="D128"/>
  <c r="D146" s="1"/>
  <c r="E146" s="1"/>
  <c r="D147" s="1"/>
  <c r="E147" s="1"/>
  <c r="C121"/>
  <c r="C120"/>
  <c r="C117"/>
  <c r="C133" s="1"/>
  <c r="E133" s="1"/>
  <c r="C116"/>
  <c r="C115"/>
  <c r="E112"/>
  <c r="E99"/>
  <c r="E98"/>
  <c r="E97"/>
  <c r="E96"/>
  <c r="E95"/>
  <c r="E94"/>
  <c r="E93"/>
  <c r="E92"/>
  <c r="E91"/>
  <c r="E90"/>
  <c r="E80"/>
  <c r="E79"/>
  <c r="F81" s="1"/>
  <c r="E10" s="1"/>
  <c r="E74"/>
  <c r="E73"/>
  <c r="A73"/>
  <c r="E72"/>
  <c r="A72"/>
  <c r="E67"/>
  <c r="C67"/>
  <c r="D66"/>
  <c r="C66"/>
  <c r="E66" s="1"/>
  <c r="D55"/>
  <c r="E55" s="1"/>
  <c r="C52"/>
  <c r="C49"/>
  <c r="C46"/>
  <c r="D43"/>
  <c r="D50" s="1"/>
  <c r="E50" s="1"/>
  <c r="E34"/>
  <c r="A34"/>
  <c r="E31"/>
  <c r="E28"/>
  <c r="C100" s="1"/>
  <c r="A22"/>
  <c r="A21"/>
  <c r="A20"/>
  <c r="A19"/>
  <c r="A18"/>
  <c r="A17"/>
  <c r="A16"/>
  <c r="A13"/>
  <c r="A12"/>
  <c r="A11"/>
  <c r="A10"/>
  <c r="A9"/>
  <c r="A8"/>
  <c r="A7"/>
  <c r="A6"/>
  <c r="E207" i="21"/>
  <c r="D208" s="1"/>
  <c r="E208" s="1"/>
  <c r="D206"/>
  <c r="E206" s="1"/>
  <c r="E205"/>
  <c r="E197"/>
  <c r="E196"/>
  <c r="E194"/>
  <c r="E193"/>
  <c r="E192"/>
  <c r="C184"/>
  <c r="E182"/>
  <c r="D183" s="1"/>
  <c r="E183" s="1"/>
  <c r="D184" s="1"/>
  <c r="E184" s="1"/>
  <c r="F185" s="1"/>
  <c r="E29" s="1"/>
  <c r="C182"/>
  <c r="E180"/>
  <c r="D169"/>
  <c r="C169"/>
  <c r="C175" s="1"/>
  <c r="E175" s="1"/>
  <c r="F176" s="1"/>
  <c r="E28" s="1"/>
  <c r="D158"/>
  <c r="E158" s="1"/>
  <c r="C157"/>
  <c r="E157" s="1"/>
  <c r="C156"/>
  <c r="E156" s="1"/>
  <c r="C149"/>
  <c r="C144"/>
  <c r="D143"/>
  <c r="C143"/>
  <c r="E143" s="1"/>
  <c r="D138"/>
  <c r="E138" s="1"/>
  <c r="C131"/>
  <c r="C130"/>
  <c r="C127"/>
  <c r="E127" s="1"/>
  <c r="C126"/>
  <c r="D125"/>
  <c r="C125"/>
  <c r="E122"/>
  <c r="E109"/>
  <c r="E108"/>
  <c r="E107"/>
  <c r="E106"/>
  <c r="E105"/>
  <c r="E104"/>
  <c r="E103"/>
  <c r="E102"/>
  <c r="E101"/>
  <c r="E100"/>
  <c r="E90"/>
  <c r="E89"/>
  <c r="F91" s="1"/>
  <c r="E20" s="1"/>
  <c r="E84"/>
  <c r="E83"/>
  <c r="A83"/>
  <c r="E82"/>
  <c r="A82"/>
  <c r="C77"/>
  <c r="E77" s="1"/>
  <c r="D76"/>
  <c r="C76"/>
  <c r="E76" s="1"/>
  <c r="E65"/>
  <c r="D65"/>
  <c r="D62"/>
  <c r="E62" s="1"/>
  <c r="C62"/>
  <c r="C59"/>
  <c r="C56"/>
  <c r="E53"/>
  <c r="D53"/>
  <c r="D59" s="1"/>
  <c r="E44"/>
  <c r="A44"/>
  <c r="E38"/>
  <c r="E41" s="1"/>
  <c r="A38"/>
  <c r="A32"/>
  <c r="A31"/>
  <c r="A30"/>
  <c r="A29"/>
  <c r="A28"/>
  <c r="A27"/>
  <c r="A26"/>
  <c r="A23"/>
  <c r="A22"/>
  <c r="A21"/>
  <c r="A20"/>
  <c r="A19"/>
  <c r="A18"/>
  <c r="A17"/>
  <c r="A16"/>
  <c r="D208" i="20"/>
  <c r="E208" s="1"/>
  <c r="E207"/>
  <c r="E205"/>
  <c r="D206" s="1"/>
  <c r="E206" s="1"/>
  <c r="E197"/>
  <c r="E196"/>
  <c r="E194"/>
  <c r="E193"/>
  <c r="E192"/>
  <c r="C184"/>
  <c r="E184" s="1"/>
  <c r="F185" s="1"/>
  <c r="E29" s="1"/>
  <c r="C182"/>
  <c r="E182" s="1"/>
  <c r="E180"/>
  <c r="D183" s="1"/>
  <c r="E183" s="1"/>
  <c r="D184" s="1"/>
  <c r="D169"/>
  <c r="C169"/>
  <c r="E169" s="1"/>
  <c r="F171" s="1"/>
  <c r="E27" s="1"/>
  <c r="D158"/>
  <c r="E158" s="1"/>
  <c r="C157"/>
  <c r="E157" s="1"/>
  <c r="E156"/>
  <c r="C156"/>
  <c r="C149"/>
  <c r="C144"/>
  <c r="D143"/>
  <c r="D138"/>
  <c r="E138" s="1"/>
  <c r="C131"/>
  <c r="C130"/>
  <c r="C127"/>
  <c r="E127" s="1"/>
  <c r="D130" s="1"/>
  <c r="C126"/>
  <c r="C125"/>
  <c r="E122"/>
  <c r="D125" s="1"/>
  <c r="E109"/>
  <c r="E108"/>
  <c r="E107"/>
  <c r="E106"/>
  <c r="E105"/>
  <c r="E104"/>
  <c r="E103"/>
  <c r="E102"/>
  <c r="E101"/>
  <c r="E100"/>
  <c r="E90"/>
  <c r="E89"/>
  <c r="E84"/>
  <c r="E83"/>
  <c r="A83"/>
  <c r="E82"/>
  <c r="F85" s="1"/>
  <c r="E19" s="1"/>
  <c r="A82"/>
  <c r="C77"/>
  <c r="E77" s="1"/>
  <c r="D76"/>
  <c r="E76" s="1"/>
  <c r="C76"/>
  <c r="D65"/>
  <c r="E65" s="1"/>
  <c r="C62"/>
  <c r="C59"/>
  <c r="C56"/>
  <c r="D53"/>
  <c r="D56" s="1"/>
  <c r="E56" s="1"/>
  <c r="E44"/>
  <c r="A44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E206" i="19"/>
  <c r="D207" s="1"/>
  <c r="E207" s="1"/>
  <c r="E204"/>
  <c r="D205" s="1"/>
  <c r="E205" s="1"/>
  <c r="E196"/>
  <c r="E195"/>
  <c r="E193"/>
  <c r="E192"/>
  <c r="E191"/>
  <c r="C183"/>
  <c r="C181"/>
  <c r="E181" s="1"/>
  <c r="E179"/>
  <c r="D168"/>
  <c r="C168"/>
  <c r="E168" s="1"/>
  <c r="F170" s="1"/>
  <c r="E27" s="1"/>
  <c r="E158"/>
  <c r="D158"/>
  <c r="C157"/>
  <c r="E157" s="1"/>
  <c r="E156"/>
  <c r="D159" s="1"/>
  <c r="E159" s="1"/>
  <c r="C156"/>
  <c r="C149"/>
  <c r="C144"/>
  <c r="D143"/>
  <c r="D138"/>
  <c r="E138" s="1"/>
  <c r="C131"/>
  <c r="C130"/>
  <c r="E127"/>
  <c r="C127"/>
  <c r="C143" s="1"/>
  <c r="C126"/>
  <c r="C125"/>
  <c r="E122"/>
  <c r="E109"/>
  <c r="E108"/>
  <c r="E107"/>
  <c r="E106"/>
  <c r="E105"/>
  <c r="E104"/>
  <c r="E103"/>
  <c r="E102"/>
  <c r="E101"/>
  <c r="E100"/>
  <c r="E90"/>
  <c r="E89"/>
  <c r="F91" s="1"/>
  <c r="E20" s="1"/>
  <c r="E84"/>
  <c r="E83"/>
  <c r="A83"/>
  <c r="E82"/>
  <c r="F85" s="1"/>
  <c r="E19" s="1"/>
  <c r="A82"/>
  <c r="E77"/>
  <c r="C77"/>
  <c r="D76"/>
  <c r="C76"/>
  <c r="D65"/>
  <c r="E65" s="1"/>
  <c r="C62"/>
  <c r="C59"/>
  <c r="C56"/>
  <c r="D53"/>
  <c r="D60" s="1"/>
  <c r="E60" s="1"/>
  <c r="E44"/>
  <c r="A44"/>
  <c r="E41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E207" i="18"/>
  <c r="D208" s="1"/>
  <c r="E208" s="1"/>
  <c r="E205"/>
  <c r="D206" s="1"/>
  <c r="E206" s="1"/>
  <c r="E197"/>
  <c r="E196"/>
  <c r="E194"/>
  <c r="E193"/>
  <c r="F198" s="1"/>
  <c r="F200" s="1"/>
  <c r="E30" s="1"/>
  <c r="E192"/>
  <c r="C184"/>
  <c r="C182"/>
  <c r="E182" s="1"/>
  <c r="E180"/>
  <c r="D169"/>
  <c r="C169"/>
  <c r="C175" s="1"/>
  <c r="E175" s="1"/>
  <c r="F176" s="1"/>
  <c r="E28" s="1"/>
  <c r="D158"/>
  <c r="E158" s="1"/>
  <c r="C157"/>
  <c r="E157" s="1"/>
  <c r="C156"/>
  <c r="E156" s="1"/>
  <c r="C149"/>
  <c r="C144"/>
  <c r="D143"/>
  <c r="D138"/>
  <c r="E138" s="1"/>
  <c r="C131"/>
  <c r="C130"/>
  <c r="C127"/>
  <c r="C143" s="1"/>
  <c r="E143" s="1"/>
  <c r="C126"/>
  <c r="C125"/>
  <c r="E122"/>
  <c r="D125" s="1"/>
  <c r="E109"/>
  <c r="E108"/>
  <c r="E107"/>
  <c r="E106"/>
  <c r="E105"/>
  <c r="E104"/>
  <c r="E103"/>
  <c r="E102"/>
  <c r="E101"/>
  <c r="E100"/>
  <c r="E90"/>
  <c r="F91" s="1"/>
  <c r="E20" s="1"/>
  <c r="E89"/>
  <c r="E84"/>
  <c r="E83"/>
  <c r="A83"/>
  <c r="E82"/>
  <c r="F85" s="1"/>
  <c r="E19" s="1"/>
  <c r="A82"/>
  <c r="C77"/>
  <c r="E77" s="1"/>
  <c r="D76"/>
  <c r="E76" s="1"/>
  <c r="C76"/>
  <c r="D65"/>
  <c r="E65" s="1"/>
  <c r="C62"/>
  <c r="C59"/>
  <c r="C56"/>
  <c r="D53"/>
  <c r="D60" s="1"/>
  <c r="E60" s="1"/>
  <c r="E44"/>
  <c r="A44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E206" i="17"/>
  <c r="D207" s="1"/>
  <c r="E207" s="1"/>
  <c r="E204"/>
  <c r="D205" s="1"/>
  <c r="E205" s="1"/>
  <c r="E196"/>
  <c r="E195"/>
  <c r="E193"/>
  <c r="E192"/>
  <c r="E191"/>
  <c r="C183"/>
  <c r="C181"/>
  <c r="E181" s="1"/>
  <c r="E179"/>
  <c r="D168"/>
  <c r="C168"/>
  <c r="C174" s="1"/>
  <c r="E174" s="1"/>
  <c r="F175" s="1"/>
  <c r="E28" s="1"/>
  <c r="E158"/>
  <c r="D158"/>
  <c r="E157"/>
  <c r="C157"/>
  <c r="E156"/>
  <c r="D159" s="1"/>
  <c r="E159" s="1"/>
  <c r="C156"/>
  <c r="C149"/>
  <c r="C144"/>
  <c r="E143"/>
  <c r="D143"/>
  <c r="C143"/>
  <c r="D138"/>
  <c r="E138" s="1"/>
  <c r="C131"/>
  <c r="C130"/>
  <c r="E127"/>
  <c r="C127"/>
  <c r="C126"/>
  <c r="C125"/>
  <c r="E122"/>
  <c r="E109"/>
  <c r="E108"/>
  <c r="E107"/>
  <c r="E106"/>
  <c r="E105"/>
  <c r="E104"/>
  <c r="E103"/>
  <c r="E102"/>
  <c r="E101"/>
  <c r="E100"/>
  <c r="E90"/>
  <c r="E89"/>
  <c r="E84"/>
  <c r="E83"/>
  <c r="A83"/>
  <c r="E82"/>
  <c r="A82"/>
  <c r="C77"/>
  <c r="E77" s="1"/>
  <c r="D76"/>
  <c r="C76"/>
  <c r="D65"/>
  <c r="E65" s="1"/>
  <c r="C62"/>
  <c r="C59"/>
  <c r="C56"/>
  <c r="D53"/>
  <c r="D59" s="1"/>
  <c r="E59" s="1"/>
  <c r="E44"/>
  <c r="A44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C219" i="16"/>
  <c r="E208"/>
  <c r="D209" s="1"/>
  <c r="E209" s="1"/>
  <c r="D207"/>
  <c r="E207" s="1"/>
  <c r="E206"/>
  <c r="E198"/>
  <c r="E197"/>
  <c r="E195"/>
  <c r="E194"/>
  <c r="E193"/>
  <c r="C185"/>
  <c r="E183"/>
  <c r="C183"/>
  <c r="E181"/>
  <c r="D170"/>
  <c r="C170"/>
  <c r="C176" s="1"/>
  <c r="E176" s="1"/>
  <c r="F177" s="1"/>
  <c r="E28" s="1"/>
  <c r="E160"/>
  <c r="C160"/>
  <c r="C159"/>
  <c r="E159" s="1"/>
  <c r="E158"/>
  <c r="C158"/>
  <c r="C157"/>
  <c r="E157" s="1"/>
  <c r="E156"/>
  <c r="C156"/>
  <c r="C149"/>
  <c r="C144"/>
  <c r="D143"/>
  <c r="D138"/>
  <c r="E138" s="1"/>
  <c r="C131"/>
  <c r="C130"/>
  <c r="C127"/>
  <c r="E127" s="1"/>
  <c r="C126"/>
  <c r="C125"/>
  <c r="E122"/>
  <c r="D125" s="1"/>
  <c r="E109"/>
  <c r="E108"/>
  <c r="E107"/>
  <c r="E106"/>
  <c r="E105"/>
  <c r="E104"/>
  <c r="E103"/>
  <c r="E102"/>
  <c r="E101"/>
  <c r="E100"/>
  <c r="D110" s="1"/>
  <c r="E90"/>
  <c r="F91" s="1"/>
  <c r="E20" s="1"/>
  <c r="E89"/>
  <c r="E84"/>
  <c r="E83"/>
  <c r="A83"/>
  <c r="E82"/>
  <c r="A82"/>
  <c r="E77"/>
  <c r="C77"/>
  <c r="D76"/>
  <c r="E76" s="1"/>
  <c r="C76"/>
  <c r="C67"/>
  <c r="D65"/>
  <c r="E65" s="1"/>
  <c r="C62"/>
  <c r="C59"/>
  <c r="C56"/>
  <c r="D53"/>
  <c r="D59" s="1"/>
  <c r="B47"/>
  <c r="E134" s="1"/>
  <c r="E152" s="1"/>
  <c r="E44"/>
  <c r="A44"/>
  <c r="E41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C218" i="15"/>
  <c r="E207"/>
  <c r="D208" s="1"/>
  <c r="E208" s="1"/>
  <c r="E205"/>
  <c r="D206" s="1"/>
  <c r="E206" s="1"/>
  <c r="E197"/>
  <c r="E196"/>
  <c r="E194"/>
  <c r="E193"/>
  <c r="F198" s="1"/>
  <c r="F200" s="1"/>
  <c r="E30" s="1"/>
  <c r="E192"/>
  <c r="C184"/>
  <c r="C182"/>
  <c r="E182" s="1"/>
  <c r="E180"/>
  <c r="D183" s="1"/>
  <c r="E183" s="1"/>
  <c r="D184" s="1"/>
  <c r="D169"/>
  <c r="C169"/>
  <c r="D158"/>
  <c r="E158" s="1"/>
  <c r="C157"/>
  <c r="E157" s="1"/>
  <c r="C156"/>
  <c r="E156" s="1"/>
  <c r="C149"/>
  <c r="C144"/>
  <c r="D143"/>
  <c r="D138"/>
  <c r="E138" s="1"/>
  <c r="C131"/>
  <c r="C130"/>
  <c r="C127"/>
  <c r="C143" s="1"/>
  <c r="E143" s="1"/>
  <c r="C126"/>
  <c r="C125"/>
  <c r="E122"/>
  <c r="E109"/>
  <c r="E108"/>
  <c r="E107"/>
  <c r="E106"/>
  <c r="E105"/>
  <c r="E104"/>
  <c r="E103"/>
  <c r="E102"/>
  <c r="E101"/>
  <c r="E100"/>
  <c r="D110" s="1"/>
  <c r="E90"/>
  <c r="E89"/>
  <c r="E84"/>
  <c r="E83"/>
  <c r="A83"/>
  <c r="E82"/>
  <c r="A82"/>
  <c r="E77"/>
  <c r="C77"/>
  <c r="D76"/>
  <c r="C76"/>
  <c r="E76" s="1"/>
  <c r="C67"/>
  <c r="D65"/>
  <c r="E65" s="1"/>
  <c r="C62"/>
  <c r="C59"/>
  <c r="C56"/>
  <c r="D53"/>
  <c r="D56" s="1"/>
  <c r="E56" s="1"/>
  <c r="B47"/>
  <c r="E111" s="1"/>
  <c r="E44"/>
  <c r="A44"/>
  <c r="E41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C218" i="14"/>
  <c r="E207"/>
  <c r="D208" s="1"/>
  <c r="E208" s="1"/>
  <c r="E205"/>
  <c r="D206" s="1"/>
  <c r="E206" s="1"/>
  <c r="E197"/>
  <c r="E196"/>
  <c r="E194"/>
  <c r="E193"/>
  <c r="E192"/>
  <c r="C184"/>
  <c r="C182"/>
  <c r="E182" s="1"/>
  <c r="E180"/>
  <c r="E169"/>
  <c r="F171" s="1"/>
  <c r="E27" s="1"/>
  <c r="D169"/>
  <c r="C169"/>
  <c r="C175" s="1"/>
  <c r="E175" s="1"/>
  <c r="F176" s="1"/>
  <c r="E28" s="1"/>
  <c r="D158"/>
  <c r="E158" s="1"/>
  <c r="C157"/>
  <c r="E157" s="1"/>
  <c r="C156"/>
  <c r="E156" s="1"/>
  <c r="C149"/>
  <c r="C144"/>
  <c r="D143"/>
  <c r="D138"/>
  <c r="E138" s="1"/>
  <c r="C131"/>
  <c r="C130"/>
  <c r="C127"/>
  <c r="C143" s="1"/>
  <c r="E143" s="1"/>
  <c r="C126"/>
  <c r="C125"/>
  <c r="E122"/>
  <c r="C140" s="1"/>
  <c r="C141" s="1"/>
  <c r="D142" s="1"/>
  <c r="E142" s="1"/>
  <c r="D149" s="1"/>
  <c r="E149" s="1"/>
  <c r="E109"/>
  <c r="E108"/>
  <c r="E107"/>
  <c r="E106"/>
  <c r="E105"/>
  <c r="E104"/>
  <c r="E103"/>
  <c r="E102"/>
  <c r="E101"/>
  <c r="E100"/>
  <c r="E90"/>
  <c r="E89"/>
  <c r="F91" s="1"/>
  <c r="E20" s="1"/>
  <c r="E84"/>
  <c r="E83"/>
  <c r="A83"/>
  <c r="E82"/>
  <c r="A82"/>
  <c r="C77"/>
  <c r="E77" s="1"/>
  <c r="D76"/>
  <c r="C76"/>
  <c r="E76" s="1"/>
  <c r="C67"/>
  <c r="D65"/>
  <c r="E65" s="1"/>
  <c r="C62"/>
  <c r="C59"/>
  <c r="C56"/>
  <c r="D53"/>
  <c r="D60" s="1"/>
  <c r="E60" s="1"/>
  <c r="B47"/>
  <c r="E134" s="1"/>
  <c r="E152" s="1"/>
  <c r="E44"/>
  <c r="A44"/>
  <c r="E41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C218" i="13"/>
  <c r="E207"/>
  <c r="D208" s="1"/>
  <c r="E208" s="1"/>
  <c r="E205"/>
  <c r="D206" s="1"/>
  <c r="E206" s="1"/>
  <c r="E197"/>
  <c r="E196"/>
  <c r="E194"/>
  <c r="E193"/>
  <c r="E192"/>
  <c r="F198" s="1"/>
  <c r="F200" s="1"/>
  <c r="E30" s="1"/>
  <c r="C184"/>
  <c r="C182"/>
  <c r="E182" s="1"/>
  <c r="E180"/>
  <c r="D169"/>
  <c r="C169"/>
  <c r="C175" s="1"/>
  <c r="E175" s="1"/>
  <c r="F176" s="1"/>
  <c r="E28" s="1"/>
  <c r="E158"/>
  <c r="D158"/>
  <c r="E157"/>
  <c r="C157"/>
  <c r="C156"/>
  <c r="E156" s="1"/>
  <c r="D159" s="1"/>
  <c r="E159" s="1"/>
  <c r="C149"/>
  <c r="C144"/>
  <c r="D143"/>
  <c r="D138"/>
  <c r="E138" s="1"/>
  <c r="C131"/>
  <c r="C130"/>
  <c r="C127"/>
  <c r="C143" s="1"/>
  <c r="E143" s="1"/>
  <c r="C126"/>
  <c r="C125"/>
  <c r="E122"/>
  <c r="E109"/>
  <c r="E108"/>
  <c r="E107"/>
  <c r="E106"/>
  <c r="E105"/>
  <c r="E104"/>
  <c r="E103"/>
  <c r="E102"/>
  <c r="E101"/>
  <c r="E100"/>
  <c r="E90"/>
  <c r="E89"/>
  <c r="E84"/>
  <c r="E83"/>
  <c r="A83"/>
  <c r="E82"/>
  <c r="F85" s="1"/>
  <c r="E19" s="1"/>
  <c r="A82"/>
  <c r="C77"/>
  <c r="E77" s="1"/>
  <c r="D76"/>
  <c r="C76"/>
  <c r="E76" s="1"/>
  <c r="C67"/>
  <c r="D65"/>
  <c r="E65" s="1"/>
  <c r="C62"/>
  <c r="C59"/>
  <c r="C56"/>
  <c r="D53"/>
  <c r="D62" s="1"/>
  <c r="B47"/>
  <c r="E111" s="1"/>
  <c r="E44"/>
  <c r="A44"/>
  <c r="E41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C218" i="12"/>
  <c r="E207"/>
  <c r="D208" s="1"/>
  <c r="E208" s="1"/>
  <c r="E205"/>
  <c r="D206" s="1"/>
  <c r="E206" s="1"/>
  <c r="E197"/>
  <c r="E196"/>
  <c r="E194"/>
  <c r="E193"/>
  <c r="E192"/>
  <c r="C184"/>
  <c r="C182"/>
  <c r="E182" s="1"/>
  <c r="E180"/>
  <c r="D169"/>
  <c r="E169" s="1"/>
  <c r="F171" s="1"/>
  <c r="E27" s="1"/>
  <c r="C169"/>
  <c r="C175" s="1"/>
  <c r="E175" s="1"/>
  <c r="F176" s="1"/>
  <c r="E28" s="1"/>
  <c r="D158"/>
  <c r="E158" s="1"/>
  <c r="E157"/>
  <c r="C157"/>
  <c r="C156"/>
  <c r="E156" s="1"/>
  <c r="C149"/>
  <c r="C144"/>
  <c r="D143"/>
  <c r="D138"/>
  <c r="E138" s="1"/>
  <c r="E134"/>
  <c r="E152" s="1"/>
  <c r="C131"/>
  <c r="C130"/>
  <c r="C127"/>
  <c r="E127" s="1"/>
  <c r="D130" s="1"/>
  <c r="C126"/>
  <c r="C125"/>
  <c r="E122"/>
  <c r="D125" s="1"/>
  <c r="E111"/>
  <c r="E109"/>
  <c r="E108"/>
  <c r="E107"/>
  <c r="E106"/>
  <c r="E105"/>
  <c r="E104"/>
  <c r="E103"/>
  <c r="E102"/>
  <c r="E101"/>
  <c r="E100"/>
  <c r="F91"/>
  <c r="E20" s="1"/>
  <c r="E90"/>
  <c r="E89"/>
  <c r="E84"/>
  <c r="E83"/>
  <c r="A83"/>
  <c r="E82"/>
  <c r="A82"/>
  <c r="E77"/>
  <c r="C77"/>
  <c r="D76"/>
  <c r="C76"/>
  <c r="E76" s="1"/>
  <c r="E70"/>
  <c r="D65"/>
  <c r="E65" s="1"/>
  <c r="D62"/>
  <c r="C62"/>
  <c r="C59"/>
  <c r="C56"/>
  <c r="E53"/>
  <c r="D53"/>
  <c r="D56" s="1"/>
  <c r="E56" s="1"/>
  <c r="E44"/>
  <c r="A44"/>
  <c r="E41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C218" i="11"/>
  <c r="D208"/>
  <c r="E208" s="1"/>
  <c r="E207"/>
  <c r="E205"/>
  <c r="D206" s="1"/>
  <c r="E206" s="1"/>
  <c r="E197"/>
  <c r="E196"/>
  <c r="E194"/>
  <c r="E193"/>
  <c r="F198" s="1"/>
  <c r="F200" s="1"/>
  <c r="E30" s="1"/>
  <c r="E192"/>
  <c r="C184"/>
  <c r="E184" s="1"/>
  <c r="F185" s="1"/>
  <c r="E29" s="1"/>
  <c r="C182"/>
  <c r="E182" s="1"/>
  <c r="D183" s="1"/>
  <c r="E183" s="1"/>
  <c r="D184" s="1"/>
  <c r="E180"/>
  <c r="E169"/>
  <c r="F171" s="1"/>
  <c r="E27" s="1"/>
  <c r="D169"/>
  <c r="C169"/>
  <c r="C175" s="1"/>
  <c r="E175" s="1"/>
  <c r="F176" s="1"/>
  <c r="E28" s="1"/>
  <c r="D158"/>
  <c r="E158" s="1"/>
  <c r="E157"/>
  <c r="C157"/>
  <c r="C156"/>
  <c r="E156" s="1"/>
  <c r="C149"/>
  <c r="C144"/>
  <c r="D143"/>
  <c r="E138"/>
  <c r="D138"/>
  <c r="C131"/>
  <c r="C130"/>
  <c r="C127"/>
  <c r="C126"/>
  <c r="D125"/>
  <c r="C125"/>
  <c r="E125" s="1"/>
  <c r="D126" s="1"/>
  <c r="E126" s="1"/>
  <c r="E122"/>
  <c r="E109"/>
  <c r="E108"/>
  <c r="E107"/>
  <c r="E106"/>
  <c r="E105"/>
  <c r="E104"/>
  <c r="E103"/>
  <c r="E102"/>
  <c r="E101"/>
  <c r="E100"/>
  <c r="D110" s="1"/>
  <c r="E90"/>
  <c r="E89"/>
  <c r="F91" s="1"/>
  <c r="E20" s="1"/>
  <c r="E84"/>
  <c r="E83"/>
  <c r="A83"/>
  <c r="E82"/>
  <c r="F85" s="1"/>
  <c r="E19" s="1"/>
  <c r="A82"/>
  <c r="C77"/>
  <c r="E77" s="1"/>
  <c r="D76"/>
  <c r="C76"/>
  <c r="E76" s="1"/>
  <c r="C67"/>
  <c r="D65"/>
  <c r="E65" s="1"/>
  <c r="C62"/>
  <c r="C59"/>
  <c r="C56"/>
  <c r="D53"/>
  <c r="D59" s="1"/>
  <c r="B47"/>
  <c r="E44"/>
  <c r="A44"/>
  <c r="E38"/>
  <c r="A38"/>
  <c r="A32"/>
  <c r="A31"/>
  <c r="A30"/>
  <c r="A29"/>
  <c r="A28"/>
  <c r="A27"/>
  <c r="A26"/>
  <c r="A23"/>
  <c r="A22"/>
  <c r="A21"/>
  <c r="A20"/>
  <c r="A19"/>
  <c r="A18"/>
  <c r="A17"/>
  <c r="A16"/>
  <c r="C218" i="10"/>
  <c r="E207"/>
  <c r="D208" s="1"/>
  <c r="E208" s="1"/>
  <c r="D206"/>
  <c r="E206" s="1"/>
  <c r="E205"/>
  <c r="E197"/>
  <c r="E196"/>
  <c r="E194"/>
  <c r="E193"/>
  <c r="E192"/>
  <c r="C184"/>
  <c r="E182"/>
  <c r="C182"/>
  <c r="E180"/>
  <c r="E175"/>
  <c r="F176" s="1"/>
  <c r="E28" s="1"/>
  <c r="D169"/>
  <c r="C169"/>
  <c r="C175" s="1"/>
  <c r="E158"/>
  <c r="D158"/>
  <c r="C157"/>
  <c r="E157" s="1"/>
  <c r="D159" s="1"/>
  <c r="E159" s="1"/>
  <c r="E156"/>
  <c r="C156"/>
  <c r="C149"/>
  <c r="C144"/>
  <c r="D143"/>
  <c r="E138"/>
  <c r="D138"/>
  <c r="C131"/>
  <c r="C130"/>
  <c r="C127"/>
  <c r="C143" s="1"/>
  <c r="E143" s="1"/>
  <c r="C126"/>
  <c r="D125"/>
  <c r="C125"/>
  <c r="E122"/>
  <c r="E109"/>
  <c r="E108"/>
  <c r="E107"/>
  <c r="E106"/>
  <c r="E105"/>
  <c r="E104"/>
  <c r="E103"/>
  <c r="E102"/>
  <c r="E101"/>
  <c r="E100"/>
  <c r="F91"/>
  <c r="E20" s="1"/>
  <c r="E90"/>
  <c r="E89"/>
  <c r="E84"/>
  <c r="E83"/>
  <c r="A83"/>
  <c r="E82"/>
  <c r="A82"/>
  <c r="E77"/>
  <c r="C77"/>
  <c r="D76"/>
  <c r="C76"/>
  <c r="E76" s="1"/>
  <c r="C67"/>
  <c r="D65"/>
  <c r="E65" s="1"/>
  <c r="C62"/>
  <c r="D60"/>
  <c r="E60" s="1"/>
  <c r="C59"/>
  <c r="C56"/>
  <c r="E53"/>
  <c r="D53"/>
  <c r="D59" s="1"/>
  <c r="B47"/>
  <c r="E134" s="1"/>
  <c r="E152" s="1"/>
  <c r="E44"/>
  <c r="A44"/>
  <c r="E41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C218" i="9"/>
  <c r="E207"/>
  <c r="D208" s="1"/>
  <c r="E208" s="1"/>
  <c r="E205"/>
  <c r="D206" s="1"/>
  <c r="E206" s="1"/>
  <c r="E197"/>
  <c r="E196"/>
  <c r="E194"/>
  <c r="E193"/>
  <c r="E192"/>
  <c r="C184"/>
  <c r="C182"/>
  <c r="E182" s="1"/>
  <c r="E180"/>
  <c r="C175"/>
  <c r="E175" s="1"/>
  <c r="F176" s="1"/>
  <c r="D169"/>
  <c r="C169"/>
  <c r="E158"/>
  <c r="D158"/>
  <c r="C157"/>
  <c r="E157" s="1"/>
  <c r="C156"/>
  <c r="E156" s="1"/>
  <c r="C149"/>
  <c r="C144"/>
  <c r="D143"/>
  <c r="E138"/>
  <c r="D138"/>
  <c r="C131"/>
  <c r="C130"/>
  <c r="E127"/>
  <c r="C127"/>
  <c r="C143" s="1"/>
  <c r="E143" s="1"/>
  <c r="C126"/>
  <c r="C125"/>
  <c r="E122"/>
  <c r="E109"/>
  <c r="E108"/>
  <c r="E107"/>
  <c r="E106"/>
  <c r="E105"/>
  <c r="E104"/>
  <c r="E103"/>
  <c r="E102"/>
  <c r="E101"/>
  <c r="E100"/>
  <c r="E90"/>
  <c r="E89"/>
  <c r="E84"/>
  <c r="E83"/>
  <c r="A83"/>
  <c r="E82"/>
  <c r="F85" s="1"/>
  <c r="E19" s="1"/>
  <c r="A82"/>
  <c r="C77"/>
  <c r="E77" s="1"/>
  <c r="D76"/>
  <c r="C76"/>
  <c r="C67"/>
  <c r="D65"/>
  <c r="E65" s="1"/>
  <c r="D62"/>
  <c r="C62"/>
  <c r="C59"/>
  <c r="D56"/>
  <c r="E56" s="1"/>
  <c r="C56"/>
  <c r="D53"/>
  <c r="D60" s="1"/>
  <c r="E60" s="1"/>
  <c r="B47"/>
  <c r="E111" s="1"/>
  <c r="E44"/>
  <c r="A44"/>
  <c r="E38"/>
  <c r="C110" s="1"/>
  <c r="A38"/>
  <c r="A32"/>
  <c r="A31"/>
  <c r="A30"/>
  <c r="A29"/>
  <c r="E28"/>
  <c r="A28"/>
  <c r="A27"/>
  <c r="A26"/>
  <c r="A23"/>
  <c r="A22"/>
  <c r="A21"/>
  <c r="A20"/>
  <c r="A19"/>
  <c r="A18"/>
  <c r="A17"/>
  <c r="A16"/>
  <c r="C218" i="8"/>
  <c r="E207"/>
  <c r="D208" s="1"/>
  <c r="E208" s="1"/>
  <c r="E205"/>
  <c r="D206" s="1"/>
  <c r="E206" s="1"/>
  <c r="E197"/>
  <c r="E196"/>
  <c r="E194"/>
  <c r="E193"/>
  <c r="E192"/>
  <c r="F198" s="1"/>
  <c r="F200" s="1"/>
  <c r="E30" s="1"/>
  <c r="C184"/>
  <c r="C182"/>
  <c r="E182" s="1"/>
  <c r="E180"/>
  <c r="D169"/>
  <c r="C169"/>
  <c r="C175" s="1"/>
  <c r="E175" s="1"/>
  <c r="F176" s="1"/>
  <c r="E28" s="1"/>
  <c r="D158"/>
  <c r="E158" s="1"/>
  <c r="E157"/>
  <c r="C157"/>
  <c r="C156"/>
  <c r="E156" s="1"/>
  <c r="D159" s="1"/>
  <c r="E159" s="1"/>
  <c r="C149"/>
  <c r="C144"/>
  <c r="D143"/>
  <c r="E143" s="1"/>
  <c r="C143"/>
  <c r="D138"/>
  <c r="E138" s="1"/>
  <c r="C131"/>
  <c r="C130"/>
  <c r="E127"/>
  <c r="C127"/>
  <c r="C126"/>
  <c r="C125"/>
  <c r="E122"/>
  <c r="E109"/>
  <c r="E108"/>
  <c r="E107"/>
  <c r="E106"/>
  <c r="E105"/>
  <c r="E104"/>
  <c r="E103"/>
  <c r="E102"/>
  <c r="E101"/>
  <c r="E100"/>
  <c r="E90"/>
  <c r="E89"/>
  <c r="E84"/>
  <c r="E83"/>
  <c r="A83"/>
  <c r="E82"/>
  <c r="A82"/>
  <c r="C77"/>
  <c r="E77" s="1"/>
  <c r="D76"/>
  <c r="C76"/>
  <c r="C67"/>
  <c r="E65"/>
  <c r="D65"/>
  <c r="C62"/>
  <c r="C59"/>
  <c r="C56"/>
  <c r="D53"/>
  <c r="B47"/>
  <c r="E111" s="1"/>
  <c r="E44"/>
  <c r="A44"/>
  <c r="E38"/>
  <c r="C110" s="1"/>
  <c r="A38"/>
  <c r="A32"/>
  <c r="A31"/>
  <c r="A30"/>
  <c r="A29"/>
  <c r="A28"/>
  <c r="A27"/>
  <c r="A26"/>
  <c r="A23"/>
  <c r="A22"/>
  <c r="A21"/>
  <c r="A20"/>
  <c r="A19"/>
  <c r="A18"/>
  <c r="A17"/>
  <c r="A16"/>
  <c r="C218" i="7"/>
  <c r="E207"/>
  <c r="D208" s="1"/>
  <c r="E208" s="1"/>
  <c r="E206"/>
  <c r="E205"/>
  <c r="D206" s="1"/>
  <c r="E197"/>
  <c r="E196"/>
  <c r="E194"/>
  <c r="E193"/>
  <c r="E192"/>
  <c r="C184"/>
  <c r="C182"/>
  <c r="E182" s="1"/>
  <c r="D183" s="1"/>
  <c r="E183" s="1"/>
  <c r="D184" s="1"/>
  <c r="E180"/>
  <c r="D169"/>
  <c r="C169"/>
  <c r="C175" s="1"/>
  <c r="E175" s="1"/>
  <c r="F176" s="1"/>
  <c r="E28" s="1"/>
  <c r="D158"/>
  <c r="E158" s="1"/>
  <c r="C157"/>
  <c r="E157" s="1"/>
  <c r="C156"/>
  <c r="E156" s="1"/>
  <c r="D159" s="1"/>
  <c r="E159" s="1"/>
  <c r="C149"/>
  <c r="C144"/>
  <c r="D143"/>
  <c r="E138"/>
  <c r="D138"/>
  <c r="C131"/>
  <c r="C130"/>
  <c r="C127"/>
  <c r="C126"/>
  <c r="C125"/>
  <c r="E125" s="1"/>
  <c r="D126" s="1"/>
  <c r="E126" s="1"/>
  <c r="E122"/>
  <c r="D125" s="1"/>
  <c r="E109"/>
  <c r="E108"/>
  <c r="E107"/>
  <c r="E106"/>
  <c r="E105"/>
  <c r="E104"/>
  <c r="E103"/>
  <c r="D110" s="1"/>
  <c r="E102"/>
  <c r="E101"/>
  <c r="E100"/>
  <c r="E90"/>
  <c r="F91" s="1"/>
  <c r="E20" s="1"/>
  <c r="E89"/>
  <c r="E84"/>
  <c r="E83"/>
  <c r="A83"/>
  <c r="E82"/>
  <c r="F85" s="1"/>
  <c r="E19" s="1"/>
  <c r="A82"/>
  <c r="C77"/>
  <c r="E77" s="1"/>
  <c r="D76"/>
  <c r="C76"/>
  <c r="C67"/>
  <c r="D65"/>
  <c r="E65" s="1"/>
  <c r="D62"/>
  <c r="C62"/>
  <c r="C59"/>
  <c r="D56"/>
  <c r="E56" s="1"/>
  <c r="C56"/>
  <c r="E53"/>
  <c r="D53"/>
  <c r="D59" s="1"/>
  <c r="B47"/>
  <c r="E44"/>
  <c r="A44"/>
  <c r="E38"/>
  <c r="A38"/>
  <c r="A32"/>
  <c r="A31"/>
  <c r="A30"/>
  <c r="A29"/>
  <c r="A28"/>
  <c r="A27"/>
  <c r="A26"/>
  <c r="A23"/>
  <c r="A22"/>
  <c r="A21"/>
  <c r="A20"/>
  <c r="A19"/>
  <c r="A18"/>
  <c r="A17"/>
  <c r="A16"/>
  <c r="C218" i="6"/>
  <c r="E207"/>
  <c r="D208" s="1"/>
  <c r="E208" s="1"/>
  <c r="E205"/>
  <c r="D206" s="1"/>
  <c r="E206" s="1"/>
  <c r="E197"/>
  <c r="E196"/>
  <c r="E194"/>
  <c r="E193"/>
  <c r="E192"/>
  <c r="F198" s="1"/>
  <c r="F200" s="1"/>
  <c r="E30" s="1"/>
  <c r="C184"/>
  <c r="C182"/>
  <c r="E182" s="1"/>
  <c r="E180"/>
  <c r="D169"/>
  <c r="C169"/>
  <c r="E169" s="1"/>
  <c r="F171" s="1"/>
  <c r="E27" s="1"/>
  <c r="D158"/>
  <c r="E158" s="1"/>
  <c r="C157"/>
  <c r="E157" s="1"/>
  <c r="C156"/>
  <c r="E156" s="1"/>
  <c r="C149"/>
  <c r="C144"/>
  <c r="D143"/>
  <c r="D138"/>
  <c r="E138" s="1"/>
  <c r="C131"/>
  <c r="D130"/>
  <c r="C130"/>
  <c r="E127"/>
  <c r="C127"/>
  <c r="C143" s="1"/>
  <c r="E143" s="1"/>
  <c r="C126"/>
  <c r="C125"/>
  <c r="E122"/>
  <c r="D125" s="1"/>
  <c r="C110"/>
  <c r="E109"/>
  <c r="E108"/>
  <c r="E107"/>
  <c r="E106"/>
  <c r="E105"/>
  <c r="E104"/>
  <c r="E103"/>
  <c r="E102"/>
  <c r="E101"/>
  <c r="E100"/>
  <c r="D110" s="1"/>
  <c r="E90"/>
  <c r="F91" s="1"/>
  <c r="E20" s="1"/>
  <c r="E89"/>
  <c r="E84"/>
  <c r="E83"/>
  <c r="A83"/>
  <c r="E82"/>
  <c r="A82"/>
  <c r="C77"/>
  <c r="E77" s="1"/>
  <c r="D76"/>
  <c r="C76"/>
  <c r="E76" s="1"/>
  <c r="E70"/>
  <c r="C67"/>
  <c r="E65"/>
  <c r="D65"/>
  <c r="C62"/>
  <c r="C59"/>
  <c r="C56"/>
  <c r="D53"/>
  <c r="D56" s="1"/>
  <c r="E56" s="1"/>
  <c r="B47"/>
  <c r="E111" s="1"/>
  <c r="E44"/>
  <c r="A44"/>
  <c r="E41"/>
  <c r="E38"/>
  <c r="A38"/>
  <c r="A32"/>
  <c r="A31"/>
  <c r="A30"/>
  <c r="A29"/>
  <c r="A28"/>
  <c r="A27"/>
  <c r="A26"/>
  <c r="A23"/>
  <c r="A22"/>
  <c r="A21"/>
  <c r="A20"/>
  <c r="A19"/>
  <c r="A18"/>
  <c r="A17"/>
  <c r="A16"/>
  <c r="C218" i="5"/>
  <c r="E207"/>
  <c r="D208" s="1"/>
  <c r="E208" s="1"/>
  <c r="E205"/>
  <c r="D206" s="1"/>
  <c r="E206" s="1"/>
  <c r="E197"/>
  <c r="E196"/>
  <c r="E194"/>
  <c r="E193"/>
  <c r="E192"/>
  <c r="C184"/>
  <c r="C182"/>
  <c r="E182" s="1"/>
  <c r="D183" s="1"/>
  <c r="E183" s="1"/>
  <c r="D184" s="1"/>
  <c r="E180"/>
  <c r="D169"/>
  <c r="C169"/>
  <c r="E169" s="1"/>
  <c r="F171" s="1"/>
  <c r="E27" s="1"/>
  <c r="D158"/>
  <c r="E158" s="1"/>
  <c r="C157"/>
  <c r="E157" s="1"/>
  <c r="C156"/>
  <c r="E156" s="1"/>
  <c r="D159" s="1"/>
  <c r="E159" s="1"/>
  <c r="C149"/>
  <c r="C144"/>
  <c r="D143"/>
  <c r="D138"/>
  <c r="E138" s="1"/>
  <c r="C131"/>
  <c r="C130"/>
  <c r="C127"/>
  <c r="C143" s="1"/>
  <c r="E143" s="1"/>
  <c r="C126"/>
  <c r="D125"/>
  <c r="C125"/>
  <c r="E122"/>
  <c r="E109"/>
  <c r="E108"/>
  <c r="E107"/>
  <c r="E106"/>
  <c r="E105"/>
  <c r="E104"/>
  <c r="E103"/>
  <c r="E102"/>
  <c r="E101"/>
  <c r="D110" s="1"/>
  <c r="E100"/>
  <c r="E90"/>
  <c r="F91" s="1"/>
  <c r="E20" s="1"/>
  <c r="E89"/>
  <c r="E84"/>
  <c r="E83"/>
  <c r="A83"/>
  <c r="E82"/>
  <c r="A82"/>
  <c r="C77"/>
  <c r="E77" s="1"/>
  <c r="D76"/>
  <c r="E76" s="1"/>
  <c r="C76"/>
  <c r="C67"/>
  <c r="D65"/>
  <c r="E65" s="1"/>
  <c r="C62"/>
  <c r="C59"/>
  <c r="C56"/>
  <c r="D53"/>
  <c r="D59" s="1"/>
  <c r="E59" s="1"/>
  <c r="B47"/>
  <c r="E134" s="1"/>
  <c r="E152" s="1"/>
  <c r="E44"/>
  <c r="A44"/>
  <c r="E38"/>
  <c r="C110" s="1"/>
  <c r="E110" s="1"/>
  <c r="A38"/>
  <c r="A32"/>
  <c r="A31"/>
  <c r="A30"/>
  <c r="A29"/>
  <c r="A28"/>
  <c r="A27"/>
  <c r="A26"/>
  <c r="A23"/>
  <c r="A22"/>
  <c r="A21"/>
  <c r="A20"/>
  <c r="A19"/>
  <c r="A18"/>
  <c r="A17"/>
  <c r="A16"/>
  <c r="C220" i="4"/>
  <c r="D210"/>
  <c r="E210" s="1"/>
  <c r="E209"/>
  <c r="E207"/>
  <c r="D208" s="1"/>
  <c r="E208" s="1"/>
  <c r="E199"/>
  <c r="E198"/>
  <c r="E196"/>
  <c r="E195"/>
  <c r="E194"/>
  <c r="C186"/>
  <c r="C184"/>
  <c r="E184" s="1"/>
  <c r="E182"/>
  <c r="C177"/>
  <c r="E177" s="1"/>
  <c r="F178" s="1"/>
  <c r="E28" s="1"/>
  <c r="D171"/>
  <c r="C171"/>
  <c r="E160"/>
  <c r="C160"/>
  <c r="E159"/>
  <c r="C159"/>
  <c r="E158"/>
  <c r="C158"/>
  <c r="E157"/>
  <c r="C157"/>
  <c r="E156"/>
  <c r="C156"/>
  <c r="C149"/>
  <c r="C144"/>
  <c r="D143"/>
  <c r="E138"/>
  <c r="D138"/>
  <c r="C131"/>
  <c r="C130"/>
  <c r="E127"/>
  <c r="C127"/>
  <c r="C143" s="1"/>
  <c r="E143" s="1"/>
  <c r="C126"/>
  <c r="D125"/>
  <c r="C125"/>
  <c r="E122"/>
  <c r="C110"/>
  <c r="E109"/>
  <c r="E108"/>
  <c r="E107"/>
  <c r="E106"/>
  <c r="E105"/>
  <c r="E104"/>
  <c r="E103"/>
  <c r="E102"/>
  <c r="E101"/>
  <c r="E100"/>
  <c r="E90"/>
  <c r="E89"/>
  <c r="F91" s="1"/>
  <c r="E20" s="1"/>
  <c r="E84"/>
  <c r="E83"/>
  <c r="A83"/>
  <c r="E82"/>
  <c r="A82"/>
  <c r="E77"/>
  <c r="C77"/>
  <c r="E76"/>
  <c r="D76"/>
  <c r="C76"/>
  <c r="C67"/>
  <c r="D65"/>
  <c r="E65" s="1"/>
  <c r="C62"/>
  <c r="C59"/>
  <c r="C56"/>
  <c r="D53"/>
  <c r="D56" s="1"/>
  <c r="E56" s="1"/>
  <c r="B47"/>
  <c r="E111" s="1"/>
  <c r="E44"/>
  <c r="A44"/>
  <c r="E41"/>
  <c r="E38"/>
  <c r="A38"/>
  <c r="A32"/>
  <c r="A31"/>
  <c r="A30"/>
  <c r="A29"/>
  <c r="A28"/>
  <c r="A27"/>
  <c r="A26"/>
  <c r="A23"/>
  <c r="A22"/>
  <c r="A21"/>
  <c r="A20"/>
  <c r="A19"/>
  <c r="A18"/>
  <c r="A17"/>
  <c r="A16"/>
  <c r="C205" i="3"/>
  <c r="E194"/>
  <c r="D195" s="1"/>
  <c r="E195" s="1"/>
  <c r="E193"/>
  <c r="E192"/>
  <c r="D193" s="1"/>
  <c r="E184"/>
  <c r="E183"/>
  <c r="E181"/>
  <c r="E180"/>
  <c r="E179"/>
  <c r="C171"/>
  <c r="C169"/>
  <c r="E169" s="1"/>
  <c r="E167"/>
  <c r="D156"/>
  <c r="C156"/>
  <c r="C162" s="1"/>
  <c r="E162" s="1"/>
  <c r="F163" s="1"/>
  <c r="E18" s="1"/>
  <c r="D146"/>
  <c r="E146" s="1"/>
  <c r="D147" s="1"/>
  <c r="E147" s="1"/>
  <c r="C146"/>
  <c r="C139"/>
  <c r="C134"/>
  <c r="D133"/>
  <c r="D128"/>
  <c r="E128" s="1"/>
  <c r="C121"/>
  <c r="C120"/>
  <c r="C117"/>
  <c r="E117" s="1"/>
  <c r="C116"/>
  <c r="C115"/>
  <c r="E112"/>
  <c r="C130" s="1"/>
  <c r="C131" s="1"/>
  <c r="D132" s="1"/>
  <c r="E132" s="1"/>
  <c r="D139" s="1"/>
  <c r="E99"/>
  <c r="E98"/>
  <c r="E97"/>
  <c r="E96"/>
  <c r="E95"/>
  <c r="E94"/>
  <c r="E93"/>
  <c r="E92"/>
  <c r="E91"/>
  <c r="E90"/>
  <c r="F81"/>
  <c r="E10" s="1"/>
  <c r="E80"/>
  <c r="E79"/>
  <c r="E74"/>
  <c r="E73"/>
  <c r="A73"/>
  <c r="E72"/>
  <c r="A72"/>
  <c r="C67"/>
  <c r="E67" s="1"/>
  <c r="D66"/>
  <c r="C66"/>
  <c r="E66" s="1"/>
  <c r="C57"/>
  <c r="D55"/>
  <c r="E55" s="1"/>
  <c r="C52"/>
  <c r="C49"/>
  <c r="D46"/>
  <c r="E46" s="1"/>
  <c r="C46"/>
  <c r="D43"/>
  <c r="D49" s="1"/>
  <c r="B37"/>
  <c r="E101" s="1"/>
  <c r="E34"/>
  <c r="A34"/>
  <c r="E28"/>
  <c r="E31" s="1"/>
  <c r="A28"/>
  <c r="A22"/>
  <c r="A21"/>
  <c r="A20"/>
  <c r="A19"/>
  <c r="A18"/>
  <c r="A17"/>
  <c r="A16"/>
  <c r="A13"/>
  <c r="A12"/>
  <c r="A11"/>
  <c r="A10"/>
  <c r="A9"/>
  <c r="A8"/>
  <c r="A7"/>
  <c r="A6"/>
  <c r="C205" i="2"/>
  <c r="E194"/>
  <c r="D195" s="1"/>
  <c r="E195" s="1"/>
  <c r="E192"/>
  <c r="D193" s="1"/>
  <c r="E193" s="1"/>
  <c r="E184"/>
  <c r="E183"/>
  <c r="E181"/>
  <c r="E180"/>
  <c r="E179"/>
  <c r="C171"/>
  <c r="C169"/>
  <c r="E169" s="1"/>
  <c r="E167"/>
  <c r="D156"/>
  <c r="C156"/>
  <c r="D146"/>
  <c r="C146"/>
  <c r="E146" s="1"/>
  <c r="D147" s="1"/>
  <c r="E147" s="1"/>
  <c r="C139"/>
  <c r="C134"/>
  <c r="D133"/>
  <c r="C133"/>
  <c r="E133" s="1"/>
  <c r="D128"/>
  <c r="E128" s="1"/>
  <c r="C121"/>
  <c r="C120"/>
  <c r="C117"/>
  <c r="E117" s="1"/>
  <c r="C116"/>
  <c r="D115"/>
  <c r="C115"/>
  <c r="C130" s="1"/>
  <c r="C131" s="1"/>
  <c r="D132" s="1"/>
  <c r="E132" s="1"/>
  <c r="D139" s="1"/>
  <c r="E112"/>
  <c r="E99"/>
  <c r="E98"/>
  <c r="E97"/>
  <c r="E96"/>
  <c r="E95"/>
  <c r="E94"/>
  <c r="E93"/>
  <c r="E92"/>
  <c r="E91"/>
  <c r="E90"/>
  <c r="E80"/>
  <c r="E79"/>
  <c r="F81" s="1"/>
  <c r="E10" s="1"/>
  <c r="E74"/>
  <c r="E73"/>
  <c r="A73"/>
  <c r="E72"/>
  <c r="F75" s="1"/>
  <c r="E9" s="1"/>
  <c r="A72"/>
  <c r="C67"/>
  <c r="E67" s="1"/>
  <c r="D66"/>
  <c r="C66"/>
  <c r="E66" s="1"/>
  <c r="C57"/>
  <c r="E55"/>
  <c r="D55"/>
  <c r="C52"/>
  <c r="C49"/>
  <c r="C46"/>
  <c r="D43"/>
  <c r="D49" s="1"/>
  <c r="B37"/>
  <c r="E101" s="1"/>
  <c r="E34"/>
  <c r="A34"/>
  <c r="E28"/>
  <c r="E31" s="1"/>
  <c r="A28"/>
  <c r="A22"/>
  <c r="A21"/>
  <c r="A20"/>
  <c r="A19"/>
  <c r="A18"/>
  <c r="A17"/>
  <c r="A16"/>
  <c r="A13"/>
  <c r="A12"/>
  <c r="A11"/>
  <c r="A10"/>
  <c r="A9"/>
  <c r="A8"/>
  <c r="A7"/>
  <c r="A6"/>
  <c r="C205" i="1"/>
  <c r="D195"/>
  <c r="E195" s="1"/>
  <c r="E194"/>
  <c r="E192"/>
  <c r="D193" s="1"/>
  <c r="E193" s="1"/>
  <c r="E184"/>
  <c r="E183"/>
  <c r="E181"/>
  <c r="E180"/>
  <c r="E179"/>
  <c r="F185" s="1"/>
  <c r="F187" s="1"/>
  <c r="E20" s="1"/>
  <c r="C171"/>
  <c r="C169"/>
  <c r="E169" s="1"/>
  <c r="E167"/>
  <c r="D156"/>
  <c r="C156"/>
  <c r="C162" s="1"/>
  <c r="E162" s="1"/>
  <c r="F163" s="1"/>
  <c r="E18" s="1"/>
  <c r="C146"/>
  <c r="C139"/>
  <c r="C134"/>
  <c r="D133"/>
  <c r="E128"/>
  <c r="D128"/>
  <c r="D146" s="1"/>
  <c r="C121"/>
  <c r="C120"/>
  <c r="C117"/>
  <c r="E117" s="1"/>
  <c r="C116"/>
  <c r="D115"/>
  <c r="C115"/>
  <c r="E112"/>
  <c r="E99"/>
  <c r="E98"/>
  <c r="E97"/>
  <c r="E96"/>
  <c r="E95"/>
  <c r="E94"/>
  <c r="E93"/>
  <c r="E92"/>
  <c r="E91"/>
  <c r="E90"/>
  <c r="E80"/>
  <c r="E79"/>
  <c r="F81" s="1"/>
  <c r="E10" s="1"/>
  <c r="E74"/>
  <c r="E73"/>
  <c r="A73"/>
  <c r="E72"/>
  <c r="A72"/>
  <c r="C67"/>
  <c r="E67" s="1"/>
  <c r="D66"/>
  <c r="C66"/>
  <c r="E66" s="1"/>
  <c r="C57"/>
  <c r="D55"/>
  <c r="E55" s="1"/>
  <c r="C52"/>
  <c r="D50"/>
  <c r="E50" s="1"/>
  <c r="C49"/>
  <c r="D46"/>
  <c r="E46" s="1"/>
  <c r="C46"/>
  <c r="D43"/>
  <c r="D49" s="1"/>
  <c r="B37"/>
  <c r="E101" s="1"/>
  <c r="E34"/>
  <c r="A34"/>
  <c r="E28"/>
  <c r="E31" s="1"/>
  <c r="A22"/>
  <c r="A21"/>
  <c r="A20"/>
  <c r="A19"/>
  <c r="A18"/>
  <c r="A17"/>
  <c r="A16"/>
  <c r="A13"/>
  <c r="A12"/>
  <c r="A11"/>
  <c r="A10"/>
  <c r="A9"/>
  <c r="A8"/>
  <c r="A7"/>
  <c r="A6"/>
  <c r="C130" l="1"/>
  <c r="C131" s="1"/>
  <c r="D132" s="1"/>
  <c r="E132" s="1"/>
  <c r="D139" s="1"/>
  <c r="E115" i="2"/>
  <c r="D116" s="1"/>
  <c r="E116" s="1"/>
  <c r="E60" i="3"/>
  <c r="E124"/>
  <c r="E142" s="1"/>
  <c r="C145" i="6"/>
  <c r="C146" s="1"/>
  <c r="D147" s="1"/>
  <c r="E147" s="1"/>
  <c r="D150" s="1"/>
  <c r="E150" s="1"/>
  <c r="E111" i="10"/>
  <c r="C140" i="11"/>
  <c r="C141" s="1"/>
  <c r="D142" s="1"/>
  <c r="E142" s="1"/>
  <c r="D149" s="1"/>
  <c r="E70" i="16"/>
  <c r="C140" i="4"/>
  <c r="C141" s="1"/>
  <c r="D142" s="1"/>
  <c r="E142" s="1"/>
  <c r="D149" s="1"/>
  <c r="E149" s="1"/>
  <c r="C140" i="21"/>
  <c r="C141" s="1"/>
  <c r="D142" s="1"/>
  <c r="E142" s="1"/>
  <c r="D149" s="1"/>
  <c r="E70" i="10"/>
  <c r="C140"/>
  <c r="C141" s="1"/>
  <c r="D142" s="1"/>
  <c r="E142" s="1"/>
  <c r="D149" s="1"/>
  <c r="C140" i="19"/>
  <c r="C141" s="1"/>
  <c r="D142" s="1"/>
  <c r="E142" s="1"/>
  <c r="D149" s="1"/>
  <c r="E149" s="1"/>
  <c r="D151" s="1"/>
  <c r="E151" s="1"/>
  <c r="C145"/>
  <c r="C146" s="1"/>
  <c r="D147" s="1"/>
  <c r="E147" s="1"/>
  <c r="D150" s="1"/>
  <c r="E150" s="1"/>
  <c r="C130" i="22"/>
  <c r="C131" s="1"/>
  <c r="D132" s="1"/>
  <c r="E132" s="1"/>
  <c r="D139" s="1"/>
  <c r="E139" s="1"/>
  <c r="D50" i="23"/>
  <c r="E50" s="1"/>
  <c r="F75"/>
  <c r="E9" s="1"/>
  <c r="C133"/>
  <c r="E133" s="1"/>
  <c r="D146"/>
  <c r="E146" s="1"/>
  <c r="D147" s="1"/>
  <c r="E147" s="1"/>
  <c r="D100"/>
  <c r="E49"/>
  <c r="D47"/>
  <c r="E47" s="1"/>
  <c r="D52"/>
  <c r="E52" s="1"/>
  <c r="F68"/>
  <c r="E8" s="1"/>
  <c r="D46"/>
  <c r="E46" s="1"/>
  <c r="E115"/>
  <c r="D116" s="1"/>
  <c r="E116" s="1"/>
  <c r="D170"/>
  <c r="E170" s="1"/>
  <c r="D171" s="1"/>
  <c r="E171" s="1"/>
  <c r="F172" s="1"/>
  <c r="E19" s="1"/>
  <c r="D100" i="22"/>
  <c r="E171"/>
  <c r="F172" s="1"/>
  <c r="E19" s="1"/>
  <c r="F185"/>
  <c r="F187" s="1"/>
  <c r="E20" s="1"/>
  <c r="E100"/>
  <c r="F75"/>
  <c r="E9" s="1"/>
  <c r="D141"/>
  <c r="E141" s="1"/>
  <c r="E117"/>
  <c r="C135" s="1"/>
  <c r="C136" s="1"/>
  <c r="D137" s="1"/>
  <c r="E137" s="1"/>
  <c r="D140" s="1"/>
  <c r="E140" s="1"/>
  <c r="E156"/>
  <c r="F158" s="1"/>
  <c r="E17" s="1"/>
  <c r="D56" i="21"/>
  <c r="E56" s="1"/>
  <c r="D60"/>
  <c r="E60" s="1"/>
  <c r="D110"/>
  <c r="C110"/>
  <c r="F198"/>
  <c r="F200" s="1"/>
  <c r="E30" s="1"/>
  <c r="F85"/>
  <c r="E19" s="1"/>
  <c r="E125"/>
  <c r="D126" s="1"/>
  <c r="E126" s="1"/>
  <c r="E169"/>
  <c r="F171" s="1"/>
  <c r="E27" s="1"/>
  <c r="D57"/>
  <c r="E57" s="1"/>
  <c r="E41" i="20"/>
  <c r="E53"/>
  <c r="D60"/>
  <c r="E60" s="1"/>
  <c r="C143"/>
  <c r="E143" s="1"/>
  <c r="D110"/>
  <c r="E110" s="1"/>
  <c r="E130"/>
  <c r="D131" s="1"/>
  <c r="E131" s="1"/>
  <c r="D57"/>
  <c r="E57" s="1"/>
  <c r="D62"/>
  <c r="E62" s="1"/>
  <c r="F91"/>
  <c r="E20" s="1"/>
  <c r="E125"/>
  <c r="D126" s="1"/>
  <c r="E126" s="1"/>
  <c r="E132" s="1"/>
  <c r="D133" s="1"/>
  <c r="E133" s="1"/>
  <c r="D159"/>
  <c r="E159" s="1"/>
  <c r="F198"/>
  <c r="F200" s="1"/>
  <c r="E30" s="1"/>
  <c r="F197" i="19"/>
  <c r="F199" s="1"/>
  <c r="E30" s="1"/>
  <c r="E76"/>
  <c r="E143"/>
  <c r="E110"/>
  <c r="D110"/>
  <c r="D182"/>
  <c r="E182" s="1"/>
  <c r="D183" s="1"/>
  <c r="D56" i="18"/>
  <c r="E56" s="1"/>
  <c r="D62"/>
  <c r="E62" s="1"/>
  <c r="D183"/>
  <c r="E183" s="1"/>
  <c r="D184" s="1"/>
  <c r="E184" s="1"/>
  <c r="F185" s="1"/>
  <c r="E29" s="1"/>
  <c r="E125"/>
  <c r="D126" s="1"/>
  <c r="E126" s="1"/>
  <c r="E53"/>
  <c r="C140"/>
  <c r="C141" s="1"/>
  <c r="D142" s="1"/>
  <c r="E142" s="1"/>
  <c r="D149" s="1"/>
  <c r="E169"/>
  <c r="F171" s="1"/>
  <c r="E27" s="1"/>
  <c r="D57"/>
  <c r="E57" s="1"/>
  <c r="D110"/>
  <c r="E110" s="1"/>
  <c r="E76" i="17"/>
  <c r="E41"/>
  <c r="D110"/>
  <c r="E110"/>
  <c r="D182"/>
  <c r="E182" s="1"/>
  <c r="D183" s="1"/>
  <c r="F197"/>
  <c r="F199" s="1"/>
  <c r="E30" s="1"/>
  <c r="F85"/>
  <c r="E19" s="1"/>
  <c r="F91"/>
  <c r="E20" s="1"/>
  <c r="C140"/>
  <c r="C141" s="1"/>
  <c r="D142" s="1"/>
  <c r="E142" s="1"/>
  <c r="D149" s="1"/>
  <c r="E149" s="1"/>
  <c r="C145"/>
  <c r="C146" s="1"/>
  <c r="D147" s="1"/>
  <c r="E147" s="1"/>
  <c r="D150" s="1"/>
  <c r="E150" s="1"/>
  <c r="C145" i="16"/>
  <c r="C146" s="1"/>
  <c r="D130"/>
  <c r="E130" s="1"/>
  <c r="D131" s="1"/>
  <c r="E131" s="1"/>
  <c r="D62"/>
  <c r="E62" s="1"/>
  <c r="C143"/>
  <c r="E143" s="1"/>
  <c r="D184"/>
  <c r="E184" s="1"/>
  <c r="D185" s="1"/>
  <c r="E185" s="1"/>
  <c r="F186" s="1"/>
  <c r="E29" s="1"/>
  <c r="F199"/>
  <c r="F201" s="1"/>
  <c r="E30" s="1"/>
  <c r="E53"/>
  <c r="E125"/>
  <c r="D126" s="1"/>
  <c r="E126" s="1"/>
  <c r="E59"/>
  <c r="C140"/>
  <c r="C141" s="1"/>
  <c r="D142" s="1"/>
  <c r="E142" s="1"/>
  <c r="D149" s="1"/>
  <c r="E110"/>
  <c r="D57"/>
  <c r="E57" s="1"/>
  <c r="F85"/>
  <c r="E19" s="1"/>
  <c r="E111"/>
  <c r="D161"/>
  <c r="E161" s="1"/>
  <c r="D159" i="15"/>
  <c r="E159" s="1"/>
  <c r="E110"/>
  <c r="F111" s="1"/>
  <c r="F114" s="1"/>
  <c r="E21" s="1"/>
  <c r="F85"/>
  <c r="E19" s="1"/>
  <c r="F91"/>
  <c r="E20" s="1"/>
  <c r="C140"/>
  <c r="C141" s="1"/>
  <c r="D142" s="1"/>
  <c r="E142" s="1"/>
  <c r="D149" s="1"/>
  <c r="E149" s="1"/>
  <c r="E127"/>
  <c r="C145" s="1"/>
  <c r="C146" s="1"/>
  <c r="D147" s="1"/>
  <c r="E147" s="1"/>
  <c r="D150" s="1"/>
  <c r="E150" s="1"/>
  <c r="E169"/>
  <c r="F171" s="1"/>
  <c r="E27" s="1"/>
  <c r="E184"/>
  <c r="F185" s="1"/>
  <c r="E29" s="1"/>
  <c r="D62" i="14"/>
  <c r="D183"/>
  <c r="E183" s="1"/>
  <c r="D184" s="1"/>
  <c r="E184" s="1"/>
  <c r="F185" s="1"/>
  <c r="E29" s="1"/>
  <c r="E53"/>
  <c r="E62"/>
  <c r="F85"/>
  <c r="E19" s="1"/>
  <c r="F198"/>
  <c r="F200" s="1"/>
  <c r="E30" s="1"/>
  <c r="D57"/>
  <c r="E57" s="1"/>
  <c r="D110"/>
  <c r="E110" s="1"/>
  <c r="D110" i="13"/>
  <c r="E62"/>
  <c r="F91"/>
  <c r="E20" s="1"/>
  <c r="C140"/>
  <c r="C141" s="1"/>
  <c r="D142" s="1"/>
  <c r="E142" s="1"/>
  <c r="D149" s="1"/>
  <c r="E149" s="1"/>
  <c r="E127"/>
  <c r="C145" s="1"/>
  <c r="C146" s="1"/>
  <c r="D147" s="1"/>
  <c r="E147" s="1"/>
  <c r="D150" s="1"/>
  <c r="E150" s="1"/>
  <c r="D159" i="12"/>
  <c r="E159" s="1"/>
  <c r="D57"/>
  <c r="E57" s="1"/>
  <c r="F85"/>
  <c r="E19" s="1"/>
  <c r="E130"/>
  <c r="D131" s="1"/>
  <c r="E131" s="1"/>
  <c r="C140"/>
  <c r="C141" s="1"/>
  <c r="D142" s="1"/>
  <c r="E142" s="1"/>
  <c r="D149" s="1"/>
  <c r="C145"/>
  <c r="C146" s="1"/>
  <c r="D147" s="1"/>
  <c r="E147" s="1"/>
  <c r="D150" s="1"/>
  <c r="E150" s="1"/>
  <c r="C143"/>
  <c r="E143" s="1"/>
  <c r="D183"/>
  <c r="E183" s="1"/>
  <c r="D184" s="1"/>
  <c r="E184" s="1"/>
  <c r="F185" s="1"/>
  <c r="E29" s="1"/>
  <c r="F198"/>
  <c r="F200" s="1"/>
  <c r="E30" s="1"/>
  <c r="D62" i="11"/>
  <c r="E62" s="1"/>
  <c r="E53"/>
  <c r="D57"/>
  <c r="E57" s="1"/>
  <c r="D56"/>
  <c r="E56" s="1"/>
  <c r="D60"/>
  <c r="E60" s="1"/>
  <c r="E59" i="10"/>
  <c r="D62"/>
  <c r="E62" s="1"/>
  <c r="F85"/>
  <c r="E19" s="1"/>
  <c r="E127"/>
  <c r="D57"/>
  <c r="E57" s="1"/>
  <c r="D110"/>
  <c r="D183"/>
  <c r="E183" s="1"/>
  <c r="D184" s="1"/>
  <c r="F198"/>
  <c r="F200" s="1"/>
  <c r="E30" s="1"/>
  <c r="D57" i="9"/>
  <c r="E57" s="1"/>
  <c r="D110"/>
  <c r="E110" s="1"/>
  <c r="F111" s="1"/>
  <c r="F114" s="1"/>
  <c r="E21" s="1"/>
  <c r="E169"/>
  <c r="F171" s="1"/>
  <c r="E27" s="1"/>
  <c r="E76"/>
  <c r="E53"/>
  <c r="E41" i="8"/>
  <c r="E76"/>
  <c r="E70"/>
  <c r="D183"/>
  <c r="E183" s="1"/>
  <c r="D184" s="1"/>
  <c r="F85"/>
  <c r="E19" s="1"/>
  <c r="F91"/>
  <c r="E20" s="1"/>
  <c r="D57" i="7"/>
  <c r="E57" s="1"/>
  <c r="E169"/>
  <c r="F171" s="1"/>
  <c r="E27" s="1"/>
  <c r="E62"/>
  <c r="E76"/>
  <c r="C140"/>
  <c r="C141" s="1"/>
  <c r="D142" s="1"/>
  <c r="E142" s="1"/>
  <c r="D149" s="1"/>
  <c r="E184"/>
  <c r="F185" s="1"/>
  <c r="E29" s="1"/>
  <c r="F198"/>
  <c r="F200" s="1"/>
  <c r="E30" s="1"/>
  <c r="E125" i="6"/>
  <c r="D126" s="1"/>
  <c r="E126" s="1"/>
  <c r="C140"/>
  <c r="C141" s="1"/>
  <c r="D142" s="1"/>
  <c r="E142" s="1"/>
  <c r="D149" s="1"/>
  <c r="D60"/>
  <c r="E60" s="1"/>
  <c r="E134"/>
  <c r="E152" s="1"/>
  <c r="E209" s="1"/>
  <c r="F209" s="1"/>
  <c r="F211" s="1"/>
  <c r="E31" s="1"/>
  <c r="D57" i="5"/>
  <c r="E57" s="1"/>
  <c r="C175"/>
  <c r="E175" s="1"/>
  <c r="F176" s="1"/>
  <c r="E28" s="1"/>
  <c r="D56"/>
  <c r="E56" s="1"/>
  <c r="D60"/>
  <c r="E60" s="1"/>
  <c r="E125"/>
  <c r="D126" s="1"/>
  <c r="E126" s="1"/>
  <c r="E184"/>
  <c r="F185" s="1"/>
  <c r="E29" s="1"/>
  <c r="D62"/>
  <c r="E62" s="1"/>
  <c r="C140"/>
  <c r="C141" s="1"/>
  <c r="D142" s="1"/>
  <c r="E142" s="1"/>
  <c r="D149" s="1"/>
  <c r="E53"/>
  <c r="E111"/>
  <c r="F111" s="1"/>
  <c r="F114" s="1"/>
  <c r="E21" s="1"/>
  <c r="C145" i="4"/>
  <c r="C146" s="1"/>
  <c r="D147" s="1"/>
  <c r="E147" s="1"/>
  <c r="D150" s="1"/>
  <c r="E150" s="1"/>
  <c r="D110"/>
  <c r="E110" s="1"/>
  <c r="F111" s="1"/>
  <c r="F114" s="1"/>
  <c r="E21" s="1"/>
  <c r="E134"/>
  <c r="E152" s="1"/>
  <c r="E70"/>
  <c r="D161"/>
  <c r="E161" s="1"/>
  <c r="D50" i="3"/>
  <c r="E50" s="1"/>
  <c r="F75"/>
  <c r="E9" s="1"/>
  <c r="D115"/>
  <c r="E115" s="1"/>
  <c r="D116" s="1"/>
  <c r="E116" s="1"/>
  <c r="C133"/>
  <c r="E133" s="1"/>
  <c r="E156"/>
  <c r="F158" s="1"/>
  <c r="E17" s="1"/>
  <c r="E171"/>
  <c r="F172" s="1"/>
  <c r="E19" s="1"/>
  <c r="D100"/>
  <c r="C100"/>
  <c r="D170"/>
  <c r="E170" s="1"/>
  <c r="D171" s="1"/>
  <c r="F185"/>
  <c r="F187" s="1"/>
  <c r="E20" s="1"/>
  <c r="D47" i="2"/>
  <c r="E47" s="1"/>
  <c r="D46"/>
  <c r="E46" s="1"/>
  <c r="D50"/>
  <c r="E50" s="1"/>
  <c r="F185"/>
  <c r="F187" s="1"/>
  <c r="E20" s="1"/>
  <c r="E49"/>
  <c r="E60"/>
  <c r="E156"/>
  <c r="F158" s="1"/>
  <c r="E17" s="1"/>
  <c r="E43"/>
  <c r="F68" s="1"/>
  <c r="E8" s="1"/>
  <c r="D52"/>
  <c r="E52" s="1"/>
  <c r="D53" s="1"/>
  <c r="E53" s="1"/>
  <c r="E56" s="1"/>
  <c r="D100"/>
  <c r="C100"/>
  <c r="E124"/>
  <c r="E142" s="1"/>
  <c r="E49" i="1"/>
  <c r="E60"/>
  <c r="F68"/>
  <c r="E8" s="1"/>
  <c r="E43"/>
  <c r="D52"/>
  <c r="E52" s="1"/>
  <c r="D53" s="1"/>
  <c r="E53" s="1"/>
  <c r="E56" s="1"/>
  <c r="D100"/>
  <c r="C100"/>
  <c r="E124"/>
  <c r="E142" s="1"/>
  <c r="C133"/>
  <c r="E133" s="1"/>
  <c r="D47"/>
  <c r="E47" s="1"/>
  <c r="F75"/>
  <c r="E9" s="1"/>
  <c r="E115"/>
  <c r="D116" s="1"/>
  <c r="E116" s="1"/>
  <c r="E196"/>
  <c r="E148"/>
  <c r="E196" i="2"/>
  <c r="F196" s="1"/>
  <c r="F198" s="1"/>
  <c r="E21" s="1"/>
  <c r="E148"/>
  <c r="E100" i="1"/>
  <c r="F101" s="1"/>
  <c r="F104" s="1"/>
  <c r="E11" s="1"/>
  <c r="D170"/>
  <c r="E170" s="1"/>
  <c r="D171" s="1"/>
  <c r="E171" s="1"/>
  <c r="F172" s="1"/>
  <c r="E19" s="1"/>
  <c r="E139" i="2"/>
  <c r="E49" i="3"/>
  <c r="D151" i="4"/>
  <c r="E151" s="1"/>
  <c r="F152" s="1"/>
  <c r="E25" s="1"/>
  <c r="C135" i="1"/>
  <c r="C136" s="1"/>
  <c r="D137" s="1"/>
  <c r="E137" s="1"/>
  <c r="D140" s="1"/>
  <c r="E140" s="1"/>
  <c r="D120"/>
  <c r="E120" s="1"/>
  <c r="D121" s="1"/>
  <c r="E121" s="1"/>
  <c r="E122" s="1"/>
  <c r="D123" s="1"/>
  <c r="E123" s="1"/>
  <c r="F124" s="1"/>
  <c r="C135" i="2"/>
  <c r="C136" s="1"/>
  <c r="D137" s="1"/>
  <c r="E137" s="1"/>
  <c r="D140" s="1"/>
  <c r="E140" s="1"/>
  <c r="D120"/>
  <c r="E120" s="1"/>
  <c r="D121" s="1"/>
  <c r="E121" s="1"/>
  <c r="E209" i="5"/>
  <c r="E160"/>
  <c r="F160" s="1"/>
  <c r="E26" s="1"/>
  <c r="F196" i="1"/>
  <c r="F198" s="1"/>
  <c r="E21" s="1"/>
  <c r="E139" i="3"/>
  <c r="C135"/>
  <c r="C136" s="1"/>
  <c r="D137" s="1"/>
  <c r="E137" s="1"/>
  <c r="D140" s="1"/>
  <c r="E140" s="1"/>
  <c r="D120"/>
  <c r="E120" s="1"/>
  <c r="D121" s="1"/>
  <c r="E121" s="1"/>
  <c r="E122" s="1"/>
  <c r="D123" s="1"/>
  <c r="E123" s="1"/>
  <c r="F124" s="1"/>
  <c r="E148"/>
  <c r="E196"/>
  <c r="F196" s="1"/>
  <c r="F198" s="1"/>
  <c r="E21" s="1"/>
  <c r="E211" i="4"/>
  <c r="F211" s="1"/>
  <c r="F213" s="1"/>
  <c r="E31" s="1"/>
  <c r="E162"/>
  <c r="F162" s="1"/>
  <c r="E26" s="1"/>
  <c r="E146" i="1"/>
  <c r="D147" s="1"/>
  <c r="E147" s="1"/>
  <c r="F148" s="1"/>
  <c r="E16" s="1"/>
  <c r="E100" i="2"/>
  <c r="F101" s="1"/>
  <c r="F104" s="1"/>
  <c r="E11" s="1"/>
  <c r="E139" i="1"/>
  <c r="E122" i="2"/>
  <c r="D123" s="1"/>
  <c r="E123" s="1"/>
  <c r="F124" s="1"/>
  <c r="F148"/>
  <c r="E16" s="1"/>
  <c r="D170"/>
  <c r="E170" s="1"/>
  <c r="D171" s="1"/>
  <c r="E171" s="1"/>
  <c r="F172" s="1"/>
  <c r="E19" s="1"/>
  <c r="E100" i="3"/>
  <c r="F101" s="1"/>
  <c r="F104" s="1"/>
  <c r="E11" s="1"/>
  <c r="F148"/>
  <c r="E16" s="1"/>
  <c r="C145" i="9"/>
  <c r="C146" s="1"/>
  <c r="D130"/>
  <c r="E130" s="1"/>
  <c r="D131" s="1"/>
  <c r="E131" s="1"/>
  <c r="E149" i="5"/>
  <c r="D110" i="8"/>
  <c r="E110" s="1"/>
  <c r="F111" s="1"/>
  <c r="F114" s="1"/>
  <c r="E21" s="1"/>
  <c r="E130"/>
  <c r="D131" s="1"/>
  <c r="E131" s="1"/>
  <c r="E160" i="6"/>
  <c r="C140" i="8"/>
  <c r="C141" s="1"/>
  <c r="D142" s="1"/>
  <c r="E142" s="1"/>
  <c r="D149" s="1"/>
  <c r="E149" s="1"/>
  <c r="D125"/>
  <c r="C145"/>
  <c r="C146" s="1"/>
  <c r="D147" s="1"/>
  <c r="E147" s="1"/>
  <c r="D150" s="1"/>
  <c r="E150" s="1"/>
  <c r="D130"/>
  <c r="E66" i="5"/>
  <c r="E43" i="3"/>
  <c r="D47"/>
  <c r="E47" s="1"/>
  <c r="D52"/>
  <c r="E52" s="1"/>
  <c r="D59" i="4"/>
  <c r="E59" s="1"/>
  <c r="D62"/>
  <c r="E62" s="1"/>
  <c r="E125"/>
  <c r="D126" s="1"/>
  <c r="E126" s="1"/>
  <c r="D130"/>
  <c r="D185"/>
  <c r="E185" s="1"/>
  <c r="D186" s="1"/>
  <c r="E186" s="1"/>
  <c r="F187" s="1"/>
  <c r="E29" s="1"/>
  <c r="F200"/>
  <c r="F202" s="1"/>
  <c r="E30" s="1"/>
  <c r="D63" i="5"/>
  <c r="E63" s="1"/>
  <c r="F85"/>
  <c r="E19" s="1"/>
  <c r="F198"/>
  <c r="F200" s="1"/>
  <c r="E30" s="1"/>
  <c r="E130" i="6"/>
  <c r="D131" s="1"/>
  <c r="E131" s="1"/>
  <c r="E132" s="1"/>
  <c r="D133" s="1"/>
  <c r="E133" s="1"/>
  <c r="D183"/>
  <c r="E183" s="1"/>
  <c r="D184" s="1"/>
  <c r="E184" i="8"/>
  <c r="F185" s="1"/>
  <c r="E29" s="1"/>
  <c r="E62" i="9"/>
  <c r="E111" i="7"/>
  <c r="E134"/>
  <c r="E152" s="1"/>
  <c r="E70"/>
  <c r="C162" i="2"/>
  <c r="E162" s="1"/>
  <c r="F163" s="1"/>
  <c r="E18" s="1"/>
  <c r="E125" i="8"/>
  <c r="D126" s="1"/>
  <c r="E126" s="1"/>
  <c r="E132" s="1"/>
  <c r="D133" s="1"/>
  <c r="E133" s="1"/>
  <c r="E156" i="1"/>
  <c r="F158" s="1"/>
  <c r="E17" s="1"/>
  <c r="E130" i="4"/>
  <c r="D131" s="1"/>
  <c r="E131" s="1"/>
  <c r="E171"/>
  <c r="F173" s="1"/>
  <c r="E27" s="1"/>
  <c r="E110" i="6"/>
  <c r="F111" s="1"/>
  <c r="F114" s="1"/>
  <c r="E21" s="1"/>
  <c r="E149"/>
  <c r="D151" s="1"/>
  <c r="E151" s="1"/>
  <c r="D159"/>
  <c r="E159" s="1"/>
  <c r="F160" s="1"/>
  <c r="E26" s="1"/>
  <c r="E184"/>
  <c r="F185" s="1"/>
  <c r="E29" s="1"/>
  <c r="E59" i="7"/>
  <c r="D63" s="1"/>
  <c r="E63" s="1"/>
  <c r="E41"/>
  <c r="C110"/>
  <c r="E110" s="1"/>
  <c r="F111" s="1"/>
  <c r="F114" s="1"/>
  <c r="E21" s="1"/>
  <c r="E127"/>
  <c r="C143"/>
  <c r="E143" s="1"/>
  <c r="D62" i="8"/>
  <c r="E62" s="1"/>
  <c r="D57"/>
  <c r="E57" s="1"/>
  <c r="E53"/>
  <c r="D60"/>
  <c r="E60" s="1"/>
  <c r="D56"/>
  <c r="E56" s="1"/>
  <c r="E209" i="12"/>
  <c r="F209" s="1"/>
  <c r="F211" s="1"/>
  <c r="E31" s="1"/>
  <c r="E160"/>
  <c r="F160" s="1"/>
  <c r="E26" s="1"/>
  <c r="D57" i="4"/>
  <c r="E57" s="1"/>
  <c r="E53"/>
  <c r="D60"/>
  <c r="E60" s="1"/>
  <c r="F85"/>
  <c r="E19" s="1"/>
  <c r="F209" i="5"/>
  <c r="F211" s="1"/>
  <c r="E31" s="1"/>
  <c r="F85" i="6"/>
  <c r="E19" s="1"/>
  <c r="E149" i="7"/>
  <c r="D59" i="8"/>
  <c r="E59" s="1"/>
  <c r="D147" i="9"/>
  <c r="E147" s="1"/>
  <c r="D150" s="1"/>
  <c r="E150" s="1"/>
  <c r="D159"/>
  <c r="E159" s="1"/>
  <c r="E209" i="10"/>
  <c r="E160"/>
  <c r="F160" s="1"/>
  <c r="E26" s="1"/>
  <c r="C110" i="11"/>
  <c r="E110" s="1"/>
  <c r="E41"/>
  <c r="E41" i="5"/>
  <c r="E127"/>
  <c r="E53" i="6"/>
  <c r="D57"/>
  <c r="E57" s="1"/>
  <c r="D62"/>
  <c r="E62" s="1"/>
  <c r="C175"/>
  <c r="E175" s="1"/>
  <c r="F176" s="1"/>
  <c r="E28" s="1"/>
  <c r="D60" i="7"/>
  <c r="E60" s="1"/>
  <c r="E169" i="8"/>
  <c r="F171" s="1"/>
  <c r="E27" s="1"/>
  <c r="E41" i="9"/>
  <c r="D59"/>
  <c r="E59" s="1"/>
  <c r="D63" s="1"/>
  <c r="E63" s="1"/>
  <c r="E66" s="1"/>
  <c r="D183"/>
  <c r="E183" s="1"/>
  <c r="D184" s="1"/>
  <c r="D63" i="10"/>
  <c r="E63" s="1"/>
  <c r="E149"/>
  <c r="E184"/>
  <c r="F185" s="1"/>
  <c r="E29" s="1"/>
  <c r="E62" i="12"/>
  <c r="E125"/>
  <c r="D126" s="1"/>
  <c r="E126" s="1"/>
  <c r="E149"/>
  <c r="D151" s="1"/>
  <c r="E151" s="1"/>
  <c r="F152" s="1"/>
  <c r="E25" s="1"/>
  <c r="E149" i="16"/>
  <c r="E134" i="9"/>
  <c r="E152" s="1"/>
  <c r="E70"/>
  <c r="C140"/>
  <c r="C141" s="1"/>
  <c r="D142" s="1"/>
  <c r="E142" s="1"/>
  <c r="D149" s="1"/>
  <c r="E149" s="1"/>
  <c r="D125"/>
  <c r="E125" s="1"/>
  <c r="D126" s="1"/>
  <c r="E126" s="1"/>
  <c r="E132" s="1"/>
  <c r="D133" s="1"/>
  <c r="E133" s="1"/>
  <c r="E111" i="11"/>
  <c r="E134"/>
  <c r="E152" s="1"/>
  <c r="E70"/>
  <c r="D59" i="6"/>
  <c r="E59" s="1"/>
  <c r="E134" i="8"/>
  <c r="E152" s="1"/>
  <c r="E184" i="9"/>
  <c r="F185" s="1"/>
  <c r="E29" s="1"/>
  <c r="F198"/>
  <c r="F200" s="1"/>
  <c r="E30" s="1"/>
  <c r="F209" i="10"/>
  <c r="F211" s="1"/>
  <c r="E31" s="1"/>
  <c r="E149" i="11"/>
  <c r="E110" i="13"/>
  <c r="F111" s="1"/>
  <c r="F114" s="1"/>
  <c r="E21" s="1"/>
  <c r="D147" i="16"/>
  <c r="E147" s="1"/>
  <c r="D150" s="1"/>
  <c r="E150" s="1"/>
  <c r="C143" i="11"/>
  <c r="E143" s="1"/>
  <c r="E127"/>
  <c r="E209" i="14"/>
  <c r="F209" s="1"/>
  <c r="F211" s="1"/>
  <c r="E31" s="1"/>
  <c r="E160"/>
  <c r="E210" i="16"/>
  <c r="F210" s="1"/>
  <c r="F212" s="1"/>
  <c r="E31" s="1"/>
  <c r="E162"/>
  <c r="F162" s="1"/>
  <c r="E26" s="1"/>
  <c r="E70" i="5"/>
  <c r="F91" i="9"/>
  <c r="E20" s="1"/>
  <c r="E110" i="10"/>
  <c r="F111" s="1"/>
  <c r="F114" s="1"/>
  <c r="E21" s="1"/>
  <c r="E125"/>
  <c r="D126" s="1"/>
  <c r="E126" s="1"/>
  <c r="E59" i="11"/>
  <c r="D159"/>
  <c r="E159" s="1"/>
  <c r="D110" i="12"/>
  <c r="E110" s="1"/>
  <c r="F111" s="1"/>
  <c r="F114" s="1"/>
  <c r="E21" s="1"/>
  <c r="D183" i="13"/>
  <c r="E183" s="1"/>
  <c r="D184" s="1"/>
  <c r="E184" s="1"/>
  <c r="F185" s="1"/>
  <c r="E29" s="1"/>
  <c r="D159" i="14"/>
  <c r="E159" s="1"/>
  <c r="C135" i="23"/>
  <c r="C136" s="1"/>
  <c r="D120"/>
  <c r="D56" i="10"/>
  <c r="E56" s="1"/>
  <c r="E169"/>
  <c r="F171" s="1"/>
  <c r="E27" s="1"/>
  <c r="D60" i="12"/>
  <c r="E60" s="1"/>
  <c r="D59" i="13"/>
  <c r="E59" s="1"/>
  <c r="E111" i="14"/>
  <c r="D60" i="15"/>
  <c r="E60" s="1"/>
  <c r="E70"/>
  <c r="D125"/>
  <c r="E125" s="1"/>
  <c r="D126" s="1"/>
  <c r="E126" s="1"/>
  <c r="D130"/>
  <c r="E130" s="1"/>
  <c r="D131" s="1"/>
  <c r="E131" s="1"/>
  <c r="E134"/>
  <c r="E152" s="1"/>
  <c r="D56" i="16"/>
  <c r="E56" s="1"/>
  <c r="E170"/>
  <c r="F172" s="1"/>
  <c r="E27" s="1"/>
  <c r="E149" i="18"/>
  <c r="E110" i="21"/>
  <c r="C67"/>
  <c r="C67" i="17"/>
  <c r="C57" i="23"/>
  <c r="C67" i="20"/>
  <c r="C57" i="22"/>
  <c r="C67" i="19"/>
  <c r="C67" i="18"/>
  <c r="D56" i="13"/>
  <c r="E56" s="1"/>
  <c r="E169"/>
  <c r="F171" s="1"/>
  <c r="E27" s="1"/>
  <c r="D59" i="14"/>
  <c r="E59" s="1"/>
  <c r="D63" s="1"/>
  <c r="E63" s="1"/>
  <c r="E127"/>
  <c r="E53" i="15"/>
  <c r="D57"/>
  <c r="E57" s="1"/>
  <c r="D62"/>
  <c r="E62" s="1"/>
  <c r="C175"/>
  <c r="E175" s="1"/>
  <c r="F176" s="1"/>
  <c r="E28" s="1"/>
  <c r="D60" i="16"/>
  <c r="E60" s="1"/>
  <c r="E183" i="19"/>
  <c r="F184" s="1"/>
  <c r="E29" s="1"/>
  <c r="E59" i="21"/>
  <c r="E66" s="1"/>
  <c r="F78" s="1"/>
  <c r="E18" s="1"/>
  <c r="B37" i="23"/>
  <c r="B47" i="20"/>
  <c r="F19" i="27"/>
  <c r="B37" i="22"/>
  <c r="B47" i="19"/>
  <c r="B47" i="18"/>
  <c r="B47" i="21"/>
  <c r="B47" i="17"/>
  <c r="D59" i="12"/>
  <c r="E59" s="1"/>
  <c r="D63" s="1"/>
  <c r="E63" s="1"/>
  <c r="D60" i="13"/>
  <c r="E60" s="1"/>
  <c r="E70"/>
  <c r="D125"/>
  <c r="E125" s="1"/>
  <c r="D126" s="1"/>
  <c r="E126" s="1"/>
  <c r="D130"/>
  <c r="E130" s="1"/>
  <c r="D131" s="1"/>
  <c r="E131" s="1"/>
  <c r="E134"/>
  <c r="E152" s="1"/>
  <c r="D56" i="14"/>
  <c r="E56" s="1"/>
  <c r="E66" s="1"/>
  <c r="D59" i="15"/>
  <c r="E59" s="1"/>
  <c r="D63" i="21"/>
  <c r="E63" s="1"/>
  <c r="D159"/>
  <c r="E159" s="1"/>
  <c r="D53" i="23"/>
  <c r="E53" s="1"/>
  <c r="E56" s="1"/>
  <c r="D137"/>
  <c r="E137" s="1"/>
  <c r="D140" s="1"/>
  <c r="E140" s="1"/>
  <c r="C145" i="21"/>
  <c r="C146" s="1"/>
  <c r="D147" s="1"/>
  <c r="E147" s="1"/>
  <c r="D150" s="1"/>
  <c r="E150" s="1"/>
  <c r="D130"/>
  <c r="E130" s="1"/>
  <c r="D131" s="1"/>
  <c r="E131" s="1"/>
  <c r="E132" s="1"/>
  <c r="D133" s="1"/>
  <c r="E133" s="1"/>
  <c r="C205" i="23"/>
  <c r="C218" i="20"/>
  <c r="C217" i="19"/>
  <c r="C205" i="22"/>
  <c r="C218" i="18"/>
  <c r="C218" i="21"/>
  <c r="C217" i="17"/>
  <c r="E53" i="13"/>
  <c r="D57"/>
  <c r="E57" s="1"/>
  <c r="D63" s="1"/>
  <c r="E63" s="1"/>
  <c r="E70" i="14"/>
  <c r="D125"/>
  <c r="E125" s="1"/>
  <c r="D126" s="1"/>
  <c r="E126" s="1"/>
  <c r="E183" i="17"/>
  <c r="F184" s="1"/>
  <c r="E29" s="1"/>
  <c r="D159" i="18"/>
  <c r="E159" s="1"/>
  <c r="E149" i="21"/>
  <c r="E120" i="23"/>
  <c r="D121" s="1"/>
  <c r="E121" s="1"/>
  <c r="E122" s="1"/>
  <c r="D123" s="1"/>
  <c r="E123" s="1"/>
  <c r="D56" i="17"/>
  <c r="E56" s="1"/>
  <c r="E168"/>
  <c r="F170" s="1"/>
  <c r="E27" s="1"/>
  <c r="E41" i="18"/>
  <c r="D59"/>
  <c r="E59" s="1"/>
  <c r="E127"/>
  <c r="E53" i="19"/>
  <c r="D57"/>
  <c r="E57" s="1"/>
  <c r="D62"/>
  <c r="E62" s="1"/>
  <c r="C174"/>
  <c r="E174" s="1"/>
  <c r="F175" s="1"/>
  <c r="E28" s="1"/>
  <c r="C140" i="20"/>
  <c r="C141" s="1"/>
  <c r="D142" s="1"/>
  <c r="E142" s="1"/>
  <c r="D149" s="1"/>
  <c r="E149" s="1"/>
  <c r="C145"/>
  <c r="C146" s="1"/>
  <c r="D147" s="1"/>
  <c r="E147" s="1"/>
  <c r="D150" s="1"/>
  <c r="E150" s="1"/>
  <c r="E43" i="22"/>
  <c r="F68" s="1"/>
  <c r="E8" s="1"/>
  <c r="D47"/>
  <c r="E47" s="1"/>
  <c r="D52"/>
  <c r="E52" s="1"/>
  <c r="E128"/>
  <c r="C100" i="23"/>
  <c r="E100" s="1"/>
  <c r="C130"/>
  <c r="C131" s="1"/>
  <c r="D132" s="1"/>
  <c r="E132" s="1"/>
  <c r="D139" s="1"/>
  <c r="E139" s="1"/>
  <c r="D141" s="1"/>
  <c r="E141" s="1"/>
  <c r="D60" i="17"/>
  <c r="E60" s="1"/>
  <c r="D125"/>
  <c r="E125" s="1"/>
  <c r="D126" s="1"/>
  <c r="E126" s="1"/>
  <c r="D130"/>
  <c r="E130" s="1"/>
  <c r="D131" s="1"/>
  <c r="E131" s="1"/>
  <c r="D59" i="19"/>
  <c r="E59" s="1"/>
  <c r="C175" i="20"/>
  <c r="E175" s="1"/>
  <c r="F176" s="1"/>
  <c r="E28" s="1"/>
  <c r="D49" i="22"/>
  <c r="E49" s="1"/>
  <c r="E53" i="17"/>
  <c r="D57"/>
  <c r="E57" s="1"/>
  <c r="D62"/>
  <c r="E62" s="1"/>
  <c r="D56" i="19"/>
  <c r="E56" s="1"/>
  <c r="D59" i="20"/>
  <c r="E59" s="1"/>
  <c r="D46" i="22"/>
  <c r="E46" s="1"/>
  <c r="C31" i="25"/>
  <c r="D125" i="19"/>
  <c r="E125" s="1"/>
  <c r="D126" s="1"/>
  <c r="E126" s="1"/>
  <c r="D130"/>
  <c r="E130" s="1"/>
  <c r="D131" s="1"/>
  <c r="E131" s="1"/>
  <c r="D115" i="22"/>
  <c r="E115" s="1"/>
  <c r="D116" s="1"/>
  <c r="E116" s="1"/>
  <c r="D120"/>
  <c r="E120" s="1"/>
  <c r="D121" s="1"/>
  <c r="E121" s="1"/>
  <c r="D151" i="20" l="1"/>
  <c r="E151" s="1"/>
  <c r="E132" i="13"/>
  <c r="D133" s="1"/>
  <c r="E133" s="1"/>
  <c r="F134" s="1"/>
  <c r="D151"/>
  <c r="E151" s="1"/>
  <c r="D151" i="17"/>
  <c r="E151" s="1"/>
  <c r="E122" i="22"/>
  <c r="D123" s="1"/>
  <c r="E123" s="1"/>
  <c r="D63" i="17"/>
  <c r="E63" s="1"/>
  <c r="E66" s="1"/>
  <c r="E132" i="16"/>
  <c r="D133" s="1"/>
  <c r="E133" s="1"/>
  <c r="F134" s="1"/>
  <c r="D63"/>
  <c r="E63" s="1"/>
  <c r="E66" s="1"/>
  <c r="F111"/>
  <c r="F114" s="1"/>
  <c r="E21" s="1"/>
  <c r="D151"/>
  <c r="E151" s="1"/>
  <c r="F152" s="1"/>
  <c r="E25" s="1"/>
  <c r="D151" i="15"/>
  <c r="E151" s="1"/>
  <c r="E132"/>
  <c r="D133" s="1"/>
  <c r="E133" s="1"/>
  <c r="F134" s="1"/>
  <c r="E24" s="1"/>
  <c r="F152"/>
  <c r="E25" s="1"/>
  <c r="F111" i="14"/>
  <c r="F114" s="1"/>
  <c r="E21" s="1"/>
  <c r="F160"/>
  <c r="E26" s="1"/>
  <c r="E132" i="12"/>
  <c r="D133" s="1"/>
  <c r="E133" s="1"/>
  <c r="F134" s="1"/>
  <c r="D63" i="11"/>
  <c r="E63" s="1"/>
  <c r="D130" i="10"/>
  <c r="E130" s="1"/>
  <c r="D131" s="1"/>
  <c r="E131" s="1"/>
  <c r="C145"/>
  <c r="C146" s="1"/>
  <c r="D147" s="1"/>
  <c r="E147" s="1"/>
  <c r="D150" s="1"/>
  <c r="E150" s="1"/>
  <c r="E66"/>
  <c r="E132"/>
  <c r="D133" s="1"/>
  <c r="E133" s="1"/>
  <c r="F134" s="1"/>
  <c r="E24" s="1"/>
  <c r="D151" i="9"/>
  <c r="E151" s="1"/>
  <c r="F134" i="6"/>
  <c r="F152"/>
  <c r="E25" s="1"/>
  <c r="D141" i="2"/>
  <c r="E141" s="1"/>
  <c r="F142" s="1"/>
  <c r="E15" s="1"/>
  <c r="D57" i="1"/>
  <c r="E57" s="1"/>
  <c r="E58" s="1"/>
  <c r="D59" s="1"/>
  <c r="E59" s="1"/>
  <c r="F60" s="1"/>
  <c r="E132" i="19"/>
  <c r="D133" s="1"/>
  <c r="E133" s="1"/>
  <c r="E132" i="17"/>
  <c r="D133" s="1"/>
  <c r="E133" s="1"/>
  <c r="D57" i="2"/>
  <c r="E57" s="1"/>
  <c r="E58" s="1"/>
  <c r="D59" s="1"/>
  <c r="E59" s="1"/>
  <c r="F60" s="1"/>
  <c r="D67" i="14"/>
  <c r="E67" s="1"/>
  <c r="E68" s="1"/>
  <c r="D69" s="1"/>
  <c r="E69" s="1"/>
  <c r="F70" s="1"/>
  <c r="F78"/>
  <c r="E18" s="1"/>
  <c r="F78" i="10"/>
  <c r="E18" s="1"/>
  <c r="D67"/>
  <c r="E67" s="1"/>
  <c r="E68" s="1"/>
  <c r="D69" s="1"/>
  <c r="E69" s="1"/>
  <c r="F70" s="1"/>
  <c r="E14" i="1"/>
  <c r="E24" i="13"/>
  <c r="D67" i="9"/>
  <c r="E67" s="1"/>
  <c r="E68" s="1"/>
  <c r="D69" s="1"/>
  <c r="E69" s="1"/>
  <c r="F70" s="1"/>
  <c r="F78"/>
  <c r="E18" s="1"/>
  <c r="E24" i="6"/>
  <c r="F187"/>
  <c r="E22" s="1"/>
  <c r="E14" i="3"/>
  <c r="C145" i="18"/>
  <c r="C146" s="1"/>
  <c r="D147" s="1"/>
  <c r="E147" s="1"/>
  <c r="D150" s="1"/>
  <c r="E150" s="1"/>
  <c r="D130"/>
  <c r="E130" s="1"/>
  <c r="D131" s="1"/>
  <c r="E131" s="1"/>
  <c r="E132" s="1"/>
  <c r="D133" s="1"/>
  <c r="E133" s="1"/>
  <c r="E209" i="13"/>
  <c r="F209" s="1"/>
  <c r="F211" s="1"/>
  <c r="E31" s="1"/>
  <c r="E160"/>
  <c r="F160" s="1"/>
  <c r="E26" s="1"/>
  <c r="E111" i="18"/>
  <c r="F111" s="1"/>
  <c r="F114" s="1"/>
  <c r="E21" s="1"/>
  <c r="E134"/>
  <c r="E152" s="1"/>
  <c r="E70"/>
  <c r="E111" i="20"/>
  <c r="F111" s="1"/>
  <c r="F114" s="1"/>
  <c r="E21" s="1"/>
  <c r="E134"/>
  <c r="E70"/>
  <c r="D57" i="23"/>
  <c r="E57" s="1"/>
  <c r="E58" s="1"/>
  <c r="D59" s="1"/>
  <c r="E59" s="1"/>
  <c r="E209" i="8"/>
  <c r="F209" s="1"/>
  <c r="F211" s="1"/>
  <c r="E31" s="1"/>
  <c r="E160"/>
  <c r="F160" s="1"/>
  <c r="E26" s="1"/>
  <c r="E209" i="9"/>
  <c r="F209" s="1"/>
  <c r="F211" s="1"/>
  <c r="E31" s="1"/>
  <c r="E160"/>
  <c r="E24" i="16"/>
  <c r="E209" i="7"/>
  <c r="F209" s="1"/>
  <c r="F211" s="1"/>
  <c r="E31" s="1"/>
  <c r="E160"/>
  <c r="F160" s="1"/>
  <c r="E26" s="1"/>
  <c r="D53" i="22"/>
  <c r="E53" s="1"/>
  <c r="D63" i="18"/>
  <c r="E63" s="1"/>
  <c r="E66" s="1"/>
  <c r="D63" i="20"/>
  <c r="E63" s="1"/>
  <c r="E66" s="1"/>
  <c r="D63" i="15"/>
  <c r="E63" s="1"/>
  <c r="E66" s="1"/>
  <c r="D151" i="18"/>
  <c r="E151" s="1"/>
  <c r="F152" s="1"/>
  <c r="E25" s="1"/>
  <c r="D151" i="10"/>
  <c r="E151" s="1"/>
  <c r="F152" s="1"/>
  <c r="E25" s="1"/>
  <c r="F111" i="11"/>
  <c r="F114" s="1"/>
  <c r="E21" s="1"/>
  <c r="D63" i="8"/>
  <c r="E63" s="1"/>
  <c r="E66" s="1"/>
  <c r="E66" i="11"/>
  <c r="E132" i="4"/>
  <c r="D133" s="1"/>
  <c r="E133" s="1"/>
  <c r="F134" s="1"/>
  <c r="D53" i="3"/>
  <c r="E53" s="1"/>
  <c r="E111" i="21"/>
  <c r="E134"/>
  <c r="E152" s="1"/>
  <c r="E70"/>
  <c r="D67"/>
  <c r="E67" s="1"/>
  <c r="E68" s="1"/>
  <c r="D69" s="1"/>
  <c r="E69" s="1"/>
  <c r="F187" i="10"/>
  <c r="E22" s="1"/>
  <c r="C145" i="11"/>
  <c r="C146" s="1"/>
  <c r="D147" s="1"/>
  <c r="E147" s="1"/>
  <c r="D150" s="1"/>
  <c r="E150" s="1"/>
  <c r="D151" s="1"/>
  <c r="E151" s="1"/>
  <c r="F152" s="1"/>
  <c r="E25" s="1"/>
  <c r="D130"/>
  <c r="E130" s="1"/>
  <c r="D131" s="1"/>
  <c r="E131" s="1"/>
  <c r="E132" s="1"/>
  <c r="D133" s="1"/>
  <c r="E133" s="1"/>
  <c r="F134" s="1"/>
  <c r="E160"/>
  <c r="E209"/>
  <c r="F209" s="1"/>
  <c r="F211" s="1"/>
  <c r="E31" s="1"/>
  <c r="C145" i="7"/>
  <c r="C146" s="1"/>
  <c r="D147" s="1"/>
  <c r="E147" s="1"/>
  <c r="D150" s="1"/>
  <c r="E150" s="1"/>
  <c r="D151" s="1"/>
  <c r="E151" s="1"/>
  <c r="F152" s="1"/>
  <c r="E25" s="1"/>
  <c r="D130"/>
  <c r="E130" s="1"/>
  <c r="D131" s="1"/>
  <c r="E131" s="1"/>
  <c r="E132" s="1"/>
  <c r="D133" s="1"/>
  <c r="E133" s="1"/>
  <c r="F134" s="1"/>
  <c r="F160" i="11"/>
  <c r="E26" s="1"/>
  <c r="D63" i="6"/>
  <c r="E63" s="1"/>
  <c r="E66" s="1"/>
  <c r="D141" i="1"/>
  <c r="E141" s="1"/>
  <c r="F142" s="1"/>
  <c r="E15" s="1"/>
  <c r="E66" i="7"/>
  <c r="C32" i="25"/>
  <c r="C37"/>
  <c r="E111" i="17"/>
  <c r="F111" s="1"/>
  <c r="F114" s="1"/>
  <c r="E21" s="1"/>
  <c r="E134"/>
  <c r="E152" s="1"/>
  <c r="E70"/>
  <c r="E124" i="22"/>
  <c r="E142" s="1"/>
  <c r="E60"/>
  <c r="E101"/>
  <c r="F101" s="1"/>
  <c r="F104" s="1"/>
  <c r="E11" s="1"/>
  <c r="C145" i="14"/>
  <c r="C146" s="1"/>
  <c r="D147" s="1"/>
  <c r="E147" s="1"/>
  <c r="D150" s="1"/>
  <c r="E150" s="1"/>
  <c r="D151" s="1"/>
  <c r="E151" s="1"/>
  <c r="F152" s="1"/>
  <c r="E25" s="1"/>
  <c r="D130"/>
  <c r="E130" s="1"/>
  <c r="D131" s="1"/>
  <c r="E131" s="1"/>
  <c r="E132" s="1"/>
  <c r="D133" s="1"/>
  <c r="E133" s="1"/>
  <c r="F134" s="1"/>
  <c r="D63" i="19"/>
  <c r="E63" s="1"/>
  <c r="E66" s="1"/>
  <c r="D151" i="21"/>
  <c r="E151" s="1"/>
  <c r="E66" i="13"/>
  <c r="F111" i="21"/>
  <c r="F114" s="1"/>
  <c r="E21" s="1"/>
  <c r="E66" i="12"/>
  <c r="F152" i="9"/>
  <c r="E25" s="1"/>
  <c r="D63" i="4"/>
  <c r="E63" s="1"/>
  <c r="E66" s="1"/>
  <c r="E134" i="19"/>
  <c r="E152" s="1"/>
  <c r="E70"/>
  <c r="E111"/>
  <c r="F111" s="1"/>
  <c r="F114" s="1"/>
  <c r="E21" s="1"/>
  <c r="E101" i="23"/>
  <c r="E124"/>
  <c r="E142" s="1"/>
  <c r="E60"/>
  <c r="E209" i="15"/>
  <c r="F209" s="1"/>
  <c r="F211" s="1"/>
  <c r="E31" s="1"/>
  <c r="E160"/>
  <c r="F160" s="1"/>
  <c r="E26" s="1"/>
  <c r="F187" i="12"/>
  <c r="E22" s="1"/>
  <c r="E24"/>
  <c r="C145" i="5"/>
  <c r="C146" s="1"/>
  <c r="D147" s="1"/>
  <c r="E147" s="1"/>
  <c r="D150" s="1"/>
  <c r="E150" s="1"/>
  <c r="D151" s="1"/>
  <c r="E151" s="1"/>
  <c r="F152" s="1"/>
  <c r="E25" s="1"/>
  <c r="D130"/>
  <c r="E130" s="1"/>
  <c r="D131" s="1"/>
  <c r="E131" s="1"/>
  <c r="E132" s="1"/>
  <c r="D133" s="1"/>
  <c r="E133" s="1"/>
  <c r="F134" s="1"/>
  <c r="E68"/>
  <c r="D69" s="1"/>
  <c r="E69" s="1"/>
  <c r="F70" s="1"/>
  <c r="D67"/>
  <c r="E67" s="1"/>
  <c r="E14" i="2"/>
  <c r="F174"/>
  <c r="E12" s="1"/>
  <c r="F101" i="23"/>
  <c r="F104" s="1"/>
  <c r="E11" s="1"/>
  <c r="E56" i="22"/>
  <c r="F152" i="13"/>
  <c r="E25" s="1"/>
  <c r="F134" i="9"/>
  <c r="F160"/>
  <c r="E26" s="1"/>
  <c r="F134" i="8"/>
  <c r="E56" i="3"/>
  <c r="D151" i="8"/>
  <c r="E151" s="1"/>
  <c r="F152" s="1"/>
  <c r="E25" s="1"/>
  <c r="F68" i="3"/>
  <c r="E8" s="1"/>
  <c r="F78" i="5"/>
  <c r="E18" s="1"/>
  <c r="D141" i="3"/>
  <c r="E141" s="1"/>
  <c r="F142" s="1"/>
  <c r="E15" s="1"/>
  <c r="F60" i="23" l="1"/>
  <c r="F152" i="21"/>
  <c r="E25" s="1"/>
  <c r="F70"/>
  <c r="E17" s="1"/>
  <c r="D67" i="17"/>
  <c r="E67" s="1"/>
  <c r="E68" s="1"/>
  <c r="D69" s="1"/>
  <c r="E69" s="1"/>
  <c r="F70" s="1"/>
  <c r="F78"/>
  <c r="E18" s="1"/>
  <c r="F188" i="16"/>
  <c r="E22" s="1"/>
  <c r="D67" i="18"/>
  <c r="E67" s="1"/>
  <c r="E68" s="1"/>
  <c r="D69" s="1"/>
  <c r="E69" s="1"/>
  <c r="F70" s="1"/>
  <c r="F78"/>
  <c r="E18" s="1"/>
  <c r="F83" i="1"/>
  <c r="E7"/>
  <c r="D67" i="6"/>
  <c r="E67" s="1"/>
  <c r="E68" s="1"/>
  <c r="D69" s="1"/>
  <c r="E69" s="1"/>
  <c r="F70" s="1"/>
  <c r="F78"/>
  <c r="E18" s="1"/>
  <c r="E68" i="20"/>
  <c r="D69" s="1"/>
  <c r="E69" s="1"/>
  <c r="F70" s="1"/>
  <c r="F78"/>
  <c r="E18" s="1"/>
  <c r="D67"/>
  <c r="E67" s="1"/>
  <c r="E17" i="9"/>
  <c r="F93"/>
  <c r="F83" i="2"/>
  <c r="E7"/>
  <c r="F83" i="23"/>
  <c r="E7"/>
  <c r="F93" i="14"/>
  <c r="E17"/>
  <c r="E24"/>
  <c r="F187"/>
  <c r="E22" s="1"/>
  <c r="D67" i="19"/>
  <c r="E67" s="1"/>
  <c r="E68" s="1"/>
  <c r="D69" s="1"/>
  <c r="E69" s="1"/>
  <c r="F70" s="1"/>
  <c r="F78"/>
  <c r="E18" s="1"/>
  <c r="E13" i="2"/>
  <c r="F187" i="8"/>
  <c r="E22" s="1"/>
  <c r="E24"/>
  <c r="E24" i="9"/>
  <c r="F187"/>
  <c r="E22" s="1"/>
  <c r="F93" i="5"/>
  <c r="E17"/>
  <c r="E196" i="23"/>
  <c r="F196" s="1"/>
  <c r="F198" s="1"/>
  <c r="E21" s="1"/>
  <c r="E148"/>
  <c r="F148" s="1"/>
  <c r="E16" s="1"/>
  <c r="E208" i="17"/>
  <c r="F208" s="1"/>
  <c r="F210" s="1"/>
  <c r="E31" s="1"/>
  <c r="E160"/>
  <c r="F160" s="1"/>
  <c r="E26" s="1"/>
  <c r="F152"/>
  <c r="E25" s="1"/>
  <c r="D57" i="22"/>
  <c r="E57" s="1"/>
  <c r="E58" s="1"/>
  <c r="D59" s="1"/>
  <c r="E59" s="1"/>
  <c r="F60" s="1"/>
  <c r="E23" i="12"/>
  <c r="F78"/>
  <c r="E18" s="1"/>
  <c r="D67"/>
  <c r="E67" s="1"/>
  <c r="E68" s="1"/>
  <c r="D69" s="1"/>
  <c r="E69" s="1"/>
  <c r="F70" s="1"/>
  <c r="E23" i="10"/>
  <c r="D67" i="11"/>
  <c r="E67" s="1"/>
  <c r="E68" s="1"/>
  <c r="D69" s="1"/>
  <c r="E69" s="1"/>
  <c r="F70" s="1"/>
  <c r="F78"/>
  <c r="E18" s="1"/>
  <c r="E13" i="1"/>
  <c r="E196" i="22"/>
  <c r="F196" s="1"/>
  <c r="F198" s="1"/>
  <c r="E21" s="1"/>
  <c r="E148"/>
  <c r="F148" s="1"/>
  <c r="E16" s="1"/>
  <c r="F142"/>
  <c r="E15" s="1"/>
  <c r="E13" i="3"/>
  <c r="F174" i="1"/>
  <c r="E12" s="1"/>
  <c r="D67" i="8"/>
  <c r="E67" s="1"/>
  <c r="E68" s="1"/>
  <c r="D69" s="1"/>
  <c r="E69" s="1"/>
  <c r="F70" s="1"/>
  <c r="F78"/>
  <c r="E18" s="1"/>
  <c r="D57" i="3"/>
  <c r="E57" s="1"/>
  <c r="E58" s="1"/>
  <c r="D59" s="1"/>
  <c r="E59" s="1"/>
  <c r="F60" s="1"/>
  <c r="E24" i="5"/>
  <c r="F187"/>
  <c r="E22" s="1"/>
  <c r="F187" i="7"/>
  <c r="E22" s="1"/>
  <c r="E24"/>
  <c r="F187" i="11"/>
  <c r="E22" s="1"/>
  <c r="E24"/>
  <c r="E152" i="20"/>
  <c r="F134"/>
  <c r="E23" i="15"/>
  <c r="F174" i="3"/>
  <c r="E12" s="1"/>
  <c r="F187" i="13"/>
  <c r="E22" s="1"/>
  <c r="F124" i="22"/>
  <c r="F142" i="23"/>
  <c r="E15" s="1"/>
  <c r="F124"/>
  <c r="F134" i="19"/>
  <c r="D67" i="15"/>
  <c r="E67" s="1"/>
  <c r="E68" s="1"/>
  <c r="D69" s="1"/>
  <c r="E69" s="1"/>
  <c r="F70" s="1"/>
  <c r="F78"/>
  <c r="E18" s="1"/>
  <c r="E208" i="19"/>
  <c r="F208" s="1"/>
  <c r="F210" s="1"/>
  <c r="E31" s="1"/>
  <c r="E160"/>
  <c r="F160" s="1"/>
  <c r="E26" s="1"/>
  <c r="F152"/>
  <c r="E25" s="1"/>
  <c r="D67" i="13"/>
  <c r="E67" s="1"/>
  <c r="E68" s="1"/>
  <c r="D69" s="1"/>
  <c r="E69" s="1"/>
  <c r="F70" s="1"/>
  <c r="F78"/>
  <c r="E18" s="1"/>
  <c r="D67" i="7"/>
  <c r="E67" s="1"/>
  <c r="E68" s="1"/>
  <c r="D69" s="1"/>
  <c r="E69" s="1"/>
  <c r="F70" s="1"/>
  <c r="F78"/>
  <c r="E18" s="1"/>
  <c r="E209" i="21"/>
  <c r="F209" s="1"/>
  <c r="F211" s="1"/>
  <c r="E31" s="1"/>
  <c r="E160"/>
  <c r="F160" s="1"/>
  <c r="E26" s="1"/>
  <c r="E24" i="4"/>
  <c r="F189"/>
  <c r="E22" s="1"/>
  <c r="D67"/>
  <c r="E67" s="1"/>
  <c r="E68" s="1"/>
  <c r="D69" s="1"/>
  <c r="E69" s="1"/>
  <c r="F70" s="1"/>
  <c r="F78"/>
  <c r="E18" s="1"/>
  <c r="E23" i="16"/>
  <c r="E209" i="18"/>
  <c r="F209" s="1"/>
  <c r="F211" s="1"/>
  <c r="E31" s="1"/>
  <c r="E160"/>
  <c r="F160" s="1"/>
  <c r="E26" s="1"/>
  <c r="E23" i="6"/>
  <c r="E23" i="13"/>
  <c r="F93" i="10"/>
  <c r="E17"/>
  <c r="F78" i="16"/>
  <c r="E18" s="1"/>
  <c r="D67"/>
  <c r="E67" s="1"/>
  <c r="E68" s="1"/>
  <c r="D69" s="1"/>
  <c r="E69" s="1"/>
  <c r="F70" s="1"/>
  <c r="F134" i="18"/>
  <c r="F134" i="21"/>
  <c r="F187" i="15"/>
  <c r="E22" s="1"/>
  <c r="F134" i="17"/>
  <c r="E17" l="1"/>
  <c r="F93"/>
  <c r="F93" i="21"/>
  <c r="F93" i="18"/>
  <c r="E17"/>
  <c r="E17" i="7"/>
  <c r="F93"/>
  <c r="F93" i="19"/>
  <c r="E17"/>
  <c r="F93" i="15"/>
  <c r="E17"/>
  <c r="F93" i="4"/>
  <c r="E17"/>
  <c r="F83" i="3"/>
  <c r="E7"/>
  <c r="F93" i="8"/>
  <c r="E17"/>
  <c r="F187" i="21"/>
  <c r="E22" s="1"/>
  <c r="E24"/>
  <c r="F93" i="16"/>
  <c r="E17"/>
  <c r="F186" i="17"/>
  <c r="E22" s="1"/>
  <c r="E24"/>
  <c r="E24" i="20"/>
  <c r="E23" i="7"/>
  <c r="F93" i="11"/>
  <c r="E17"/>
  <c r="E17" i="12"/>
  <c r="F93"/>
  <c r="E23" i="8"/>
  <c r="E6" i="23"/>
  <c r="F93" i="13"/>
  <c r="E17"/>
  <c r="E24" i="19"/>
  <c r="F186"/>
  <c r="E22" s="1"/>
  <c r="F187" i="18"/>
  <c r="E22" s="1"/>
  <c r="E24"/>
  <c r="E23" i="4"/>
  <c r="E14" i="23"/>
  <c r="F174"/>
  <c r="E12" s="1"/>
  <c r="E23" i="5"/>
  <c r="E23" i="9"/>
  <c r="E23" i="14"/>
  <c r="F213" i="9"/>
  <c r="E16"/>
  <c r="F93" i="20"/>
  <c r="E17"/>
  <c r="E23" i="11"/>
  <c r="F83" i="22"/>
  <c r="E7"/>
  <c r="E16" i="21"/>
  <c r="F213"/>
  <c r="F213" i="14"/>
  <c r="E16"/>
  <c r="F200" i="2"/>
  <c r="E6"/>
  <c r="F93" i="6"/>
  <c r="E17"/>
  <c r="E16" i="10"/>
  <c r="F213"/>
  <c r="F174" i="22"/>
  <c r="E12" s="1"/>
  <c r="E14"/>
  <c r="E209" i="20"/>
  <c r="F209" s="1"/>
  <c r="F211" s="1"/>
  <c r="E31" s="1"/>
  <c r="E160"/>
  <c r="F160" s="1"/>
  <c r="E26" s="1"/>
  <c r="F152"/>
  <c r="E25" s="1"/>
  <c r="E16" i="17"/>
  <c r="F213" i="5"/>
  <c r="E16"/>
  <c r="F200" i="1"/>
  <c r="E6"/>
  <c r="F212" i="17" l="1"/>
  <c r="F224" i="5"/>
  <c r="F229" s="1"/>
  <c r="D218"/>
  <c r="E218" s="1"/>
  <c r="F219" s="1"/>
  <c r="F221" s="1"/>
  <c r="E32" s="1"/>
  <c r="D218" i="10"/>
  <c r="E218" s="1"/>
  <c r="F219" s="1"/>
  <c r="F221" s="1"/>
  <c r="E32" s="1"/>
  <c r="F224" i="21"/>
  <c r="F229" s="1"/>
  <c r="D218"/>
  <c r="E218" s="1"/>
  <c r="F219" s="1"/>
  <c r="F221" s="1"/>
  <c r="E32" s="1"/>
  <c r="D218" i="9"/>
  <c r="E218" s="1"/>
  <c r="F219" s="1"/>
  <c r="F221" s="1"/>
  <c r="E32" s="1"/>
  <c r="E13" i="23"/>
  <c r="F213" i="13"/>
  <c r="E16"/>
  <c r="F213" i="11"/>
  <c r="E16"/>
  <c r="E23" i="20"/>
  <c r="F214" i="16"/>
  <c r="E16"/>
  <c r="F213" i="8"/>
  <c r="E16"/>
  <c r="E16" i="4"/>
  <c r="F215"/>
  <c r="F212" i="19"/>
  <c r="E16"/>
  <c r="F213" i="18"/>
  <c r="E16"/>
  <c r="E33" i="5"/>
  <c r="F16" s="1"/>
  <c r="E16" i="6"/>
  <c r="F213"/>
  <c r="D218" i="14"/>
  <c r="E218" s="1"/>
  <c r="F219" s="1"/>
  <c r="F221" s="1"/>
  <c r="E32" s="1"/>
  <c r="F200" i="22"/>
  <c r="E6"/>
  <c r="E23" i="18"/>
  <c r="F187" i="20"/>
  <c r="E22" s="1"/>
  <c r="E16"/>
  <c r="E23" i="19"/>
  <c r="F200" i="3"/>
  <c r="E6"/>
  <c r="E16" i="15"/>
  <c r="F213"/>
  <c r="D205" i="1"/>
  <c r="E205" s="1"/>
  <c r="F206" s="1"/>
  <c r="F208" s="1"/>
  <c r="E22" s="1"/>
  <c r="D217" i="17"/>
  <c r="E217" s="1"/>
  <c r="F218" s="1"/>
  <c r="F220" s="1"/>
  <c r="E32" s="1"/>
  <c r="E13" i="22"/>
  <c r="E23" i="1"/>
  <c r="E33" i="10"/>
  <c r="F16" s="1"/>
  <c r="D205" i="2"/>
  <c r="E205" s="1"/>
  <c r="F206" s="1"/>
  <c r="F208" s="1"/>
  <c r="E22" s="1"/>
  <c r="E23" s="1"/>
  <c r="E33" i="21"/>
  <c r="F16" s="1"/>
  <c r="F213" i="12"/>
  <c r="E16"/>
  <c r="E23" i="17"/>
  <c r="E23" i="21"/>
  <c r="E16" i="7"/>
  <c r="F213"/>
  <c r="F23" i="5"/>
  <c r="F200" i="23"/>
  <c r="F211" i="1" l="1"/>
  <c r="F216" s="1"/>
  <c r="F224" i="10"/>
  <c r="F229" s="1"/>
  <c r="F24" i="21"/>
  <c r="F23"/>
  <c r="F211" i="2"/>
  <c r="F216" s="1"/>
  <c r="F10"/>
  <c r="F9"/>
  <c r="F20"/>
  <c r="F8"/>
  <c r="F17"/>
  <c r="F18"/>
  <c r="F16"/>
  <c r="F21"/>
  <c r="F19"/>
  <c r="F15"/>
  <c r="F11"/>
  <c r="F14"/>
  <c r="F12"/>
  <c r="F13"/>
  <c r="F7"/>
  <c r="F6"/>
  <c r="F8" i="1"/>
  <c r="F10"/>
  <c r="F20"/>
  <c r="F18"/>
  <c r="F9"/>
  <c r="F21"/>
  <c r="F19"/>
  <c r="F16"/>
  <c r="F11"/>
  <c r="F17"/>
  <c r="F14"/>
  <c r="F15"/>
  <c r="F7"/>
  <c r="F12"/>
  <c r="F13"/>
  <c r="D217" i="19"/>
  <c r="E217" s="1"/>
  <c r="F218" s="1"/>
  <c r="F220" s="1"/>
  <c r="E32" s="1"/>
  <c r="E33" s="1"/>
  <c r="D218" i="8"/>
  <c r="E218" s="1"/>
  <c r="F219" s="1"/>
  <c r="F221" s="1"/>
  <c r="E32" s="1"/>
  <c r="E33" s="1"/>
  <c r="D218" i="13"/>
  <c r="E218" s="1"/>
  <c r="F219" s="1"/>
  <c r="F221" s="1"/>
  <c r="E32" s="1"/>
  <c r="E33" s="1"/>
  <c r="F16" s="1"/>
  <c r="D205" i="23"/>
  <c r="E205" s="1"/>
  <c r="F206" s="1"/>
  <c r="F208" s="1"/>
  <c r="E22" s="1"/>
  <c r="D218" i="7"/>
  <c r="E218" s="1"/>
  <c r="F219" s="1"/>
  <c r="F221" s="1"/>
  <c r="E32" s="1"/>
  <c r="E33" s="1"/>
  <c r="F16" s="1"/>
  <c r="D205" i="22"/>
  <c r="E205" s="1"/>
  <c r="F206" s="1"/>
  <c r="F208" s="1"/>
  <c r="E22" s="1"/>
  <c r="E23" s="1"/>
  <c r="F224" i="9"/>
  <c r="F229" s="1"/>
  <c r="F32" i="5"/>
  <c r="F224" i="15"/>
  <c r="F229" s="1"/>
  <c r="D218"/>
  <c r="E218" s="1"/>
  <c r="F219" s="1"/>
  <c r="F221" s="1"/>
  <c r="E32" s="1"/>
  <c r="E33" s="1"/>
  <c r="F224" i="6"/>
  <c r="F229" s="1"/>
  <c r="D218"/>
  <c r="E218" s="1"/>
  <c r="F219" s="1"/>
  <c r="F221" s="1"/>
  <c r="E32" s="1"/>
  <c r="D218" i="18"/>
  <c r="E218" s="1"/>
  <c r="F219" s="1"/>
  <c r="F221" s="1"/>
  <c r="E32" s="1"/>
  <c r="E33" s="1"/>
  <c r="F16" s="1"/>
  <c r="D219" i="16"/>
  <c r="E219" s="1"/>
  <c r="F220" s="1"/>
  <c r="F222" s="1"/>
  <c r="E32" s="1"/>
  <c r="F224" i="11"/>
  <c r="F229" s="1"/>
  <c r="D218"/>
  <c r="E218" s="1"/>
  <c r="F219" s="1"/>
  <c r="F221" s="1"/>
  <c r="E32" s="1"/>
  <c r="F22" i="2"/>
  <c r="F22" i="1"/>
  <c r="F213" i="20"/>
  <c r="D218" i="12"/>
  <c r="E218" s="1"/>
  <c r="F219" s="1"/>
  <c r="F221" s="1"/>
  <c r="E32" s="1"/>
  <c r="F19" i="21"/>
  <c r="F27"/>
  <c r="F29"/>
  <c r="F20"/>
  <c r="F30"/>
  <c r="F28"/>
  <c r="F18"/>
  <c r="F21"/>
  <c r="F25"/>
  <c r="F17"/>
  <c r="F26"/>
  <c r="F31"/>
  <c r="F20" i="10"/>
  <c r="F19"/>
  <c r="F30"/>
  <c r="F28"/>
  <c r="F26"/>
  <c r="F27"/>
  <c r="F31"/>
  <c r="F29"/>
  <c r="F21"/>
  <c r="F18"/>
  <c r="F25"/>
  <c r="F22"/>
  <c r="F24"/>
  <c r="F23"/>
  <c r="F17"/>
  <c r="F211" i="3"/>
  <c r="F216" s="1"/>
  <c r="D205"/>
  <c r="E205" s="1"/>
  <c r="F206" s="1"/>
  <c r="F208" s="1"/>
  <c r="E22" s="1"/>
  <c r="F20" i="5"/>
  <c r="F29"/>
  <c r="F28"/>
  <c r="F21"/>
  <c r="F27"/>
  <c r="F31"/>
  <c r="F26"/>
  <c r="F30"/>
  <c r="F19"/>
  <c r="F25"/>
  <c r="F18"/>
  <c r="F24"/>
  <c r="F22"/>
  <c r="F17"/>
  <c r="D220" i="4"/>
  <c r="E220" s="1"/>
  <c r="F221" s="1"/>
  <c r="F223" s="1"/>
  <c r="E32" s="1"/>
  <c r="E33" s="1"/>
  <c r="E33" i="16"/>
  <c r="F16" s="1"/>
  <c r="E33" i="11"/>
  <c r="F16" s="1"/>
  <c r="E33" i="17"/>
  <c r="F32" s="1"/>
  <c r="F6" i="1"/>
  <c r="F23" s="1"/>
  <c r="F223" i="17"/>
  <c r="F228" s="1"/>
  <c r="F22" i="21"/>
  <c r="E33" i="14"/>
  <c r="F32" s="1"/>
  <c r="E33" i="9"/>
  <c r="F32" s="1"/>
  <c r="F224" i="14"/>
  <c r="F229" s="1"/>
  <c r="F32" i="21"/>
  <c r="F32" i="10"/>
  <c r="F33" l="1"/>
  <c r="F211" i="23"/>
  <c r="F216" s="1"/>
  <c r="F211" i="22"/>
  <c r="F216" s="1"/>
  <c r="F33" i="21"/>
  <c r="F223" i="19"/>
  <c r="F228" s="1"/>
  <c r="F224" i="13"/>
  <c r="F229" s="1"/>
  <c r="F33" i="5"/>
  <c r="F226" i="4"/>
  <c r="F231" s="1"/>
  <c r="F20"/>
  <c r="F28"/>
  <c r="F21"/>
  <c r="F29"/>
  <c r="F30"/>
  <c r="F25"/>
  <c r="F31"/>
  <c r="F27"/>
  <c r="F26"/>
  <c r="F19"/>
  <c r="F24"/>
  <c r="F18"/>
  <c r="F22"/>
  <c r="F17"/>
  <c r="F23"/>
  <c r="F16"/>
  <c r="F21" i="15"/>
  <c r="F20"/>
  <c r="F29"/>
  <c r="F19"/>
  <c r="F27"/>
  <c r="F30"/>
  <c r="F28"/>
  <c r="F25"/>
  <c r="F31"/>
  <c r="F26"/>
  <c r="F24"/>
  <c r="F18"/>
  <c r="F22"/>
  <c r="F23"/>
  <c r="F17"/>
  <c r="F16"/>
  <c r="F9" i="22"/>
  <c r="F19"/>
  <c r="F17"/>
  <c r="F18"/>
  <c r="F20"/>
  <c r="F10"/>
  <c r="F8"/>
  <c r="F11"/>
  <c r="F21"/>
  <c r="F16"/>
  <c r="F15"/>
  <c r="F7"/>
  <c r="F14"/>
  <c r="F12"/>
  <c r="F30" i="8"/>
  <c r="F19"/>
  <c r="F20"/>
  <c r="F28"/>
  <c r="F27"/>
  <c r="F29"/>
  <c r="F21"/>
  <c r="F31"/>
  <c r="F25"/>
  <c r="F26"/>
  <c r="F18"/>
  <c r="F22"/>
  <c r="F24"/>
  <c r="F17"/>
  <c r="F23"/>
  <c r="F32" i="16"/>
  <c r="F32" i="18"/>
  <c r="F32" i="7"/>
  <c r="F32" i="8"/>
  <c r="F28" i="17"/>
  <c r="F30"/>
  <c r="F20"/>
  <c r="F19"/>
  <c r="F27"/>
  <c r="F29"/>
  <c r="F18"/>
  <c r="F21"/>
  <c r="F26"/>
  <c r="F25"/>
  <c r="F31"/>
  <c r="F17"/>
  <c r="F24"/>
  <c r="F16"/>
  <c r="F22"/>
  <c r="F29" i="18"/>
  <c r="F20"/>
  <c r="F27"/>
  <c r="F28"/>
  <c r="F30"/>
  <c r="F19"/>
  <c r="F21"/>
  <c r="F25"/>
  <c r="F31"/>
  <c r="F18"/>
  <c r="F26"/>
  <c r="F24"/>
  <c r="F17"/>
  <c r="F22"/>
  <c r="F30" i="19"/>
  <c r="F20"/>
  <c r="F19"/>
  <c r="F27"/>
  <c r="F28"/>
  <c r="F29"/>
  <c r="F21"/>
  <c r="F26"/>
  <c r="F25"/>
  <c r="F18"/>
  <c r="F31"/>
  <c r="F24"/>
  <c r="F22"/>
  <c r="F17"/>
  <c r="F23" i="18"/>
  <c r="F23" i="19"/>
  <c r="D218" i="20"/>
  <c r="E218" s="1"/>
  <c r="F219" s="1"/>
  <c r="F221" s="1"/>
  <c r="E32" s="1"/>
  <c r="F20" i="13"/>
  <c r="F30"/>
  <c r="F19"/>
  <c r="F28"/>
  <c r="F27"/>
  <c r="F21"/>
  <c r="F29"/>
  <c r="F31"/>
  <c r="F26"/>
  <c r="F24"/>
  <c r="F25"/>
  <c r="F22"/>
  <c r="F23"/>
  <c r="F18"/>
  <c r="F17"/>
  <c r="E23" i="23"/>
  <c r="F22" s="1"/>
  <c r="E33" i="12"/>
  <c r="F32" s="1"/>
  <c r="F32" i="11"/>
  <c r="F32" i="15"/>
  <c r="F16" i="19"/>
  <c r="F22" i="22"/>
  <c r="F32" i="13"/>
  <c r="F32" i="19"/>
  <c r="F30" i="16"/>
  <c r="F28"/>
  <c r="F19"/>
  <c r="F20"/>
  <c r="F21"/>
  <c r="F27"/>
  <c r="F29"/>
  <c r="F31"/>
  <c r="F25"/>
  <c r="F26"/>
  <c r="F22"/>
  <c r="F24"/>
  <c r="F18"/>
  <c r="F23"/>
  <c r="F17"/>
  <c r="F29" i="14"/>
  <c r="F20"/>
  <c r="F27"/>
  <c r="F28"/>
  <c r="F19"/>
  <c r="F30"/>
  <c r="F31"/>
  <c r="F21"/>
  <c r="F26"/>
  <c r="F18"/>
  <c r="F25"/>
  <c r="F24"/>
  <c r="F22"/>
  <c r="F17"/>
  <c r="F23"/>
  <c r="F16"/>
  <c r="F28" i="9"/>
  <c r="F21"/>
  <c r="F19"/>
  <c r="F27"/>
  <c r="F29"/>
  <c r="F30"/>
  <c r="F20"/>
  <c r="F26"/>
  <c r="F25"/>
  <c r="F18"/>
  <c r="F31"/>
  <c r="F22"/>
  <c r="F17"/>
  <c r="F24"/>
  <c r="F23"/>
  <c r="F16"/>
  <c r="F27" i="11"/>
  <c r="F19"/>
  <c r="F29"/>
  <c r="F28"/>
  <c r="F30"/>
  <c r="F20"/>
  <c r="F26"/>
  <c r="F21"/>
  <c r="F31"/>
  <c r="F25"/>
  <c r="F18"/>
  <c r="F22"/>
  <c r="F24"/>
  <c r="F23"/>
  <c r="F17"/>
  <c r="F29" i="7"/>
  <c r="F27"/>
  <c r="F28"/>
  <c r="F30"/>
  <c r="F19"/>
  <c r="F20"/>
  <c r="F21"/>
  <c r="F31"/>
  <c r="F26"/>
  <c r="F25"/>
  <c r="F24"/>
  <c r="F18"/>
  <c r="F22"/>
  <c r="F23"/>
  <c r="F17"/>
  <c r="F32" i="4"/>
  <c r="F224" i="12"/>
  <c r="F229" s="1"/>
  <c r="F23" i="17"/>
  <c r="F225" i="16"/>
  <c r="F230" s="1"/>
  <c r="F224" i="18"/>
  <c r="F229" s="1"/>
  <c r="F6" i="22"/>
  <c r="F13"/>
  <c r="F16" i="8"/>
  <c r="F33" s="1"/>
  <c r="E33" i="6"/>
  <c r="F32" s="1"/>
  <c r="F224" i="7"/>
  <c r="F229" s="1"/>
  <c r="F224" i="8"/>
  <c r="F229" s="1"/>
  <c r="E23" i="3"/>
  <c r="F22" s="1"/>
  <c r="F23" i="2"/>
  <c r="F33" i="11" l="1"/>
  <c r="F33" i="7"/>
  <c r="F33" i="18"/>
  <c r="F23" i="22"/>
  <c r="F33" i="16"/>
  <c r="F33" i="14"/>
  <c r="F33" i="13"/>
  <c r="F33" i="9"/>
  <c r="F224" i="20"/>
  <c r="F229" s="1"/>
  <c r="E33"/>
  <c r="F32" s="1"/>
  <c r="F9" i="3"/>
  <c r="F10"/>
  <c r="F17"/>
  <c r="F18"/>
  <c r="F19"/>
  <c r="F20"/>
  <c r="F21"/>
  <c r="F11"/>
  <c r="F16"/>
  <c r="F15"/>
  <c r="F14"/>
  <c r="F8"/>
  <c r="F12"/>
  <c r="F13"/>
  <c r="F7"/>
  <c r="F6"/>
  <c r="F8" i="23"/>
  <c r="F10"/>
  <c r="F19"/>
  <c r="F9"/>
  <c r="F20"/>
  <c r="F18"/>
  <c r="F17"/>
  <c r="F11"/>
  <c r="F15"/>
  <c r="F7"/>
  <c r="F16"/>
  <c r="F21"/>
  <c r="F14"/>
  <c r="F12"/>
  <c r="F6"/>
  <c r="F13"/>
  <c r="F33" i="17"/>
  <c r="F20" i="6"/>
  <c r="F27"/>
  <c r="F30"/>
  <c r="F31"/>
  <c r="F25"/>
  <c r="F29"/>
  <c r="F26"/>
  <c r="F19"/>
  <c r="F28"/>
  <c r="F21"/>
  <c r="F22"/>
  <c r="F24"/>
  <c r="F23"/>
  <c r="F18"/>
  <c r="F17"/>
  <c r="F16"/>
  <c r="F27" i="12"/>
  <c r="F29"/>
  <c r="F19"/>
  <c r="F20"/>
  <c r="F28"/>
  <c r="F30"/>
  <c r="F31"/>
  <c r="F26"/>
  <c r="F25"/>
  <c r="F21"/>
  <c r="F24"/>
  <c r="F22"/>
  <c r="F23"/>
  <c r="F18"/>
  <c r="F17"/>
  <c r="F16"/>
  <c r="F33" i="19"/>
  <c r="F33" i="15"/>
  <c r="F33" i="4"/>
  <c r="F33" i="6" l="1"/>
  <c r="F33" i="12"/>
  <c r="F23" i="23"/>
  <c r="F29" i="20"/>
  <c r="F20"/>
  <c r="F30"/>
  <c r="F27"/>
  <c r="F19"/>
  <c r="F28"/>
  <c r="F21"/>
  <c r="F18"/>
  <c r="F25"/>
  <c r="F17"/>
  <c r="F31"/>
  <c r="F24"/>
  <c r="F26"/>
  <c r="F23"/>
  <c r="F16"/>
  <c r="F33" s="1"/>
  <c r="F22"/>
  <c r="F23" i="3"/>
</calcChain>
</file>

<file path=xl/comments1.xml><?xml version="1.0" encoding="utf-8"?>
<comments xmlns="http://schemas.openxmlformats.org/spreadsheetml/2006/main">
  <authors>
    <author/>
  </authors>
  <commentList>
    <comment ref="D146" authorId="0">
      <text>
        <r>
          <rPr>
            <sz val="10"/>
            <color rgb="FF000000"/>
            <rFont val="Arial"/>
            <charset val="1"/>
          </rPr>
          <t>======
ID#AAAAZZ26_-M
Clauber Bridi    (2022-04-25 19:22:01)
Informar o valor do seguro obrigatório e licenciamento anual de um caminhão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D146" authorId="0">
      <text>
        <r>
          <rPr>
            <sz val="10"/>
            <color rgb="FF000000"/>
            <rFont val="Arial"/>
            <charset val="1"/>
          </rPr>
          <t>======
ID#AAAAZZ26_gA
Clauber Bridi    (2022-04-25 19:22:01)
Informar o valor do seguro obrigatório e licenciamento anual de um caminhão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D146" authorId="0">
      <text>
        <r>
          <rPr>
            <sz val="10"/>
            <color rgb="FF000000"/>
            <rFont val="Arial"/>
            <charset val="1"/>
          </rPr>
          <t>======
ID#AAAAZZ26_so
Clauber Bridi    (2022-04-25 19:22:01)
Informar o valor do seguro obrigatório e licenciamento anual de um caminhão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C124" authorId="0">
      <text>
        <r>
          <rPr>
            <sz val="10"/>
            <color rgb="FF000000"/>
            <rFont val="Arial"/>
            <charset val="1"/>
          </rPr>
          <t>======
ID#AAAAZZ26_3I
Clauber Bridi    (2022-04-25 19:22:00)
Na elaboração do orçamento-base da licitação, informar 0 (zero). Na proposta da licitante, informar a idade do veículo proposto.</t>
        </r>
      </text>
    </comment>
    <comment ref="D159" authorId="0">
      <text>
        <r>
          <rPr>
            <sz val="10"/>
            <color rgb="FF000000"/>
            <rFont val="Arial"/>
            <charset val="1"/>
          </rPr>
          <t>======
ID#AAAAZZ26_fQ
Clauber Bridi    (2022-04-25 19:22:01)
Informar o valor do seguro obrigatório e licenciamento anual de um caminhão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ID#AAAAZZ26_00
Clauber Bridi    (2022-04-25 19:22:01)
Informar o valor do seguro obrigatório e licenciamento anual de um caminhão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C124" authorId="0">
      <text>
        <r>
          <rPr>
            <sz val="10"/>
            <color rgb="FF000000"/>
            <rFont val="Arial"/>
            <charset val="1"/>
          </rPr>
          <t>======
ID#AAAAZZ26_rw
Clauber Bridi    (2022-04-25 19:22:00)
Na elaboração do orçamento-base da licitação, informar 0 (zero). Na proposta da licitante, informar a idade do veículo proposto.</t>
        </r>
      </text>
    </comment>
    <comment ref="D158" authorId="0">
      <text>
        <r>
          <rPr>
            <sz val="10"/>
            <color rgb="FF000000"/>
            <rFont val="Arial"/>
            <charset val="1"/>
          </rPr>
          <t>======
ID#AAAAZZ26_zU
Clauber Bridi    (2022-04-25 19:22:01)
Informar o valor do seguro obrigatório e licenciamento anual de um caminhão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ID#AAAAZZ26_a4
Clauber Bridi    (2022-04-25 19:22:01)
Informar o valor do seguro obrigatório e licenciamento anual de um caminhão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ID#AAAAZZ26_lU
Clauber Bridi    (2022-04-25 19:22:01)
Informar o valor do seguro obrigatório e licenciamento anual de um caminhão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ID#AAAAZZ26_-g
Clauber Bridi    (2022-04-25 19:22:01)
Informar o valor do seguro obrigatório e licenciamento anual de um caminhão</t>
        </r>
      </text>
    </comment>
  </commentList>
</comments>
</file>

<file path=xl/comments10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ID#AAAAZZ26_cU
Clauber Bridi    (2022-04-25 19:22:01)
Informar o valor do seguro obrigatório e licenciamento anual de um caminhão</t>
        </r>
      </text>
    </comment>
  </commentList>
</comments>
</file>

<file path=xl/comments11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ID#AAAAZZ26_5Y
Clauber Bridi    (2022-04-25 19:22:01)
Informar o valor do seguro obrigatório e licenciamento anual de um caminhão</t>
        </r>
      </text>
    </comment>
  </commentList>
</comments>
</file>

<file path=xl/comments12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ID#AAAAZZ26_5Y
Clauber Bridi    (2022-04-25 19:22:01)
Informar o valor do seguro obrigatório e licenciamento anual de um caminhão</t>
        </r>
      </text>
    </comment>
  </commentList>
</comments>
</file>

<file path=xl/comments13.xml><?xml version="1.0" encoding="utf-8"?>
<comments xmlns="http://schemas.openxmlformats.org/spreadsheetml/2006/main">
  <authors>
    <author/>
  </authors>
  <commentList>
    <comment ref="C124" authorId="0">
      <text>
        <r>
          <rPr>
            <sz val="10"/>
            <color rgb="FF000000"/>
            <rFont val="Arial"/>
            <charset val="1"/>
          </rPr>
          <t>======
ID#AAAAZZ26_rw
Clauber Bridi    (2022-04-25 19:22:00)
Na elaboração do orçamento-base da licitação, informar 0 (zero). Na proposta da licitante, informar a idade do veículo proposto.</t>
        </r>
      </text>
    </comment>
    <comment ref="D158" authorId="0">
      <text>
        <r>
          <rPr>
            <sz val="10"/>
            <color rgb="FF000000"/>
            <rFont val="Arial"/>
            <charset val="1"/>
          </rPr>
          <t>======
ID#AAAAZZ26_zU
Clauber Bridi    (2022-04-25 19:22:01)
Informar o valor do seguro obrigatório e licenciamento anual de um caminhão</t>
        </r>
      </text>
    </comment>
  </commentList>
</comments>
</file>

<file path=xl/comments14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ID#AAAAZZ26_mU
Clauber Bridi    (2022-04-25 19:22:01)
Informar o valor do seguro obrigatório e licenciamento anual de um caminhão</t>
        </r>
      </text>
    </comment>
  </commentList>
</comments>
</file>

<file path=xl/comments15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ID#AAAAZZ26_sM
Clauber Bridi    (2022-04-25 19:22:01)
Informar o valor do seguro obrigatório e licenciamento anual de um caminhão</t>
        </r>
      </text>
    </comment>
  </commentList>
</comments>
</file>

<file path=xl/comments16.xml><?xml version="1.0" encoding="utf-8"?>
<comments xmlns="http://schemas.openxmlformats.org/spreadsheetml/2006/main">
  <authors>
    <author/>
  </authors>
  <commentList>
    <comment ref="C124" authorId="0">
      <text>
        <r>
          <rPr>
            <sz val="10"/>
            <color rgb="FF000000"/>
            <rFont val="Arial"/>
            <charset val="1"/>
          </rPr>
          <t>======
ID#AAAAZZQyK8Q
Clauber Bridi    (2022-04-25 19:22:00)
Na elaboração do orçamento-base da licitação, informar 0 (zero). Na proposta da licitante, informar a idade do veículo proposto.</t>
        </r>
      </text>
    </comment>
    <comment ref="D159" authorId="0">
      <text>
        <r>
          <rPr>
            <sz val="10"/>
            <color rgb="FF000000"/>
            <rFont val="Arial"/>
            <charset val="1"/>
          </rPr>
          <t>======
ID#AAAAZZ26_9c
Clauber Bridi    (2022-04-25 19:22:01)
Informar o valor do seguro obrigatório e licenciamento anual de um caminhão</t>
        </r>
      </text>
    </comment>
  </commentList>
</comments>
</file>

<file path=xl/comments17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ID#AAAAZZ26_zo
Clauber Bridi    (2022-04-25 19:22:01)
Informar o valor do seguro obrigatório e licenciamento anual de um caminhão</t>
        </r>
      </text>
    </comment>
  </commentList>
</comments>
</file>

<file path=xl/comments18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ID#AAAAZZ26_00
Clauber Bridi    (2022-04-25 19:22:01)
Informar o valor do seguro obrigatório e licenciamento anual de um caminhão</t>
        </r>
      </text>
    </comment>
  </commentList>
</comments>
</file>

<file path=xl/comments19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ID#AAAAZZ26_zo
Clauber Bridi    (2022-04-25 19:22:01)
Informar o valor do seguro obrigatório e licenciamento anual de um caminhão</t>
        </r>
      </text>
    </comment>
  </commentList>
</comments>
</file>

<file path=xl/comments20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ID#AAAAZZ26_5Y
Clauber Bridi    (2022-04-25 19:22:01)
Informar o valor do seguro obrigatório e licenciamento anual de um caminhão</t>
        </r>
      </text>
    </comment>
  </commentList>
</comments>
</file>

<file path=xl/comments21.xml><?xml version="1.0" encoding="utf-8"?>
<comments xmlns="http://schemas.openxmlformats.org/spreadsheetml/2006/main">
  <authors>
    <author/>
  </authors>
  <commentList>
    <comment ref="D158" authorId="0">
      <text>
        <r>
          <rPr>
            <sz val="10"/>
            <color rgb="FF000000"/>
            <rFont val="Arial"/>
            <charset val="1"/>
          </rPr>
          <t>======
ID#AAAAZZ26_a4
Clauber Bridi    (2022-04-25 19:22:01)
Informar o valor do seguro obrigatório e licenciamento anual de um caminhão</t>
        </r>
      </text>
    </comment>
  </commentList>
</comments>
</file>

<file path=xl/comments22.xml><?xml version="1.0" encoding="utf-8"?>
<comments xmlns="http://schemas.openxmlformats.org/spreadsheetml/2006/main">
  <authors>
    <author/>
  </authors>
  <commentList>
    <comment ref="D146" authorId="0">
      <text>
        <r>
          <rPr>
            <sz val="10"/>
            <color rgb="FF000000"/>
            <rFont val="Arial"/>
            <charset val="1"/>
          </rPr>
          <t>======
ID#AAAAZZ26_-M
Clauber Bridi    (2022-04-25 19:22:01)
Informar o valor do seguro obrigatório e licenciamento anual de um caminhão</t>
        </r>
      </text>
    </comment>
  </commentList>
</comments>
</file>

<file path=xl/comments23.xml><?xml version="1.0" encoding="utf-8"?>
<comments xmlns="http://schemas.openxmlformats.org/spreadsheetml/2006/main">
  <authors>
    <author/>
  </authors>
  <commentList>
    <comment ref="D146" authorId="0">
      <text>
        <r>
          <rPr>
            <sz val="10"/>
            <color rgb="FF000000"/>
            <rFont val="Arial"/>
            <charset val="1"/>
          </rPr>
          <t>======
ID#AAAAZZ26_-M
Clauber Bridi    (2022-04-25 19:22:01)
Informar o valor do seguro obrigatório e licenciamento anual de um caminhão</t>
        </r>
      </text>
    </comment>
  </commentList>
</comments>
</file>

<file path=xl/comments24.xml><?xml version="1.0" encoding="utf-8"?>
<comments xmlns="http://schemas.openxmlformats.org/spreadsheetml/2006/main">
  <authors>
    <author/>
  </authors>
  <commentList>
    <comment ref="C13" authorId="0">
      <text>
        <r>
          <rPr>
            <sz val="10"/>
            <color rgb="FF000000"/>
            <rFont val="Arial"/>
            <charset val="1"/>
          </rPr>
          <t>======
ID#AAAAZZ26_yg
Clauber Bridi    (2022-04-25 19:22:00)
Informar o % de Administração Central estimado</t>
        </r>
      </text>
    </comment>
    <comment ref="C14" authorId="0">
      <text>
        <r>
          <rPr>
            <sz val="10"/>
            <color rgb="FF000000"/>
            <rFont val="Arial"/>
            <charset val="1"/>
          </rPr>
          <t>======
ID#AAAAZZ26_18
Clauber Bridi    (2022-04-25 19:22:00)
Informar o % de Seguros, Riscos e Garantia estimado</t>
        </r>
      </text>
    </comment>
    <comment ref="C15" authorId="0">
      <text>
        <r>
          <rPr>
            <sz val="10"/>
            <color rgb="FF000000"/>
            <rFont val="Arial"/>
            <charset val="1"/>
          </rPr>
          <t>======
ID#AAAAZZ26_nY
Clauber Bridi    (2022-04-25 19:22:00)
Informar o % de Lucro estimado</t>
        </r>
      </text>
    </comment>
    <comment ref="E16" authorId="0">
      <text>
        <r>
          <rPr>
            <sz val="10"/>
            <color rgb="FF000000"/>
            <rFont val="Arial"/>
            <charset val="1"/>
          </rPr>
          <t>======
ID#AAAAZZ26_4w
Clauber Bridi    (2022-04-25 19:22:00)
Informar o valor anual da taxa financeira, em percentual. Admite-se utilizar a SELIC</t>
        </r>
      </text>
    </comment>
    <comment ref="C17" authorId="0">
      <text>
        <r>
          <rPr>
            <sz val="10"/>
            <color rgb="FF000000"/>
            <rFont val="Arial"/>
            <charset val="1"/>
          </rPr>
          <t>======
ID#AAAAZZ26_tA
Clauber Bridi    (2022-04-25 19:22:00)
Informar o percentual de ISS, de acordo com a legislação tributária do município onde serão prestados os serviços. De 2% até o limite de 5%.</t>
        </r>
      </text>
    </comment>
    <comment ref="E17" authorId="0">
      <text>
        <r>
          <rPr>
            <sz val="10"/>
            <color rgb="FF000000"/>
            <rFont val="Arial"/>
            <charset val="1"/>
          </rPr>
          <t>======
ID#AAAAZZ26_tQ
Clauber Bridi    (2022-04-25 19:22:01)
Informar a média de dias úteis entre data de pagamento prevista no contrato e a data final do período de adimplemento da parcela</t>
        </r>
      </text>
    </comment>
    <comment ref="C18" authorId="0">
      <text>
        <r>
          <rPr>
            <sz val="10"/>
            <color rgb="FF000000"/>
            <rFont val="Arial"/>
            <charset val="1"/>
          </rPr>
          <t>======
ID#AAAAZZ26_6U
Clauber Bridi    (2022-04-25 19:22:00)
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<sst xmlns="http://schemas.openxmlformats.org/spreadsheetml/2006/main" count="7280" uniqueCount="351">
  <si>
    <t>Orientações para preenchimento: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</si>
  <si>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</si>
  <si>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</si>
  <si>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 xml:space="preserve">2. Antes de preenchê-la, leia com atenção. </t>
  </si>
  <si>
    <t>3. Preencher somente células em amarelo</t>
  </si>
  <si>
    <t>4. As células azuis deverão ter seus valores preenchidos em outra planilha do arquivo.</t>
  </si>
  <si>
    <t>O TCE/RS não se responsabiliza pelo uso incorreto desta planilha.</t>
  </si>
  <si>
    <t>O orçamento deve ser realizado por responsável técnico habilitado e é de responsabilidade do seu autor.</t>
  </si>
  <si>
    <t>Prefeitura Municipal de Erechim</t>
  </si>
  <si>
    <t xml:space="preserve">Código 76999 – Serviços de Escavadeira Hidráulica 18 ton </t>
  </si>
  <si>
    <t>Planilha de Composição de Custos</t>
  </si>
  <si>
    <t>Orçamento Sintético</t>
  </si>
  <si>
    <t>Descrição do Item</t>
  </si>
  <si>
    <t>Custo (R$/mês)</t>
  </si>
  <si>
    <t>%</t>
  </si>
  <si>
    <t>3.1.1. Depreciação</t>
  </si>
  <si>
    <t>3.1.2. Remuneração do Capital</t>
  </si>
  <si>
    <t>PREÇO TOTAL MENSAL COM A COLETA</t>
  </si>
  <si>
    <t>Quantitativos</t>
  </si>
  <si>
    <t>Mão-de-obra</t>
  </si>
  <si>
    <t>Quantidade</t>
  </si>
  <si>
    <t>'</t>
  </si>
  <si>
    <t>Operador de Escavadeira Hidráulica</t>
  </si>
  <si>
    <t xml:space="preserve">Sindicato de Pav de Obras Correção Salarial </t>
  </si>
  <si>
    <t>Total de mão-de-obra (postos de trabalho)</t>
  </si>
  <si>
    <t>Veículos e Equipamentos</t>
  </si>
  <si>
    <t>Fator de utilização (FU)</t>
  </si>
  <si>
    <t>1. Mão-de-obra</t>
  </si>
  <si>
    <t xml:space="preserve">1.1. Operador de Máquinas </t>
  </si>
  <si>
    <t>Discriminação</t>
  </si>
  <si>
    <t>Unidade</t>
  </si>
  <si>
    <t>Custo unitário</t>
  </si>
  <si>
    <t>Subtotal</t>
  </si>
  <si>
    <r>
      <rPr>
        <b/>
        <sz val="9"/>
        <color rgb="FF000000"/>
        <rFont val="Arial"/>
        <charset val="1"/>
      </rPr>
      <t xml:space="preserve">Total </t>
    </r>
    <r>
      <rPr>
        <b/>
        <u/>
        <sz val="9"/>
        <color rgb="FF000000"/>
        <rFont val="Arial"/>
        <charset val="1"/>
      </rPr>
      <t>(R$)</t>
    </r>
  </si>
  <si>
    <t>Piso da categoria (2)</t>
  </si>
  <si>
    <t>mês</t>
  </si>
  <si>
    <t>Salário mínimo nacional (1)</t>
  </si>
  <si>
    <t>Adicional Noturno</t>
  </si>
  <si>
    <t>horas trabalhadas</t>
  </si>
  <si>
    <t>hora contabilizada</t>
  </si>
  <si>
    <t>Horas Extras (100%)</t>
  </si>
  <si>
    <t>hora</t>
  </si>
  <si>
    <t>Excluir esta linha caso a contratação não tenha previsão de horas extras 100% explícita no edital</t>
  </si>
  <si>
    <t>Horas Extras Noturnas (100%)</t>
  </si>
  <si>
    <t>Excluir esta linha caso a contratação não tenha previsão de horas extras noturnas 100% explícita no edital</t>
  </si>
  <si>
    <t>Horas Extras (50%)</t>
  </si>
  <si>
    <t>Excluir esta linha caso a contratação não tenha previsão de horas extras 50% explícita no edital</t>
  </si>
  <si>
    <t>Horas Extras Noturnas (50%)</t>
  </si>
  <si>
    <t>Excluir esta linha caso a contratação não tenha previsão de horas extras noturnas 50% explícita no edital</t>
  </si>
  <si>
    <t>Descanso Semanal Remunerado (DSR) - hora extra</t>
  </si>
  <si>
    <t>R$</t>
  </si>
  <si>
    <t>Excluir esta linha caso a contratação não tenha previsão de horas extras explícita no edital</t>
  </si>
  <si>
    <t>Base de cálculo da Insalubridade</t>
  </si>
  <si>
    <t>Adicional de Insalubridade</t>
  </si>
  <si>
    <t>Soma</t>
  </si>
  <si>
    <t>Encargos Sociais</t>
  </si>
  <si>
    <t xml:space="preserve">Total por funcionário </t>
  </si>
  <si>
    <t>Total do Efetivo</t>
  </si>
  <si>
    <t>homem</t>
  </si>
  <si>
    <t>Fator de utilização</t>
  </si>
  <si>
    <t>1.2. Vale Transporte</t>
  </si>
  <si>
    <t>Vale Transporte</t>
  </si>
  <si>
    <t>Dias Trabalhados por mês</t>
  </si>
  <si>
    <t>dia</t>
  </si>
  <si>
    <t>Coletor</t>
  </si>
  <si>
    <t>vale</t>
  </si>
  <si>
    <t xml:space="preserve">Operador </t>
  </si>
  <si>
    <t>1.3. Vale-refeição (mensal)</t>
  </si>
  <si>
    <t>unidade</t>
  </si>
  <si>
    <t>Encarregado</t>
  </si>
  <si>
    <t>1.4. Plano de Benefício Social  (Seguro de vida) e (Manutenção e Capacitação Profissional )</t>
  </si>
  <si>
    <t>Seguro de vida em Grupo</t>
  </si>
  <si>
    <t xml:space="preserve">Manutenção e Capacitação Profissional </t>
  </si>
  <si>
    <t>Fator de util.</t>
  </si>
  <si>
    <t>Custo Mensal com Mão-de-obra (R$/mês)</t>
  </si>
  <si>
    <t>2. Uniformes e Equipamentos de Proteção Individual</t>
  </si>
  <si>
    <t>2.1. Uniformes e EPIs</t>
  </si>
  <si>
    <t>Durabilidade (meses)</t>
  </si>
  <si>
    <t>Jaqueta com reflexivo (NBR 15.292)</t>
  </si>
  <si>
    <t>Calça</t>
  </si>
  <si>
    <t>Camiseta</t>
  </si>
  <si>
    <t>Boné</t>
  </si>
  <si>
    <t xml:space="preserve">Botina de segurança </t>
  </si>
  <si>
    <t>par</t>
  </si>
  <si>
    <t xml:space="preserve">Meia de algodão </t>
  </si>
  <si>
    <t>Capa de chuva amarela com reflexivo</t>
  </si>
  <si>
    <t>Luva de proteção</t>
  </si>
  <si>
    <t>Mâscara facial</t>
  </si>
  <si>
    <t>Um</t>
  </si>
  <si>
    <t>Protetor solar FPS 30</t>
  </si>
  <si>
    <t>frasco 120g</t>
  </si>
  <si>
    <t>Custo Mensal com Uniformes e EPIs (R$/mês)</t>
  </si>
  <si>
    <t xml:space="preserve">3. Veículos e Máquinas </t>
  </si>
  <si>
    <t xml:space="preserve">3.1. Veículo/Máquina </t>
  </si>
  <si>
    <t>Custo de aquisição do chassis</t>
  </si>
  <si>
    <t>Vida útil do chassis</t>
  </si>
  <si>
    <t>anos</t>
  </si>
  <si>
    <t>Idade do veículo</t>
  </si>
  <si>
    <t>Depreciação do chassis</t>
  </si>
  <si>
    <t xml:space="preserve">Depreciação mensal veículos/máquinas </t>
  </si>
  <si>
    <t xml:space="preserve">Custo de aquisição da Pá Carregadeira </t>
  </si>
  <si>
    <t>Idade do chassis</t>
  </si>
  <si>
    <t>Depreciação mensal do chassis</t>
  </si>
  <si>
    <t>Total por veículo/máquina</t>
  </si>
  <si>
    <t>Total da frota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</si>
  <si>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</si>
  <si>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</si>
  <si>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</si>
  <si>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</si>
  <si>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</si>
  <si>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Valor da Pá Carregadeira proposta (V0)</t>
  </si>
  <si>
    <t xml:space="preserve">Investimento médio total </t>
  </si>
  <si>
    <t>Remuneração mensal de capital da Pá Carregadeira</t>
  </si>
  <si>
    <t xml:space="preserve">Total geral dos veículos </t>
  </si>
  <si>
    <t xml:space="preserve">Total geral da pá carregadeira </t>
  </si>
  <si>
    <t>Total geral da frota</t>
  </si>
  <si>
    <t>3.1.3. Impostos e Seguros</t>
  </si>
  <si>
    <t>Licenciamento e Seguro obrigatório</t>
  </si>
  <si>
    <t>Impostos e seguros mensais</t>
  </si>
  <si>
    <t xml:space="preserve">3.1.4. Consumos óleo diesel </t>
  </si>
  <si>
    <t>Horas mensal</t>
  </si>
  <si>
    <t>Consumo</t>
  </si>
  <si>
    <t xml:space="preserve">Custo de óleo diesel / horas trabalhada </t>
  </si>
  <si>
    <t>litros/hora</t>
  </si>
  <si>
    <t>Custo de Arla</t>
  </si>
  <si>
    <t>Custo mensal com óleo diesel</t>
  </si>
  <si>
    <t>Horas/mês</t>
  </si>
  <si>
    <t xml:space="preserve">Custo total com consumo de óleo diesel </t>
  </si>
  <si>
    <t xml:space="preserve">3.1.5. Manutenção/Consumos </t>
  </si>
  <si>
    <t>Custo de manutenção/consumo de óleos/graxas</t>
  </si>
  <si>
    <t>R$/hora</t>
  </si>
  <si>
    <t>3.1.6. Pneus</t>
  </si>
  <si>
    <t xml:space="preserve">Custo do jogo de pneus </t>
  </si>
  <si>
    <t>Número de recapagens por pneu</t>
  </si>
  <si>
    <t>Custo de recapagem</t>
  </si>
  <si>
    <t>Custo jg. compl. + 2 recap./ km rodado</t>
  </si>
  <si>
    <t>km/jogo</t>
  </si>
  <si>
    <t>Custo mensal com pneus</t>
  </si>
  <si>
    <t>km</t>
  </si>
  <si>
    <t>Custo Mensal com Veículos e Equipamentos (R$/mês)</t>
  </si>
  <si>
    <t xml:space="preserve">4. Ferramentas e materiais </t>
  </si>
  <si>
    <t>Recipiente térmico para água (5L)</t>
  </si>
  <si>
    <t>Publicidade (adesivos veículos)</t>
  </si>
  <si>
    <t>cj</t>
  </si>
  <si>
    <t>Custo Mensal com Ferramentas e Materiais de Consumo (R$/mês)</t>
  </si>
  <si>
    <t xml:space="preserve">5. Monitoramento da frota  </t>
  </si>
  <si>
    <t>Implantação dos equipamentos de monitoramento</t>
  </si>
  <si>
    <t>Custo mensal com implantação</t>
  </si>
  <si>
    <t>Custo mensal com manutenção</t>
  </si>
  <si>
    <t xml:space="preserve">Veículo </t>
  </si>
  <si>
    <t>Custo Mensal com Monitoramento da Frota (R$/mês)</t>
  </si>
  <si>
    <t>CUSTO TOTAL MENSAL COM DESPESAS OPERACIONAIS (R$/mês)</t>
  </si>
  <si>
    <t>4. Benefícios e Despesas Indiretas - BDI</t>
  </si>
  <si>
    <t>Benefícios e despesas indiretas</t>
  </si>
  <si>
    <t>CUSTO MENSAL COM BDI (R$/mês)</t>
  </si>
  <si>
    <t>PREÇO MENSAL TOTAL (R$/mês)</t>
  </si>
  <si>
    <t xml:space="preserve">Quantidade de horas por mês: </t>
  </si>
  <si>
    <t xml:space="preserve">Horas </t>
  </si>
  <si>
    <t>PREÇO POR HORA:  [A/B]</t>
  </si>
  <si>
    <t>R$/Hora</t>
  </si>
  <si>
    <t xml:space="preserve">Código 77000 – Serviços de Escavadeira Hidráulica 20 ton </t>
  </si>
  <si>
    <t xml:space="preserve">Código 77001 – Serviços de Escavadeira Hidráulica 23 ton </t>
  </si>
  <si>
    <t>Código 76997 – Serviços de Caminhão Caçamba-Truck 12 m³ – 6x2</t>
  </si>
  <si>
    <t>Motorista</t>
  </si>
  <si>
    <t>1.1. Motorista</t>
  </si>
  <si>
    <t xml:space="preserve">Obs: Sindicato de Pav de Obras RS (R$1.381,33 + 6,76% IPCA ACUM 12 meses) </t>
  </si>
  <si>
    <t>IPVA</t>
  </si>
  <si>
    <t>Seguro contra terceiros</t>
  </si>
  <si>
    <t>3.1.4. Consumos de óleo diesel</t>
  </si>
  <si>
    <t>Custo de manutenção/consumo de óleos/graxas/pneus</t>
  </si>
  <si>
    <t>Código 76998 – Serviços de Caminhão Caçamba-Traçado 14 m³ – 6x4</t>
  </si>
  <si>
    <t>Código 75644 – Serviços de Caminhão Guincho com Plataforma Deslizante 19 ton</t>
  </si>
  <si>
    <t>Operador</t>
  </si>
  <si>
    <t>Código 77002 – Serviços de Retro - escavadeira 4 x 4</t>
  </si>
  <si>
    <t xml:space="preserve">Operador de Máquinas </t>
  </si>
  <si>
    <t>Código 77003 – Serviços de Motoniveladora</t>
  </si>
  <si>
    <t>Código 77004 – Serviços de Trator Esteira 155 HP</t>
  </si>
  <si>
    <t>´</t>
  </si>
  <si>
    <t>1.1. Operador de Máquinas</t>
  </si>
  <si>
    <t>Código 77005 – Serviços de Trator Esteira 168 HP</t>
  </si>
  <si>
    <t>Código 77006 – Serviços de Caminhão Içamento S/ Plataforma</t>
  </si>
  <si>
    <t>1.1. Operador</t>
  </si>
  <si>
    <t>Código 77007 – Serviços de Caminhão Guindaste Mín 12 Ton.</t>
  </si>
  <si>
    <t>Código 77008 – Serviços de Caminhão Guincho com Plataforma Deslizante 10 ton</t>
  </si>
  <si>
    <t>Código 77009 - Serviços de Carreta Prancha</t>
  </si>
  <si>
    <t>Código 77010 – Serviços de Moto-Scraper com Trator</t>
  </si>
  <si>
    <t>Código 77011 – Serviços de Máquina Rolo com Espargidor</t>
  </si>
  <si>
    <t>Código 77012 – Serviços de Rolo Compactador Vibratório</t>
  </si>
  <si>
    <t xml:space="preserve">Código 77420 - Serviços de Caminhão Pipa </t>
  </si>
  <si>
    <t>Código 77572 – Serviços de Rolo Compactador Vibratório 8 Ton</t>
  </si>
  <si>
    <t>Código 77517 – Serviços de Caminhão Guindaste Articulado</t>
  </si>
  <si>
    <t>Código 73723 – Escavadeira Hidraulica com Rompedor Hidráulico</t>
  </si>
  <si>
    <t xml:space="preserve">Código 79603 – Serviços de Mini Escavadeira Hidráulica </t>
  </si>
  <si>
    <t xml:space="preserve">Código 82846 – Serviços de Empilhadeira </t>
  </si>
  <si>
    <t>1. Preencha previamente os dados de entrada na planilha 3.CAGED</t>
  </si>
  <si>
    <t xml:space="preserve">O orçamento deve ser realizado por responsável técnico habilitado e </t>
  </si>
  <si>
    <t>é de responsabilidade do seu autor.</t>
  </si>
  <si>
    <t xml:space="preserve">3.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</si>
  <si>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</si>
  <si>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</si>
  <si>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</si>
  <si>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</si>
  <si>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</si>
  <si>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</si>
  <si>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</si>
  <si>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</si>
  <si>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</si>
  <si>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</si>
  <si>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</si>
  <si>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</si>
  <si>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</si>
  <si>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</si>
  <si>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</si>
  <si>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</si>
  <si>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</si>
  <si>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</si>
  <si>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</si>
  <si>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</si>
  <si>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</si>
  <si>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</si>
  <si>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</si>
  <si>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</si>
  <si>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</si>
  <si>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</si>
  <si>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</si>
  <si>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</si>
  <si>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</si>
  <si>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</si>
  <si>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</si>
  <si>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</si>
  <si>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</si>
  <si>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</si>
  <si>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</si>
  <si>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</si>
  <si>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</si>
  <si>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</si>
  <si>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</si>
  <si>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</si>
  <si>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</si>
  <si>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</si>
  <si>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</si>
  <si>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</si>
  <si>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</si>
  <si>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</si>
  <si>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</si>
  <si>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</si>
  <si>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</si>
  <si>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</si>
  <si>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</si>
  <si>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</si>
  <si>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</si>
  <si>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</si>
  <si>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 xml:space="preserve">CÁLCULO DAS VERBAS INDENIZATÓRIAS DOS EMPREGADOS NO SETOR </t>
  </si>
  <si>
    <t>Para preencher esta planilha siga os passos 1 a 5:</t>
  </si>
  <si>
    <t xml:space="preserve">1. Acesse o Portal do CAGED no link http://bi.mte.gov.br/cagedestabelecimento/pages/consulta.xhtml </t>
  </si>
  <si>
    <t>2. Na Especificação da Consulta, selecione "Demonstrativo por período" e informe as competências relativas ao período Inicial e Final (últimos 12 meses)</t>
  </si>
  <si>
    <t>3. Nível Geográfico: selecione "Unidade da Federação" e marque a opção "Rio Grande do Sul"</t>
  </si>
  <si>
    <t xml:space="preserve">4. Nível Setorial: selecione "Classe de atividade econômica segundo a classificação CNAE – versão 2.0 (669 categorias)" e marque a opção </t>
  </si>
  <si>
    <t>5. Clique em Gerar Relatório</t>
  </si>
  <si>
    <t>6. Preencha as células em amarelo</t>
  </si>
  <si>
    <t>4. CAGED</t>
  </si>
  <si>
    <t xml:space="preserve">Rio Grande do Sul  - 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</si>
  <si>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</si>
  <si>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</si>
  <si>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</si>
  <si>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</si>
  <si>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</si>
  <si>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</si>
  <si>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</si>
  <si>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</si>
  <si>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</si>
  <si>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</si>
  <si>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</si>
  <si>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 xml:space="preserve"> </t>
  </si>
  <si>
    <t>Indicadores</t>
  </si>
  <si>
    <t>Estoque recuperado início do Período 01-03-2018</t>
  </si>
  <si>
    <t>Estoque recuperado final do Período 28-02-2019</t>
  </si>
  <si>
    <t>Variação Emprego Absoluta de 01-03-2018 a 28-02-2019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</si>
  <si>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</si>
  <si>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</si>
  <si>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</si>
  <si>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</si>
  <si>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</si>
  <si>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</si>
  <si>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</si>
  <si>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</si>
  <si>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</si>
  <si>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</si>
  <si>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1. Esta planilha é somente um modelo-base e deve ser ajustada conforme cada caso concreto.</t>
  </si>
  <si>
    <t>2. Preencher somente células em amarelo</t>
  </si>
  <si>
    <t xml:space="preserve">O orçamento deve ser realizado por responsável técnico habilitado e é </t>
  </si>
  <si>
    <t>de responsabilidade do seu autor.</t>
  </si>
  <si>
    <t>5.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</si>
  <si>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</si>
  <si>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</si>
  <si>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</si>
  <si>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</si>
  <si>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</si>
  <si>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</si>
  <si>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</si>
  <si>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</si>
  <si>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</si>
  <si>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</si>
  <si>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</si>
  <si>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</si>
  <si>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</si>
  <si>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</si>
  <si>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</si>
  <si>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</si>
  <si>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PIS/COFINS/ e CPP se houver</t>
  </si>
  <si>
    <t>Fórmula para o cálculo do BDI:</t>
  </si>
  <si>
    <t>{[(1+AC+SRG) x (1+L) x (1+DF)] / (1-T)} -1</t>
  </si>
  <si>
    <t>Resultado do cálculo do BDI:</t>
  </si>
  <si>
    <t xml:space="preserve">Planilha com os horários dos motoristas e operadores de máquinas </t>
  </si>
  <si>
    <t xml:space="preserve">Periodicidade: Segunda à sexta  </t>
  </si>
  <si>
    <t xml:space="preserve">Nr. Func. </t>
  </si>
  <si>
    <t xml:space="preserve">Cargo </t>
  </si>
  <si>
    <t xml:space="preserve">Dias </t>
  </si>
  <si>
    <t xml:space="preserve">Entrada </t>
  </si>
  <si>
    <t>Saída</t>
  </si>
  <si>
    <t>Total Horas</t>
  </si>
  <si>
    <t>Motoristas</t>
  </si>
  <si>
    <t>Segunda à sexta</t>
  </si>
  <si>
    <t>Operador de Máquinas</t>
  </si>
  <si>
    <t xml:space="preserve">Obs: contemplado uma hora de intervalo.  </t>
  </si>
  <si>
    <t xml:space="preserve">Cargo: Motorista/Operador </t>
  </si>
  <si>
    <t>Total de horas por funcionário</t>
  </si>
  <si>
    <t xml:space="preserve">Total de dias por semana </t>
  </si>
  <si>
    <t xml:space="preserve">Total de horas por semana </t>
  </si>
  <si>
    <t xml:space="preserve">Dias úteis semana </t>
  </si>
  <si>
    <t>Total de dias com (DSR) Descanso Semanal Remunerado</t>
  </si>
  <si>
    <t>Total de horas/dia com (DSR)</t>
  </si>
  <si>
    <t xml:space="preserve">Total de dias no mês (30 dias) </t>
  </si>
  <si>
    <t>Total geral de horas mês com (DSR)</t>
  </si>
  <si>
    <t>Total geral de horas base mês com (DSR)</t>
  </si>
  <si>
    <t xml:space="preserve">Fator de utilização </t>
  </si>
  <si>
    <t>6. Depreciação Referencial TCE/RS (%)</t>
  </si>
  <si>
    <t>Idade do veículo (ano)</t>
  </si>
  <si>
    <t>Depreciação Média</t>
  </si>
  <si>
    <t>AGÊNCIA NACIONAL DO PETRÓLEO, GÁS NATURAL E BIOCOMBUSTÍVEIS - ANP</t>
  </si>
  <si>
    <t>https://preco.anp.gov.br/</t>
  </si>
  <si>
    <t>SUPERINTENDÊNCIA DE DEFESA DA CONCORRÊNCIA</t>
  </si>
  <si>
    <t>LEVANTAMENTO DE PREÇOS DE COMBUSTÍVEIS</t>
  </si>
  <si>
    <t>INTERVALO DE TEMPO: SEMANAL</t>
  </si>
  <si>
    <t>COMBUSTÍVEL: TODOS</t>
  </si>
  <si>
    <t>TIPO RELATÓRIO: MUNICÍPIOS</t>
  </si>
  <si>
    <t>PREÇO VENDA</t>
  </si>
  <si>
    <t>MÉDIA</t>
  </si>
  <si>
    <t>DESVIO PADRÃO</t>
  </si>
  <si>
    <t>VALOR MÍNIMO</t>
  </si>
  <si>
    <t>VALOR MÁXIMO</t>
  </si>
</sst>
</file>

<file path=xl/styles.xml><?xml version="1.0" encoding="utf-8"?>
<styleSheet xmlns="http://schemas.openxmlformats.org/spreadsheetml/2006/main">
  <numFmts count="11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[$R$-416]\ #,##0.00;[Red]\-[$R$-416]\ #,##0.00"/>
    <numFmt numFmtId="168" formatCode="_(* #,##0_);_(* \(#,##0\);_(* \-??_);_(@_)"/>
    <numFmt numFmtId="169" formatCode="_(* #,##0.0000_);_(* \(#,##0.0000\);_(* \-??_);_(@_)"/>
    <numFmt numFmtId="170" formatCode="_-&quot;R$ &quot;* #,##0.00_-;&quot;-R$ &quot;* #,##0.00_-;_-&quot;R$ &quot;* \-??_-;_-@"/>
    <numFmt numFmtId="171" formatCode="_-* #,##0.00_-;\-* #,##0.00_-;_-* \-??_-;_-@"/>
    <numFmt numFmtId="172" formatCode="_(* #,##0.000_);_(* \(#,##0.000\);_(* \-??_);_(@_)"/>
    <numFmt numFmtId="173" formatCode="0.0000"/>
    <numFmt numFmtId="174" formatCode="d/m/yyyy"/>
  </numFmts>
  <fonts count="23">
    <font>
      <sz val="10"/>
      <color rgb="FF000000"/>
      <name val="Arial"/>
      <charset val="1"/>
    </font>
    <font>
      <b/>
      <sz val="12"/>
      <color rgb="FF000000"/>
      <name val="Arial"/>
      <charset val="1"/>
    </font>
    <font>
      <sz val="12"/>
      <color rgb="FF000000"/>
      <name val="Arial"/>
      <charset val="1"/>
    </font>
    <font>
      <b/>
      <sz val="12"/>
      <color rgb="FFFF0000"/>
      <name val="Arial"/>
      <charset val="1"/>
    </font>
    <font>
      <b/>
      <sz val="14"/>
      <color rgb="FF000000"/>
      <name val="Arial"/>
      <charset val="1"/>
    </font>
    <font>
      <sz val="11"/>
      <color rgb="FF000000"/>
      <name val="Arial"/>
      <charset val="1"/>
    </font>
    <font>
      <b/>
      <sz val="11"/>
      <color rgb="FF000000"/>
      <name val="Arial"/>
      <charset val="1"/>
    </font>
    <font>
      <b/>
      <sz val="10"/>
      <color rgb="FF000000"/>
      <name val="Arial"/>
      <charset val="1"/>
    </font>
    <font>
      <u/>
      <sz val="10"/>
      <color rgb="FF0000FF"/>
      <name val="Arial"/>
      <charset val="1"/>
    </font>
    <font>
      <b/>
      <sz val="9"/>
      <color rgb="FF000000"/>
      <name val="Arial"/>
      <charset val="1"/>
    </font>
    <font>
      <b/>
      <u/>
      <sz val="9"/>
      <color rgb="FF000000"/>
      <name val="Arial"/>
      <charset val="1"/>
    </font>
    <font>
      <sz val="8"/>
      <color rgb="FF000000"/>
      <name val="Arial"/>
      <charset val="1"/>
    </font>
    <font>
      <sz val="9"/>
      <color rgb="FF000000"/>
      <name val="Arial"/>
      <charset val="1"/>
    </font>
    <font>
      <i/>
      <sz val="10"/>
      <color rgb="FF000000"/>
      <name val="Arial"/>
      <charset val="1"/>
    </font>
    <font>
      <sz val="10"/>
      <color rgb="FFFF0000"/>
      <name val="Arial"/>
      <charset val="1"/>
    </font>
    <font>
      <b/>
      <sz val="10"/>
      <color rgb="FFFF0000"/>
      <name val="Arial"/>
      <charset val="1"/>
    </font>
    <font>
      <b/>
      <sz val="12"/>
      <color rgb="FF000000"/>
      <name val="Calibri"/>
      <charset val="1"/>
    </font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0"/>
        <bgColor rgb="FFD8D8D8"/>
      </patternFill>
    </fill>
    <fill>
      <patternFill patternType="solid">
        <fgColor rgb="FF72BF44"/>
        <bgColor rgb="FF339966"/>
      </patternFill>
    </fill>
    <fill>
      <patternFill patternType="solid">
        <fgColor rgb="FFD8D8D8"/>
        <bgColor rgb="FFDDD9C3"/>
      </patternFill>
    </fill>
    <fill>
      <patternFill patternType="solid">
        <fgColor rgb="FFA5A5A5"/>
        <bgColor rgb="FFBFBFBF"/>
      </patternFill>
    </fill>
    <fill>
      <patternFill patternType="solid">
        <fgColor rgb="FFFFFFFF"/>
        <bgColor rgb="FFEFEFEF"/>
      </patternFill>
    </fill>
    <fill>
      <patternFill patternType="solid">
        <fgColor rgb="FFDDD9C3"/>
        <bgColor rgb="FFD8D8D8"/>
      </patternFill>
    </fill>
    <fill>
      <patternFill patternType="solid">
        <fgColor rgb="FFEEECE1"/>
        <bgColor rgb="FFEFEFEF"/>
      </patternFill>
    </fill>
    <fill>
      <patternFill patternType="solid">
        <fgColor rgb="FFEFEFEF"/>
        <bgColor rgb="FFEEECE1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73">
    <xf numFmtId="0" fontId="0" fillId="0" borderId="0" xfId="0"/>
    <xf numFmtId="0" fontId="1" fillId="10" borderId="15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9" fontId="6" fillId="0" borderId="38" xfId="0" applyNumberFormat="1" applyFont="1" applyBorder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0" fontId="4" fillId="10" borderId="38" xfId="0" applyFont="1" applyFill="1" applyBorder="1" applyAlignment="1">
      <alignment horizontal="center"/>
    </xf>
    <xf numFmtId="0" fontId="0" fillId="0" borderId="0" xfId="0" applyFont="1" applyBorder="1" applyAlignment="1">
      <alignment horizontal="left" wrapText="1"/>
    </xf>
    <xf numFmtId="0" fontId="4" fillId="2" borderId="38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left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0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164" fontId="0" fillId="0" borderId="4" xfId="0" applyNumberFormat="1" applyFont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164" fontId="0" fillId="0" borderId="7" xfId="0" applyNumberFormat="1" applyFont="1" applyBorder="1" applyAlignment="1">
      <alignment vertical="center"/>
    </xf>
    <xf numFmtId="164" fontId="7" fillId="0" borderId="7" xfId="0" applyNumberFormat="1" applyFont="1" applyBorder="1" applyAlignment="1">
      <alignment vertical="center"/>
    </xf>
    <xf numFmtId="164" fontId="7" fillId="0" borderId="8" xfId="0" applyNumberFormat="1" applyFont="1" applyBorder="1" applyAlignment="1">
      <alignment vertical="center"/>
    </xf>
    <xf numFmtId="164" fontId="7" fillId="0" borderId="9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vertical="center"/>
    </xf>
    <xf numFmtId="164" fontId="7" fillId="0" borderId="11" xfId="0" applyNumberFormat="1" applyFont="1" applyBorder="1" applyAlignment="1">
      <alignment vertical="center"/>
    </xf>
    <xf numFmtId="165" fontId="7" fillId="0" borderId="12" xfId="0" applyNumberFormat="1" applyFont="1" applyBorder="1" applyAlignment="1">
      <alignment vertical="center"/>
    </xf>
    <xf numFmtId="10" fontId="7" fillId="0" borderId="13" xfId="0" applyNumberFormat="1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4" fontId="0" fillId="0" borderId="10" xfId="0" applyNumberFormat="1" applyFont="1" applyBorder="1" applyAlignment="1">
      <alignment vertical="center"/>
    </xf>
    <xf numFmtId="164" fontId="0" fillId="0" borderId="11" xfId="0" applyNumberFormat="1" applyFont="1" applyBorder="1" applyAlignment="1">
      <alignment vertical="center"/>
    </xf>
    <xf numFmtId="165" fontId="0" fillId="0" borderId="12" xfId="0" applyNumberFormat="1" applyFont="1" applyBorder="1" applyAlignment="1">
      <alignment vertical="center"/>
    </xf>
    <xf numFmtId="10" fontId="0" fillId="0" borderId="13" xfId="0" applyNumberFormat="1" applyFont="1" applyBorder="1" applyAlignment="1">
      <alignment vertical="center"/>
    </xf>
    <xf numFmtId="164" fontId="7" fillId="0" borderId="10" xfId="0" applyNumberFormat="1" applyFont="1" applyBorder="1" applyAlignment="1">
      <alignment horizontal="left" vertical="center"/>
    </xf>
    <xf numFmtId="4" fontId="7" fillId="0" borderId="11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left" vertical="center"/>
    </xf>
    <xf numFmtId="4" fontId="0" fillId="0" borderId="11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left" vertical="center"/>
    </xf>
    <xf numFmtId="165" fontId="7" fillId="0" borderId="14" xfId="0" applyNumberFormat="1" applyFont="1" applyBorder="1" applyAlignment="1">
      <alignment vertical="center"/>
    </xf>
    <xf numFmtId="164" fontId="7" fillId="0" borderId="15" xfId="0" applyNumberFormat="1" applyFont="1" applyBorder="1" applyAlignment="1">
      <alignment horizontal="left" vertical="center"/>
    </xf>
    <xf numFmtId="4" fontId="7" fillId="0" borderId="16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vertical="center"/>
    </xf>
    <xf numFmtId="166" fontId="7" fillId="0" borderId="17" xfId="0" applyNumberFormat="1" applyFont="1" applyBorder="1" applyAlignment="1">
      <alignment vertical="center"/>
    </xf>
    <xf numFmtId="9" fontId="7" fillId="0" borderId="18" xfId="0" applyNumberFormat="1" applyFont="1" applyBorder="1" applyAlignment="1">
      <alignment vertical="center"/>
    </xf>
    <xf numFmtId="164" fontId="7" fillId="0" borderId="20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1" fontId="0" fillId="0" borderId="21" xfId="0" applyNumberFormat="1" applyFont="1" applyBorder="1" applyAlignment="1">
      <alignment horizontal="center" vertical="center"/>
    </xf>
    <xf numFmtId="167" fontId="0" fillId="0" borderId="21" xfId="0" applyNumberFormat="1" applyFont="1" applyBorder="1" applyAlignment="1">
      <alignment horizontal="center" vertical="center"/>
    </xf>
    <xf numFmtId="10" fontId="0" fillId="0" borderId="21" xfId="0" applyNumberFormat="1" applyFont="1" applyBorder="1" applyAlignment="1">
      <alignment horizontal="center" vertical="center"/>
    </xf>
    <xf numFmtId="164" fontId="7" fillId="0" borderId="22" xfId="0" applyNumberFormat="1" applyFont="1" applyBorder="1" applyAlignment="1">
      <alignment vertical="center"/>
    </xf>
    <xf numFmtId="4" fontId="7" fillId="0" borderId="23" xfId="0" applyNumberFormat="1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1" fontId="7" fillId="0" borderId="24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vertical="center"/>
    </xf>
    <xf numFmtId="4" fontId="7" fillId="0" borderId="0" xfId="0" applyNumberFormat="1" applyFont="1" applyAlignment="1">
      <alignment vertical="center"/>
    </xf>
    <xf numFmtId="164" fontId="0" fillId="0" borderId="26" xfId="0" applyNumberFormat="1" applyFont="1" applyBorder="1" applyAlignment="1">
      <alignment vertical="center"/>
    </xf>
    <xf numFmtId="164" fontId="0" fillId="0" borderId="27" xfId="0" applyNumberFormat="1" applyFont="1" applyBorder="1" applyAlignment="1">
      <alignment vertical="center"/>
    </xf>
    <xf numFmtId="0" fontId="0" fillId="0" borderId="27" xfId="0" applyFont="1" applyBorder="1" applyAlignment="1">
      <alignment vertical="center"/>
    </xf>
    <xf numFmtId="1" fontId="0" fillId="0" borderId="28" xfId="0" applyNumberFormat="1" applyFont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164" fontId="7" fillId="0" borderId="15" xfId="0" applyNumberFormat="1" applyFont="1" applyBorder="1" applyAlignment="1">
      <alignment vertical="center"/>
    </xf>
    <xf numFmtId="10" fontId="7" fillId="3" borderId="29" xfId="0" applyNumberFormat="1" applyFont="1" applyFill="1" applyBorder="1" applyAlignment="1">
      <alignment vertical="center"/>
    </xf>
    <xf numFmtId="168" fontId="7" fillId="0" borderId="0" xfId="0" applyNumberFormat="1" applyFont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164" fontId="9" fillId="4" borderId="30" xfId="0" applyNumberFormat="1" applyFont="1" applyFill="1" applyBorder="1" applyAlignment="1">
      <alignment horizontal="center" vertical="center"/>
    </xf>
    <xf numFmtId="164" fontId="9" fillId="4" borderId="18" xfId="0" applyNumberFormat="1" applyFont="1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1" xfId="0" applyFont="1" applyBorder="1" applyAlignment="1">
      <alignment horizontal="center" vertical="center"/>
    </xf>
    <xf numFmtId="164" fontId="0" fillId="0" borderId="31" xfId="0" applyNumberFormat="1" applyFont="1" applyBorder="1" applyAlignment="1">
      <alignment horizontal="center" vertical="center"/>
    </xf>
    <xf numFmtId="164" fontId="0" fillId="0" borderId="12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2" fontId="0" fillId="3" borderId="12" xfId="0" applyNumberFormat="1" applyFont="1" applyFill="1" applyBorder="1" applyAlignment="1">
      <alignment horizontal="center" vertical="center"/>
    </xf>
    <xf numFmtId="1" fontId="0" fillId="3" borderId="12" xfId="0" applyNumberFormat="1" applyFont="1" applyFill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7" fillId="0" borderId="32" xfId="0" applyNumberFormat="1" applyFont="1" applyBorder="1" applyAlignment="1">
      <alignment horizontal="center" vertical="center"/>
    </xf>
    <xf numFmtId="164" fontId="0" fillId="5" borderId="12" xfId="0" applyNumberFormat="1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right" vertical="center"/>
    </xf>
    <xf numFmtId="169" fontId="0" fillId="0" borderId="12" xfId="0" applyNumberFormat="1" applyFont="1" applyBorder="1" applyAlignment="1">
      <alignment vertical="center"/>
    </xf>
    <xf numFmtId="164" fontId="7" fillId="4" borderId="29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168" fontId="0" fillId="0" borderId="12" xfId="0" applyNumberFormat="1" applyFont="1" applyBorder="1" applyAlignment="1">
      <alignment horizontal="center" vertical="center"/>
    </xf>
    <xf numFmtId="164" fontId="0" fillId="6" borderId="0" xfId="0" applyNumberFormat="1" applyFont="1" applyFill="1" applyBorder="1" applyAlignment="1" applyProtection="1">
      <alignment vertical="center"/>
      <protection locked="0"/>
    </xf>
    <xf numFmtId="0" fontId="0" fillId="3" borderId="0" xfId="0" applyFont="1" applyFill="1" applyBorder="1" applyAlignment="1">
      <alignment vertical="center"/>
    </xf>
    <xf numFmtId="168" fontId="0" fillId="0" borderId="12" xfId="0" applyNumberFormat="1" applyFont="1" applyBorder="1" applyAlignment="1">
      <alignment vertical="center"/>
    </xf>
    <xf numFmtId="164" fontId="7" fillId="4" borderId="5" xfId="0" applyNumberFormat="1" applyFont="1" applyFill="1" applyBorder="1" applyAlignment="1">
      <alignment vertical="center"/>
    </xf>
    <xf numFmtId="164" fontId="0" fillId="3" borderId="12" xfId="0" applyNumberFormat="1" applyFont="1" applyFill="1" applyBorder="1" applyAlignment="1">
      <alignment horizontal="center" vertical="center"/>
    </xf>
    <xf numFmtId="164" fontId="0" fillId="0" borderId="12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" fontId="0" fillId="0" borderId="12" xfId="0" applyNumberFormat="1" applyFont="1" applyBorder="1" applyAlignment="1">
      <alignment horizontal="center" vertical="center"/>
    </xf>
    <xf numFmtId="170" fontId="0" fillId="3" borderId="12" xfId="0" applyNumberFormat="1" applyFont="1" applyFill="1" applyBorder="1" applyAlignment="1">
      <alignment vertical="center"/>
    </xf>
    <xf numFmtId="170" fontId="0" fillId="3" borderId="12" xfId="0" applyNumberFormat="1" applyFont="1" applyFill="1" applyBorder="1" applyAlignment="1">
      <alignment horizontal="center" vertical="center"/>
    </xf>
    <xf numFmtId="0" fontId="11" fillId="0" borderId="33" xfId="0" applyFont="1" applyBorder="1" applyAlignment="1">
      <alignment vertical="center"/>
    </xf>
    <xf numFmtId="170" fontId="7" fillId="4" borderId="5" xfId="0" applyNumberFormat="1" applyFont="1" applyFill="1" applyBorder="1" applyAlignment="1">
      <alignment vertical="center"/>
    </xf>
    <xf numFmtId="169" fontId="0" fillId="0" borderId="0" xfId="0" applyNumberFormat="1" applyFont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164" fontId="7" fillId="0" borderId="29" xfId="0" applyNumberFormat="1" applyFont="1" applyBorder="1" applyAlignment="1">
      <alignment vertical="center"/>
    </xf>
    <xf numFmtId="0" fontId="9" fillId="4" borderId="30" xfId="0" applyFont="1" applyFill="1" applyBorder="1" applyAlignment="1">
      <alignment horizontal="center" vertical="center" wrapText="1"/>
    </xf>
    <xf numFmtId="13" fontId="0" fillId="3" borderId="12" xfId="0" applyNumberFormat="1" applyFont="1" applyFill="1" applyBorder="1" applyAlignment="1">
      <alignment vertical="center"/>
    </xf>
    <xf numFmtId="164" fontId="0" fillId="6" borderId="31" xfId="0" applyNumberFormat="1" applyFont="1" applyFill="1" applyBorder="1" applyAlignment="1" applyProtection="1">
      <alignment horizontal="center" vertical="center"/>
      <protection locked="0"/>
    </xf>
    <xf numFmtId="164" fontId="0" fillId="6" borderId="12" xfId="0" applyNumberFormat="1" applyFont="1" applyFill="1" applyBorder="1" applyAlignment="1" applyProtection="1">
      <protection locked="0"/>
    </xf>
    <xf numFmtId="0" fontId="0" fillId="0" borderId="16" xfId="0" applyFont="1" applyBorder="1" applyAlignment="1">
      <alignment vertical="center"/>
    </xf>
    <xf numFmtId="164" fontId="0" fillId="0" borderId="16" xfId="0" applyNumberFormat="1" applyFont="1" applyBorder="1" applyAlignment="1">
      <alignment vertical="center"/>
    </xf>
    <xf numFmtId="164" fontId="0" fillId="0" borderId="29" xfId="0" applyNumberFormat="1" applyFont="1" applyBorder="1" applyAlignment="1">
      <alignment vertical="center"/>
    </xf>
    <xf numFmtId="164" fontId="7" fillId="4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6" borderId="12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Font="1" applyAlignment="1">
      <alignment horizontal="center" vertical="center"/>
    </xf>
    <xf numFmtId="171" fontId="0" fillId="0" borderId="0" xfId="0" applyNumberFormat="1" applyFont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64" fontId="7" fillId="0" borderId="34" xfId="0" applyNumberFormat="1" applyFont="1" applyBorder="1" applyAlignment="1">
      <alignment horizontal="center" vertical="center"/>
    </xf>
    <xf numFmtId="164" fontId="0" fillId="3" borderId="31" xfId="0" applyNumberFormat="1" applyFont="1" applyFill="1" applyBorder="1" applyAlignment="1">
      <alignment horizontal="center" vertical="center"/>
    </xf>
    <xf numFmtId="164" fontId="0" fillId="5" borderId="12" xfId="0" applyNumberFormat="1" applyFont="1" applyFill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9" fillId="4" borderId="25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164" fontId="9" fillId="4" borderId="35" xfId="0" applyNumberFormat="1" applyFont="1" applyFill="1" applyBorder="1" applyAlignment="1">
      <alignment horizontal="center" vertical="center"/>
    </xf>
    <xf numFmtId="4" fontId="0" fillId="6" borderId="12" xfId="0" applyNumberFormat="1" applyFont="1" applyFill="1" applyBorder="1" applyAlignment="1" applyProtection="1">
      <alignment horizontal="center" vertical="center"/>
      <protection locked="0"/>
    </xf>
    <xf numFmtId="164" fontId="7" fillId="0" borderId="36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6" borderId="12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Font="1" applyAlignment="1">
      <alignment vertical="center"/>
    </xf>
    <xf numFmtId="4" fontId="0" fillId="3" borderId="12" xfId="0" applyNumberFormat="1" applyFont="1" applyFill="1" applyBorder="1" applyAlignment="1">
      <alignment vertical="center"/>
    </xf>
    <xf numFmtId="4" fontId="0" fillId="6" borderId="31" xfId="0" applyNumberFormat="1" applyFont="1" applyFill="1" applyBorder="1" applyAlignment="1" applyProtection="1">
      <alignment horizontal="center" vertical="center"/>
      <protection locked="0"/>
    </xf>
    <xf numFmtId="172" fontId="0" fillId="6" borderId="31" xfId="0" applyNumberFormat="1" applyFont="1" applyFill="1" applyBorder="1" applyAlignment="1" applyProtection="1">
      <alignment horizontal="center" vertical="center"/>
      <protection locked="0"/>
    </xf>
    <xf numFmtId="172" fontId="0" fillId="0" borderId="12" xfId="0" applyNumberFormat="1" applyFont="1" applyBorder="1" applyAlignment="1">
      <alignment horizontal="center" vertical="center"/>
    </xf>
    <xf numFmtId="168" fontId="7" fillId="0" borderId="12" xfId="0" applyNumberFormat="1" applyFont="1" applyBorder="1" applyAlignment="1">
      <alignment horizontal="center" vertical="center"/>
    </xf>
    <xf numFmtId="172" fontId="7" fillId="0" borderId="12" xfId="0" applyNumberFormat="1" applyFont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/>
    </xf>
    <xf numFmtId="3" fontId="0" fillId="3" borderId="12" xfId="0" applyNumberFormat="1" applyFont="1" applyFill="1" applyBorder="1" applyAlignment="1">
      <alignment horizontal="center" vertical="center"/>
    </xf>
    <xf numFmtId="13" fontId="0" fillId="3" borderId="12" xfId="0" applyNumberFormat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64" fontId="13" fillId="0" borderId="12" xfId="0" applyNumberFormat="1" applyFont="1" applyBorder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7" fillId="0" borderId="37" xfId="0" applyFont="1" applyBorder="1" applyAlignment="1">
      <alignment vertical="center"/>
    </xf>
    <xf numFmtId="164" fontId="0" fillId="3" borderId="11" xfId="0" applyNumberFormat="1" applyFont="1" applyFill="1" applyBorder="1" applyAlignment="1">
      <alignment vertical="center"/>
    </xf>
    <xf numFmtId="164" fontId="0" fillId="0" borderId="36" xfId="0" applyNumberFormat="1" applyFont="1" applyBorder="1" applyAlignment="1">
      <alignment horizontal="center" vertical="center"/>
    </xf>
    <xf numFmtId="164" fontId="7" fillId="0" borderId="29" xfId="0" applyNumberFormat="1" applyFont="1" applyBorder="1" applyAlignment="1">
      <alignment horizontal="right" vertical="center"/>
    </xf>
    <xf numFmtId="164" fontId="7" fillId="4" borderId="5" xfId="0" applyNumberFormat="1" applyFont="1" applyFill="1" applyBorder="1" applyAlignment="1">
      <alignment horizontal="right" vertical="center"/>
    </xf>
    <xf numFmtId="0" fontId="0" fillId="0" borderId="0" xfId="0" applyFont="1" applyAlignment="1"/>
    <xf numFmtId="0" fontId="5" fillId="0" borderId="39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0" fontId="5" fillId="0" borderId="21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horizontal="left" vertical="center"/>
    </xf>
    <xf numFmtId="10" fontId="6" fillId="0" borderId="21" xfId="0" applyNumberFormat="1" applyFont="1" applyBorder="1" applyAlignment="1">
      <alignment horizontal="right" vertical="center"/>
    </xf>
    <xf numFmtId="0" fontId="5" fillId="7" borderId="39" xfId="0" applyFont="1" applyFill="1" applyBorder="1" applyAlignment="1">
      <alignment horizontal="left" vertical="center"/>
    </xf>
    <xf numFmtId="0" fontId="6" fillId="7" borderId="12" xfId="0" applyFont="1" applyFill="1" applyBorder="1" applyAlignment="1">
      <alignment horizontal="left" vertical="center"/>
    </xf>
    <xf numFmtId="10" fontId="6" fillId="7" borderId="21" xfId="0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10" fontId="0" fillId="0" borderId="0" xfId="0" applyNumberFormat="1" applyFont="1" applyAlignment="1"/>
    <xf numFmtId="9" fontId="5" fillId="0" borderId="0" xfId="0" applyNumberFormat="1" applyFont="1" applyAlignment="1">
      <alignment horizontal="right" vertical="center"/>
    </xf>
    <xf numFmtId="0" fontId="5" fillId="0" borderId="12" xfId="0" applyFont="1" applyBorder="1" applyAlignment="1">
      <alignment horizontal="left" vertical="center" wrapText="1"/>
    </xf>
    <xf numFmtId="0" fontId="5" fillId="8" borderId="40" xfId="0" applyFont="1" applyFill="1" applyBorder="1" applyAlignment="1">
      <alignment horizontal="left" vertical="center"/>
    </xf>
    <xf numFmtId="0" fontId="6" fillId="8" borderId="14" xfId="0" applyFont="1" applyFill="1" applyBorder="1" applyAlignment="1">
      <alignment horizontal="left" vertical="center"/>
    </xf>
    <xf numFmtId="10" fontId="6" fillId="8" borderId="28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10" fontId="6" fillId="0" borderId="0" xfId="0" applyNumberFormat="1" applyFont="1" applyAlignment="1">
      <alignment horizontal="right" vertical="center"/>
    </xf>
    <xf numFmtId="0" fontId="0" fillId="9" borderId="0" xfId="0" applyFont="1" applyFill="1" applyBorder="1" applyAlignment="1">
      <alignment horizontal="left" vertical="center"/>
    </xf>
    <xf numFmtId="10" fontId="5" fillId="0" borderId="0" xfId="0" applyNumberFormat="1" applyFont="1" applyAlignment="1">
      <alignment horizontal="right" vertical="center"/>
    </xf>
    <xf numFmtId="0" fontId="5" fillId="9" borderId="0" xfId="0" applyFont="1" applyFill="1" applyBorder="1" applyAlignment="1">
      <alignment horizontal="left" vertical="center"/>
    </xf>
    <xf numFmtId="0" fontId="7" fillId="0" borderId="0" xfId="0" applyFont="1" applyAlignment="1"/>
    <xf numFmtId="0" fontId="15" fillId="0" borderId="0" xfId="0" applyFont="1" applyAlignment="1"/>
    <xf numFmtId="0" fontId="6" fillId="0" borderId="10" xfId="0" applyFont="1" applyBorder="1" applyAlignment="1"/>
    <xf numFmtId="0" fontId="5" fillId="0" borderId="13" xfId="0" applyFont="1" applyBorder="1" applyAlignment="1"/>
    <xf numFmtId="0" fontId="6" fillId="0" borderId="41" xfId="0" applyFont="1" applyBorder="1" applyAlignment="1"/>
    <xf numFmtId="0" fontId="6" fillId="3" borderId="21" xfId="0" applyFont="1" applyFill="1" applyBorder="1" applyAlignment="1"/>
    <xf numFmtId="0" fontId="6" fillId="0" borderId="39" xfId="0" applyFont="1" applyBorder="1" applyAlignment="1"/>
    <xf numFmtId="0" fontId="5" fillId="0" borderId="39" xfId="0" applyFont="1" applyBorder="1" applyAlignment="1"/>
    <xf numFmtId="0" fontId="5" fillId="3" borderId="21" xfId="0" applyFont="1" applyFill="1" applyBorder="1" applyAlignment="1"/>
    <xf numFmtId="0" fontId="5" fillId="0" borderId="41" xfId="0" applyFont="1" applyBorder="1" applyAlignment="1"/>
    <xf numFmtId="0" fontId="5" fillId="3" borderId="42" xfId="0" applyFont="1" applyFill="1" applyBorder="1" applyAlignment="1"/>
    <xf numFmtId="0" fontId="5" fillId="0" borderId="43" xfId="0" applyFont="1" applyBorder="1" applyAlignment="1"/>
    <xf numFmtId="0" fontId="5" fillId="0" borderId="44" xfId="0" applyFont="1" applyBorder="1" applyAlignment="1"/>
    <xf numFmtId="0" fontId="5" fillId="3" borderId="45" xfId="0" applyFont="1" applyFill="1" applyBorder="1" applyAlignment="1"/>
    <xf numFmtId="0" fontId="5" fillId="0" borderId="21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6" fillId="0" borderId="42" xfId="0" applyFont="1" applyBorder="1" applyAlignment="1"/>
    <xf numFmtId="10" fontId="6" fillId="0" borderId="21" xfId="0" applyNumberFormat="1" applyFont="1" applyBorder="1" applyAlignment="1"/>
    <xf numFmtId="173" fontId="6" fillId="0" borderId="21" xfId="0" applyNumberFormat="1" applyFont="1" applyBorder="1" applyAlignment="1"/>
    <xf numFmtId="0" fontId="6" fillId="0" borderId="21" xfId="0" applyFont="1" applyBorder="1" applyAlignment="1"/>
    <xf numFmtId="9" fontId="6" fillId="0" borderId="21" xfId="0" applyNumberFormat="1" applyFont="1" applyBorder="1" applyAlignment="1"/>
    <xf numFmtId="0" fontId="6" fillId="0" borderId="22" xfId="0" applyFont="1" applyBorder="1" applyAlignment="1"/>
    <xf numFmtId="9" fontId="6" fillId="0" borderId="24" xfId="0" applyNumberFormat="1" applyFont="1" applyBorder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9" fontId="5" fillId="0" borderId="39" xfId="0" applyNumberFormat="1" applyFont="1" applyBorder="1" applyAlignment="1"/>
    <xf numFmtId="9" fontId="5" fillId="0" borderId="12" xfId="0" applyNumberFormat="1" applyFont="1" applyBorder="1" applyAlignment="1">
      <alignment horizontal="center"/>
    </xf>
    <xf numFmtId="9" fontId="5" fillId="0" borderId="21" xfId="0" applyNumberFormat="1" applyFont="1" applyBorder="1" applyAlignment="1"/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center" vertical="center"/>
    </xf>
    <xf numFmtId="10" fontId="5" fillId="6" borderId="9" xfId="0" applyNumberFormat="1" applyFont="1" applyFill="1" applyBorder="1" applyAlignment="1">
      <alignment horizontal="center" vertical="center"/>
    </xf>
    <xf numFmtId="10" fontId="5" fillId="0" borderId="39" xfId="0" applyNumberFormat="1" applyFont="1" applyBorder="1" applyAlignment="1">
      <alignment horizontal="right"/>
    </xf>
    <xf numFmtId="10" fontId="5" fillId="0" borderId="12" xfId="0" applyNumberFormat="1" applyFont="1" applyBorder="1" applyAlignment="1">
      <alignment horizontal="right"/>
    </xf>
    <xf numFmtId="10" fontId="5" fillId="0" borderId="21" xfId="0" applyNumberFormat="1" applyFont="1" applyBorder="1" applyAlignment="1">
      <alignment horizontal="right"/>
    </xf>
    <xf numFmtId="0" fontId="5" fillId="0" borderId="12" xfId="0" applyFont="1" applyBorder="1" applyAlignment="1">
      <alignment horizontal="center" vertical="center"/>
    </xf>
    <xf numFmtId="10" fontId="5" fillId="6" borderId="21" xfId="0" applyNumberFormat="1" applyFont="1" applyFill="1" applyBorder="1" applyAlignment="1">
      <alignment horizontal="center" vertical="center"/>
    </xf>
    <xf numFmtId="10" fontId="5" fillId="0" borderId="21" xfId="0" applyNumberFormat="1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/>
    </xf>
    <xf numFmtId="10" fontId="5" fillId="0" borderId="21" xfId="0" applyNumberFormat="1" applyFont="1" applyBorder="1" applyAlignment="1"/>
    <xf numFmtId="0" fontId="5" fillId="0" borderId="39" xfId="0" applyFont="1" applyBorder="1" applyAlignment="1">
      <alignment horizontal="right"/>
    </xf>
    <xf numFmtId="0" fontId="5" fillId="3" borderId="12" xfId="0" applyFont="1" applyFill="1" applyBorder="1" applyAlignment="1">
      <alignment horizontal="center"/>
    </xf>
    <xf numFmtId="0" fontId="5" fillId="0" borderId="40" xfId="0" applyFont="1" applyBorder="1" applyAlignment="1">
      <alignment horizontal="left" vertical="center"/>
    </xf>
    <xf numFmtId="10" fontId="5" fillId="6" borderId="28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10" fontId="5" fillId="0" borderId="50" xfId="0" applyNumberFormat="1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51" xfId="0" applyFont="1" applyBorder="1" applyAlignment="1">
      <alignment vertical="center"/>
    </xf>
    <xf numFmtId="0" fontId="6" fillId="7" borderId="15" xfId="0" applyFont="1" applyFill="1" applyBorder="1" applyAlignment="1">
      <alignment vertical="center" wrapText="1"/>
    </xf>
    <xf numFmtId="0" fontId="5" fillId="7" borderId="16" xfId="0" applyFont="1" applyFill="1" applyBorder="1" applyAlignment="1">
      <alignment vertical="center"/>
    </xf>
    <xf numFmtId="10" fontId="6" fillId="7" borderId="29" xfId="0" applyNumberFormat="1" applyFont="1" applyFill="1" applyBorder="1" applyAlignment="1">
      <alignment horizontal="center" vertical="center" wrapText="1"/>
    </xf>
    <xf numFmtId="10" fontId="5" fillId="0" borderId="40" xfId="0" applyNumberFormat="1" applyFont="1" applyBorder="1" applyAlignment="1">
      <alignment horizontal="right"/>
    </xf>
    <xf numFmtId="10" fontId="5" fillId="0" borderId="14" xfId="0" applyNumberFormat="1" applyFont="1" applyBorder="1" applyAlignment="1">
      <alignment horizontal="right"/>
    </xf>
    <xf numFmtId="10" fontId="5" fillId="0" borderId="28" xfId="0" applyNumberFormat="1" applyFont="1" applyBorder="1" applyAlignment="1">
      <alignment horizontal="right"/>
    </xf>
    <xf numFmtId="0" fontId="16" fillId="0" borderId="0" xfId="0" applyFont="1" applyAlignment="1"/>
    <xf numFmtId="0" fontId="17" fillId="0" borderId="0" xfId="0" applyFont="1" applyAlignment="1"/>
    <xf numFmtId="0" fontId="18" fillId="0" borderId="0" xfId="0" applyFont="1" applyAlignment="1"/>
    <xf numFmtId="0" fontId="18" fillId="0" borderId="12" xfId="0" applyFont="1" applyBorder="1" applyAlignment="1"/>
    <xf numFmtId="0" fontId="18" fillId="0" borderId="12" xfId="0" applyFont="1" applyBorder="1" applyAlignment="1">
      <alignment horizontal="center"/>
    </xf>
    <xf numFmtId="20" fontId="18" fillId="0" borderId="12" xfId="0" applyNumberFormat="1" applyFont="1" applyBorder="1" applyAlignment="1"/>
    <xf numFmtId="164" fontId="17" fillId="0" borderId="0" xfId="0" applyNumberFormat="1" applyFont="1" applyAlignment="1"/>
    <xf numFmtId="0" fontId="17" fillId="0" borderId="37" xfId="0" applyFont="1" applyBorder="1" applyAlignment="1"/>
    <xf numFmtId="0" fontId="17" fillId="0" borderId="11" xfId="0" applyFont="1" applyBorder="1" applyAlignment="1"/>
    <xf numFmtId="164" fontId="17" fillId="0" borderId="12" xfId="0" applyNumberFormat="1" applyFont="1" applyBorder="1" applyAlignment="1"/>
    <xf numFmtId="0" fontId="17" fillId="0" borderId="12" xfId="0" applyFont="1" applyBorder="1" applyAlignment="1"/>
    <xf numFmtId="0" fontId="18" fillId="0" borderId="37" xfId="0" applyFont="1" applyBorder="1" applyAlignment="1"/>
    <xf numFmtId="0" fontId="18" fillId="0" borderId="11" xfId="0" applyFont="1" applyBorder="1" applyAlignment="1"/>
    <xf numFmtId="164" fontId="18" fillId="0" borderId="12" xfId="0" applyNumberFormat="1" applyFont="1" applyBorder="1" applyAlignment="1"/>
    <xf numFmtId="10" fontId="18" fillId="0" borderId="12" xfId="0" applyNumberFormat="1" applyFont="1" applyBorder="1" applyAlignment="1"/>
    <xf numFmtId="0" fontId="6" fillId="0" borderId="39" xfId="0" applyFont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" fontId="5" fillId="11" borderId="12" xfId="0" applyNumberFormat="1" applyFont="1" applyFill="1" applyBorder="1" applyAlignment="1">
      <alignment horizontal="right" vertical="center"/>
    </xf>
    <xf numFmtId="0" fontId="5" fillId="0" borderId="40" xfId="0" applyFont="1" applyBorder="1" applyAlignment="1">
      <alignment horizontal="center" vertical="center"/>
    </xf>
    <xf numFmtId="2" fontId="5" fillId="11" borderId="14" xfId="0" applyNumberFormat="1" applyFont="1" applyFill="1" applyBorder="1" applyAlignment="1">
      <alignment horizontal="right" vertical="center"/>
    </xf>
    <xf numFmtId="2" fontId="0" fillId="0" borderId="0" xfId="0" applyNumberFormat="1" applyFont="1" applyAlignment="1"/>
    <xf numFmtId="0" fontId="5" fillId="0" borderId="0" xfId="0" applyFont="1"/>
    <xf numFmtId="0" fontId="19" fillId="0" borderId="0" xfId="0" applyFont="1" applyBorder="1" applyAlignment="1"/>
    <xf numFmtId="0" fontId="20" fillId="0" borderId="0" xfId="0" applyFont="1" applyAlignment="1"/>
    <xf numFmtId="0" fontId="11" fillId="0" borderId="0" xfId="0" applyFont="1" applyAlignment="1">
      <alignment horizontal="left"/>
    </xf>
    <xf numFmtId="174" fontId="0" fillId="0" borderId="0" xfId="0" applyNumberFormat="1" applyAlignment="1">
      <alignment horizontal="center"/>
    </xf>
    <xf numFmtId="0" fontId="21" fillId="0" borderId="12" xfId="0" applyFont="1" applyBorder="1" applyAlignment="1">
      <alignment horizontal="left"/>
    </xf>
    <xf numFmtId="0" fontId="22" fillId="0" borderId="12" xfId="0" applyFont="1" applyBorder="1" applyAlignment="1">
      <alignment horizontal="center"/>
    </xf>
    <xf numFmtId="0" fontId="21" fillId="1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EFEFEF"/>
      <rgbColor rgb="FF660066"/>
      <rgbColor rgb="FFFF8080"/>
      <rgbColor rgb="FF0066CC"/>
      <rgbColor rgb="FFC6D9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8D8D8"/>
      <rgbColor rgb="FFFFFF99"/>
      <rgbColor rgb="FFBFBFBF"/>
      <rgbColor rgb="FFFF99CC"/>
      <rgbColor rgb="FFCC99FF"/>
      <rgbColor rgb="FFDDD9C3"/>
      <rgbColor rgb="FF3366FF"/>
      <rgbColor rgb="FF33CCCC"/>
      <rgbColor rgb="FF72BF44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4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3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1.%20Caminh&#227;o%20I&#231;amento%20S%20Plataform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3.%20Guincho%20com%20Plataforma%20Desl%2010%20ton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19.%20Rolo%20Compac.%20Vibrat&#243;rio%2018%20Ton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.%20Caminh&#227;o%20Guindaste%20Articulado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.%20Retro%20Escavadeira%20com%20Rompedor%20Hidraulico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OBRAS%20-%20HR%20MAQUINA/HORAS%20M&#193;QUINA%20OBRA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9. Rolo Compac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20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21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19. Depreciaçã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2.xml"/><Relationship Id="rId1" Type="http://schemas.openxmlformats.org/officeDocument/2006/relationships/vmlDrawing" Target="../drawings/vmlDrawing22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3.xml"/><Relationship Id="rId1" Type="http://schemas.openxmlformats.org/officeDocument/2006/relationships/vmlDrawing" Target="../drawings/vmlDrawing23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4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90"/>
  <sheetViews>
    <sheetView topLeftCell="A159" workbookViewId="0">
      <selection activeCell="A2" sqref="A2:F2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customHeight="1">
      <c r="A1" s="13" t="s">
        <v>9</v>
      </c>
      <c r="B1" s="13"/>
      <c r="C1" s="13"/>
      <c r="D1" s="13"/>
      <c r="E1" s="13"/>
      <c r="F1" s="13"/>
      <c r="G1" s="22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1.75" customHeight="1">
      <c r="A2" s="12" t="s">
        <v>10</v>
      </c>
      <c r="B2" s="12"/>
      <c r="C2" s="12"/>
      <c r="D2" s="12"/>
      <c r="E2" s="12"/>
      <c r="F2" s="12"/>
      <c r="G2" s="22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0.5" customHeight="1">
      <c r="A3" s="24"/>
      <c r="B3" s="18"/>
      <c r="C3" s="18"/>
      <c r="D3" s="16"/>
      <c r="E3" s="16"/>
      <c r="F3" s="25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5.75" customHeight="1">
      <c r="A4" s="11" t="s">
        <v>11</v>
      </c>
      <c r="B4" s="11"/>
      <c r="C4" s="11"/>
      <c r="D4" s="11"/>
      <c r="E4" s="11"/>
      <c r="F4" s="11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.75" customHeight="1">
      <c r="A5" s="26" t="s">
        <v>12</v>
      </c>
      <c r="B5" s="27"/>
      <c r="C5" s="27"/>
      <c r="D5" s="28"/>
      <c r="E5" s="29" t="s">
        <v>13</v>
      </c>
      <c r="F5" s="30" t="s">
        <v>14</v>
      </c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>
      <c r="A6" s="31" t="str">
        <f>A39</f>
        <v>1. Mão-de-obra</v>
      </c>
      <c r="B6" s="32"/>
      <c r="C6" s="32"/>
      <c r="D6" s="32"/>
      <c r="E6" s="33">
        <f>+F83</f>
        <v>0</v>
      </c>
      <c r="F6" s="34">
        <f t="shared" ref="F6:F22" si="0">IFERROR(E6/$E$23,0)</f>
        <v>0</v>
      </c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ht="15.75" customHeight="1">
      <c r="A7" s="37" t="str">
        <f>A41</f>
        <v xml:space="preserve">1.1. Operador de Máquinas </v>
      </c>
      <c r="B7" s="38"/>
      <c r="C7" s="38"/>
      <c r="D7" s="38"/>
      <c r="E7" s="39">
        <f>F60</f>
        <v>0</v>
      </c>
      <c r="F7" s="40">
        <f t="shared" si="0"/>
        <v>0</v>
      </c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>
      <c r="A8" s="37" t="str">
        <f>A62</f>
        <v>1.2. Vale Transporte</v>
      </c>
      <c r="B8" s="38"/>
      <c r="C8" s="38"/>
      <c r="D8" s="38"/>
      <c r="E8" s="39">
        <f>F68</f>
        <v>0</v>
      </c>
      <c r="F8" s="40">
        <f t="shared" si="0"/>
        <v>0</v>
      </c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.75" customHeight="1">
      <c r="A9" s="37" t="str">
        <f>A70</f>
        <v>1.3. Vale-refeição (mensal)</v>
      </c>
      <c r="B9" s="38"/>
      <c r="C9" s="38"/>
      <c r="D9" s="38"/>
      <c r="E9" s="39">
        <f>F75</f>
        <v>0</v>
      </c>
      <c r="F9" s="40">
        <f t="shared" si="0"/>
        <v>0</v>
      </c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5.75" customHeight="1">
      <c r="A10" s="37" t="str">
        <f>A77</f>
        <v>1.4. Plano de Benefício Social  (Seguro de vida) e (Manutenção e Capacitação Profissional )</v>
      </c>
      <c r="B10" s="38"/>
      <c r="C10" s="38"/>
      <c r="D10" s="38"/>
      <c r="E10" s="39">
        <f>F81</f>
        <v>0</v>
      </c>
      <c r="F10" s="40">
        <f t="shared" si="0"/>
        <v>0</v>
      </c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5.75" customHeight="1">
      <c r="A11" s="10" t="str">
        <f>A85</f>
        <v>2. Uniformes e Equipamentos de Proteção Individual</v>
      </c>
      <c r="B11" s="10"/>
      <c r="C11" s="10"/>
      <c r="D11" s="32"/>
      <c r="E11" s="33">
        <f>+F104</f>
        <v>0</v>
      </c>
      <c r="F11" s="34">
        <f t="shared" si="0"/>
        <v>0</v>
      </c>
      <c r="G11" s="35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15.75" customHeight="1">
      <c r="A12" s="41" t="str">
        <f>A106</f>
        <v xml:space="preserve">3. Veículos e Máquinas </v>
      </c>
      <c r="B12" s="42"/>
      <c r="C12" s="32"/>
      <c r="D12" s="32"/>
      <c r="E12" s="33">
        <f>+F174</f>
        <v>0</v>
      </c>
      <c r="F12" s="34">
        <f t="shared" si="0"/>
        <v>0</v>
      </c>
      <c r="G12" s="35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5.75" customHeight="1">
      <c r="A13" s="43" t="str">
        <f>A108</f>
        <v xml:space="preserve">3.1. Veículo/Máquina </v>
      </c>
      <c r="B13" s="44"/>
      <c r="C13" s="38"/>
      <c r="D13" s="38"/>
      <c r="E13" s="39">
        <f>SUM(E14:E19)</f>
        <v>0</v>
      </c>
      <c r="F13" s="40">
        <f t="shared" si="0"/>
        <v>0</v>
      </c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45" t="s">
        <v>15</v>
      </c>
      <c r="B14" s="44"/>
      <c r="C14" s="38"/>
      <c r="D14" s="38"/>
      <c r="E14" s="39">
        <f>F124</f>
        <v>0</v>
      </c>
      <c r="F14" s="40">
        <f t="shared" si="0"/>
        <v>0</v>
      </c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45" t="s">
        <v>16</v>
      </c>
      <c r="B15" s="44"/>
      <c r="C15" s="38"/>
      <c r="D15" s="38"/>
      <c r="E15" s="39">
        <f>F142</f>
        <v>0</v>
      </c>
      <c r="F15" s="40">
        <f t="shared" si="0"/>
        <v>0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43" t="str">
        <f>A144</f>
        <v>3.1.3. Impostos e Seguros</v>
      </c>
      <c r="B16" s="44"/>
      <c r="C16" s="38"/>
      <c r="D16" s="38"/>
      <c r="E16" s="39">
        <f>F148</f>
        <v>0</v>
      </c>
      <c r="F16" s="40">
        <f t="shared" si="0"/>
        <v>0</v>
      </c>
      <c r="G16" s="16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>
      <c r="A17" s="43" t="str">
        <f>A149</f>
        <v xml:space="preserve">3.1.4. Consumos óleo diesel </v>
      </c>
      <c r="B17" s="44"/>
      <c r="C17" s="38"/>
      <c r="D17" s="38"/>
      <c r="E17" s="39">
        <f>F158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43" t="str">
        <f>A160</f>
        <v xml:space="preserve">3.1.5. Manutenção/Consumos </v>
      </c>
      <c r="B18" s="44"/>
      <c r="C18" s="38"/>
      <c r="D18" s="38"/>
      <c r="E18" s="39">
        <f>F163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hidden="1" customHeight="1">
      <c r="A19" s="43" t="str">
        <f>A165</f>
        <v>3.1.6. Pneus</v>
      </c>
      <c r="B19" s="44"/>
      <c r="C19" s="38"/>
      <c r="D19" s="38"/>
      <c r="E19" s="39">
        <f>F172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hidden="1" customHeight="1">
      <c r="A20" s="41" t="str">
        <f>A176</f>
        <v xml:space="preserve">4. Ferramentas e materiais </v>
      </c>
      <c r="B20" s="42"/>
      <c r="C20" s="32"/>
      <c r="D20" s="32"/>
      <c r="E20" s="33">
        <f>+F187</f>
        <v>0</v>
      </c>
      <c r="F20" s="34">
        <f t="shared" si="0"/>
        <v>0</v>
      </c>
      <c r="G20" s="35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ht="15.75" hidden="1" customHeight="1">
      <c r="A21" s="41" t="str">
        <f>A189</f>
        <v xml:space="preserve">5. Monitoramento da frota  </v>
      </c>
      <c r="B21" s="42"/>
      <c r="C21" s="32"/>
      <c r="D21" s="32"/>
      <c r="E21" s="33">
        <f>+F198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A202</f>
        <v>4. Benefícios e Despesas Indiretas - BDI</v>
      </c>
      <c r="B22" s="42"/>
      <c r="C22" s="32"/>
      <c r="D22" s="32"/>
      <c r="E22" s="46">
        <f>+F208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7" t="s">
        <v>17</v>
      </c>
      <c r="B23" s="48"/>
      <c r="C23" s="49"/>
      <c r="D23" s="49"/>
      <c r="E23" s="50">
        <f>E6+E11+E12+E20+E21+E22</f>
        <v>0</v>
      </c>
      <c r="F23" s="51">
        <f>F6+F11+F12+F20+F21+F22</f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2.75" customHeight="1">
      <c r="A24" s="15"/>
      <c r="B24" s="15"/>
      <c r="C24" s="15"/>
      <c r="D24" s="16"/>
      <c r="E24" s="16"/>
      <c r="F24" s="16"/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2.75" customHeight="1">
      <c r="A25" s="15"/>
      <c r="B25" s="15"/>
      <c r="C25" s="15"/>
      <c r="D25" s="16"/>
      <c r="E25" s="16"/>
      <c r="F25" s="16"/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" customHeight="1">
      <c r="A26" s="11" t="s">
        <v>18</v>
      </c>
      <c r="B26" s="11"/>
      <c r="C26" s="11"/>
      <c r="D26" s="11"/>
      <c r="E26" s="11"/>
      <c r="F26" s="16"/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" customHeight="1">
      <c r="A27" s="9" t="s">
        <v>19</v>
      </c>
      <c r="B27" s="9"/>
      <c r="C27" s="9"/>
      <c r="D27" s="9"/>
      <c r="E27" s="52" t="s">
        <v>20</v>
      </c>
      <c r="F27" s="16"/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" customHeight="1">
      <c r="A28" s="37" t="s">
        <v>21</v>
      </c>
      <c r="B28" s="38"/>
      <c r="C28" s="38"/>
      <c r="D28" s="53"/>
      <c r="E28" s="54">
        <f>C59</f>
        <v>1</v>
      </c>
      <c r="F28" s="16"/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" customHeight="1">
      <c r="A29" s="37" t="s">
        <v>22</v>
      </c>
      <c r="B29" s="38"/>
      <c r="C29" s="38"/>
      <c r="D29" s="53"/>
      <c r="E29" s="55"/>
      <c r="F29" s="16"/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" customHeight="1">
      <c r="A30" s="37" t="s">
        <v>23</v>
      </c>
      <c r="B30" s="38"/>
      <c r="C30" s="38"/>
      <c r="D30" s="53"/>
      <c r="E30" s="56">
        <v>0</v>
      </c>
      <c r="F30" s="16"/>
      <c r="G30" s="16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" customHeight="1">
      <c r="A31" s="57" t="s">
        <v>24</v>
      </c>
      <c r="B31" s="58"/>
      <c r="C31" s="58"/>
      <c r="D31" s="59"/>
      <c r="E31" s="60">
        <f>SUM(E28)</f>
        <v>1</v>
      </c>
      <c r="F31" s="16"/>
      <c r="G31" s="16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" customHeight="1">
      <c r="A32" s="61"/>
      <c r="B32" s="62"/>
      <c r="C32" s="16"/>
      <c r="D32" s="16"/>
      <c r="E32" s="25"/>
      <c r="F32" s="16"/>
      <c r="G32" s="16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" customHeight="1">
      <c r="A33" s="8" t="s">
        <v>25</v>
      </c>
      <c r="B33" s="8"/>
      <c r="C33" s="8"/>
      <c r="D33" s="8"/>
      <c r="E33" s="52" t="s">
        <v>20</v>
      </c>
      <c r="F33" s="15"/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" customHeight="1">
      <c r="A34" s="63" t="str">
        <f>+A108</f>
        <v xml:space="preserve">3.1. Veículo/Máquina </v>
      </c>
      <c r="B34" s="64"/>
      <c r="C34" s="64"/>
      <c r="D34" s="65"/>
      <c r="E34" s="66">
        <f>C123</f>
        <v>1</v>
      </c>
      <c r="F34" s="15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" customHeight="1">
      <c r="A35" s="16"/>
      <c r="B35" s="16"/>
      <c r="C35" s="16"/>
      <c r="D35" s="15"/>
      <c r="E35" s="67"/>
      <c r="F35" s="15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>
      <c r="A36" s="16"/>
      <c r="B36" s="16"/>
      <c r="C36" s="16"/>
      <c r="D36" s="15"/>
      <c r="E36" s="68"/>
      <c r="F36" s="15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>
      <c r="A37" s="69" t="s">
        <v>26</v>
      </c>
      <c r="B37" s="70">
        <f>'27.Horários'!F17/'27.Horários'!F18</f>
        <v>1</v>
      </c>
      <c r="C37" s="35"/>
      <c r="D37" s="36"/>
      <c r="E37" s="71"/>
      <c r="F37" s="36"/>
      <c r="G37" s="35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 ht="15.75" customHeight="1">
      <c r="A38" s="16"/>
      <c r="B38" s="16"/>
      <c r="C38" s="16"/>
      <c r="D38" s="15"/>
      <c r="E38" s="68"/>
      <c r="F38" s="15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2.75" customHeight="1">
      <c r="A39" s="36" t="s">
        <v>27</v>
      </c>
      <c r="B39" s="15"/>
      <c r="C39" s="15"/>
      <c r="D39" s="16"/>
      <c r="E39" s="16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1.25" customHeight="1">
      <c r="A40" s="15"/>
      <c r="B40" s="15"/>
      <c r="C40" s="15"/>
      <c r="D40" s="16"/>
      <c r="E40" s="16"/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2.75" customHeight="1">
      <c r="A41" s="15" t="s">
        <v>28</v>
      </c>
      <c r="B41" s="15"/>
      <c r="C41" s="15"/>
      <c r="D41" s="16"/>
      <c r="E41" s="16"/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>
      <c r="A42" s="72" t="s">
        <v>29</v>
      </c>
      <c r="B42" s="73" t="s">
        <v>30</v>
      </c>
      <c r="C42" s="73" t="s">
        <v>20</v>
      </c>
      <c r="D42" s="74" t="s">
        <v>31</v>
      </c>
      <c r="E42" s="74" t="s">
        <v>32</v>
      </c>
      <c r="F42" s="75" t="s">
        <v>33</v>
      </c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>
      <c r="A43" s="76" t="s">
        <v>34</v>
      </c>
      <c r="B43" s="77" t="s">
        <v>35</v>
      </c>
      <c r="C43" s="77">
        <v>1</v>
      </c>
      <c r="D43" s="78">
        <f>ROUND((E29*E30)+E29,2)</f>
        <v>0</v>
      </c>
      <c r="E43" s="78">
        <f>C43*D43</f>
        <v>0</v>
      </c>
      <c r="F43" s="16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hidden="1" customHeight="1">
      <c r="A44" s="76" t="s">
        <v>36</v>
      </c>
      <c r="B44" s="77" t="s">
        <v>35</v>
      </c>
      <c r="C44" s="77">
        <v>1</v>
      </c>
      <c r="D44" s="79">
        <v>1100</v>
      </c>
      <c r="E44" s="79"/>
      <c r="F44" s="16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hidden="1" customHeight="1">
      <c r="A45" s="80" t="s">
        <v>37</v>
      </c>
      <c r="B45" s="81" t="s">
        <v>38</v>
      </c>
      <c r="C45" s="82"/>
      <c r="D45" s="80"/>
      <c r="E45" s="80"/>
      <c r="F45" s="16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hidden="1" customHeight="1">
      <c r="A46" s="80"/>
      <c r="B46" s="81" t="s">
        <v>39</v>
      </c>
      <c r="C46" s="79">
        <f>C45*8/7</f>
        <v>0</v>
      </c>
      <c r="D46" s="79">
        <f>D43/220*0.2</f>
        <v>0</v>
      </c>
      <c r="E46" s="79">
        <f>C45*D46</f>
        <v>0</v>
      </c>
      <c r="F46" s="16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hidden="1" customHeight="1">
      <c r="A47" s="80" t="s">
        <v>40</v>
      </c>
      <c r="B47" s="81" t="s">
        <v>41</v>
      </c>
      <c r="C47" s="82"/>
      <c r="D47" s="79">
        <f>D43/220*2</f>
        <v>0</v>
      </c>
      <c r="E47" s="79">
        <f>C47*D47</f>
        <v>0</v>
      </c>
      <c r="F47" s="16"/>
      <c r="G47" s="16" t="s">
        <v>42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hidden="1" customHeight="1">
      <c r="A48" s="80" t="s">
        <v>43</v>
      </c>
      <c r="B48" s="81" t="s">
        <v>38</v>
      </c>
      <c r="C48" s="82"/>
      <c r="D48" s="79"/>
      <c r="E48" s="79"/>
      <c r="F48" s="16"/>
      <c r="G48" s="16" t="s">
        <v>44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hidden="1" customHeight="1">
      <c r="A49" s="80"/>
      <c r="B49" s="81" t="s">
        <v>39</v>
      </c>
      <c r="C49" s="79">
        <f>C48*8/7</f>
        <v>0</v>
      </c>
      <c r="D49" s="79">
        <f>D43/220*2*1.2</f>
        <v>0</v>
      </c>
      <c r="E49" s="79">
        <f>C49*D49</f>
        <v>0</v>
      </c>
      <c r="F49" s="16"/>
      <c r="G49" s="16" t="s">
        <v>44</v>
      </c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hidden="1" customHeight="1">
      <c r="A50" s="80" t="s">
        <v>45</v>
      </c>
      <c r="B50" s="81" t="s">
        <v>41</v>
      </c>
      <c r="C50" s="82"/>
      <c r="D50" s="79">
        <f>D43/220*1.5</f>
        <v>0</v>
      </c>
      <c r="E50" s="79">
        <f>C50*D50</f>
        <v>0</v>
      </c>
      <c r="F50" s="16"/>
      <c r="G50" s="16" t="s">
        <v>46</v>
      </c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hidden="1" customHeight="1">
      <c r="A51" s="80" t="s">
        <v>47</v>
      </c>
      <c r="B51" s="81" t="s">
        <v>38</v>
      </c>
      <c r="C51" s="82"/>
      <c r="D51" s="79"/>
      <c r="E51" s="79"/>
      <c r="F51" s="16"/>
      <c r="G51" s="16" t="s">
        <v>48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hidden="1" customHeight="1">
      <c r="A52" s="80"/>
      <c r="B52" s="81" t="s">
        <v>39</v>
      </c>
      <c r="C52" s="79">
        <f>C51*8/7</f>
        <v>0</v>
      </c>
      <c r="D52" s="79">
        <f>D43/220*1.5*1.2</f>
        <v>0</v>
      </c>
      <c r="E52" s="79">
        <f>C52*D52</f>
        <v>0</v>
      </c>
      <c r="F52" s="16"/>
      <c r="G52" s="16" t="s">
        <v>48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hidden="1" customHeight="1">
      <c r="A53" s="80" t="s">
        <v>49</v>
      </c>
      <c r="B53" s="81" t="s">
        <v>50</v>
      </c>
      <c r="C53" s="15"/>
      <c r="D53" s="79">
        <f>63/302*(SUM(E47:E52))</f>
        <v>0</v>
      </c>
      <c r="E53" s="79">
        <f>D53</f>
        <v>0</v>
      </c>
      <c r="F53" s="16"/>
      <c r="G53" s="16" t="s">
        <v>51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80" t="s">
        <v>52</v>
      </c>
      <c r="B54" s="81"/>
      <c r="C54" s="83">
        <v>0</v>
      </c>
      <c r="D54" s="79"/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53</v>
      </c>
      <c r="B55" s="81" t="s">
        <v>14</v>
      </c>
      <c r="C55" s="79">
        <v>0</v>
      </c>
      <c r="D55" s="79">
        <f>IF(C54=2,SUM(E43:E53),IF(C54=1,SUM(E43:E53)*D44/D43,0))</f>
        <v>0</v>
      </c>
      <c r="E55" s="79">
        <f>C55*D55/100</f>
        <v>0</v>
      </c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>
      <c r="A56" s="84" t="s">
        <v>54</v>
      </c>
      <c r="B56" s="85"/>
      <c r="C56" s="85"/>
      <c r="D56" s="86"/>
      <c r="E56" s="87">
        <f>SUM(E43:E55)</f>
        <v>0</v>
      </c>
      <c r="F56" s="35"/>
      <c r="G56" s="35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spans="1:26" ht="12.75" customHeight="1">
      <c r="A57" s="80" t="s">
        <v>55</v>
      </c>
      <c r="B57" s="81" t="s">
        <v>14</v>
      </c>
      <c r="C57" s="88">
        <f>'24.Encargos Sociais'!$C$38*100</f>
        <v>0</v>
      </c>
      <c r="D57" s="79">
        <f>E56</f>
        <v>0</v>
      </c>
      <c r="E57" s="79">
        <f>D57*C57/100</f>
        <v>0</v>
      </c>
      <c r="F57" s="16"/>
      <c r="G57" s="16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>
      <c r="A58" s="84" t="s">
        <v>56</v>
      </c>
      <c r="B58" s="85"/>
      <c r="C58" s="85"/>
      <c r="D58" s="86"/>
      <c r="E58" s="87">
        <f>E56+E57</f>
        <v>0</v>
      </c>
      <c r="F58" s="35"/>
      <c r="G58" s="35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spans="1:26" ht="12.75" customHeight="1">
      <c r="A59" s="80" t="s">
        <v>57</v>
      </c>
      <c r="B59" s="81" t="s">
        <v>58</v>
      </c>
      <c r="C59" s="89">
        <v>1</v>
      </c>
      <c r="D59" s="79">
        <f>E58</f>
        <v>0</v>
      </c>
      <c r="E59" s="79">
        <f>C59*D59</f>
        <v>0</v>
      </c>
      <c r="F59" s="16"/>
      <c r="G59" s="16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>
      <c r="A60" s="15"/>
      <c r="B60" s="15"/>
      <c r="C60" s="15"/>
      <c r="D60" s="90" t="s">
        <v>59</v>
      </c>
      <c r="E60" s="91">
        <f>B37</f>
        <v>1</v>
      </c>
      <c r="F60" s="92">
        <f>E59*E60</f>
        <v>0</v>
      </c>
      <c r="G60" s="16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1.25" customHeight="1">
      <c r="A61" s="15"/>
      <c r="B61" s="15"/>
      <c r="C61" s="15"/>
      <c r="D61" s="16"/>
      <c r="E61" s="16"/>
      <c r="F61" s="16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>
      <c r="A62" s="15" t="s">
        <v>60</v>
      </c>
      <c r="B62" s="93"/>
      <c r="C62" s="15"/>
      <c r="D62" s="15"/>
      <c r="E62" s="16"/>
      <c r="F62" s="16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>
      <c r="A63" s="72" t="s">
        <v>29</v>
      </c>
      <c r="B63" s="73" t="s">
        <v>30</v>
      </c>
      <c r="C63" s="73" t="s">
        <v>20</v>
      </c>
      <c r="D63" s="74" t="s">
        <v>31</v>
      </c>
      <c r="E63" s="74" t="s">
        <v>32</v>
      </c>
      <c r="F63" s="75" t="s">
        <v>33</v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>
      <c r="A64" s="80" t="s">
        <v>61</v>
      </c>
      <c r="B64" s="81" t="s">
        <v>50</v>
      </c>
      <c r="C64" s="94">
        <v>1</v>
      </c>
      <c r="D64" s="95"/>
      <c r="E64" s="79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>
      <c r="A65" s="80" t="s">
        <v>62</v>
      </c>
      <c r="B65" s="81" t="s">
        <v>63</v>
      </c>
      <c r="C65" s="96">
        <v>21</v>
      </c>
      <c r="D65" s="79"/>
      <c r="E65" s="79"/>
      <c r="F65" s="16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hidden="1" customHeight="1">
      <c r="A66" s="80" t="s">
        <v>64</v>
      </c>
      <c r="B66" s="81" t="s">
        <v>65</v>
      </c>
      <c r="C66" s="97" t="e">
        <f>$C$65*2*(#REF!)</f>
        <v>#REF!</v>
      </c>
      <c r="D66" s="78" t="str">
        <f>IFERROR((($C$65*2*$D$64)-(#REF!*0.06*C65/26))/($C$65*2),"-")</f>
        <v>-</v>
      </c>
      <c r="E66" s="79" t="str">
        <f>IFERROR(C66*D66,"-")</f>
        <v>-</v>
      </c>
      <c r="F66" s="16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>
      <c r="A67" s="76" t="s">
        <v>66</v>
      </c>
      <c r="B67" s="77" t="s">
        <v>65</v>
      </c>
      <c r="C67" s="97">
        <f>$C$65*2*(C59)</f>
        <v>42</v>
      </c>
      <c r="D67" s="78"/>
      <c r="E67" s="78">
        <f>C67*D64</f>
        <v>0</v>
      </c>
      <c r="F67" s="16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15"/>
      <c r="B68" s="15"/>
      <c r="C68" s="15"/>
      <c r="D68" s="16"/>
      <c r="E68" s="16"/>
      <c r="F68" s="98">
        <f>E67-(6%*E43)</f>
        <v>0</v>
      </c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1.25" customHeight="1">
      <c r="A69" s="15"/>
      <c r="B69" s="15"/>
      <c r="C69" s="15"/>
      <c r="D69" s="16"/>
      <c r="E69" s="16"/>
      <c r="F69" s="16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5" t="s">
        <v>67</v>
      </c>
      <c r="B70" s="15"/>
      <c r="C70" s="15"/>
      <c r="D70" s="16"/>
      <c r="E70" s="16"/>
      <c r="F70" s="3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>
      <c r="A71" s="72" t="s">
        <v>29</v>
      </c>
      <c r="B71" s="73" t="s">
        <v>30</v>
      </c>
      <c r="C71" s="73" t="s">
        <v>20</v>
      </c>
      <c r="D71" s="74" t="s">
        <v>31</v>
      </c>
      <c r="E71" s="74" t="s">
        <v>32</v>
      </c>
      <c r="F71" s="75" t="s">
        <v>33</v>
      </c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hidden="1" customHeight="1">
      <c r="A72" s="80" t="str">
        <f>+A66</f>
        <v>Coletor</v>
      </c>
      <c r="B72" s="81" t="s">
        <v>68</v>
      </c>
      <c r="C72" s="97"/>
      <c r="D72" s="99">
        <v>0</v>
      </c>
      <c r="E72" s="100">
        <f>C72*D72</f>
        <v>0</v>
      </c>
      <c r="F72" s="3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80" t="str">
        <f>+A67</f>
        <v xml:space="preserve">Operador </v>
      </c>
      <c r="B73" s="81" t="s">
        <v>68</v>
      </c>
      <c r="C73" s="97">
        <v>1</v>
      </c>
      <c r="D73" s="99"/>
      <c r="E73" s="100">
        <f>C73*D73</f>
        <v>0</v>
      </c>
      <c r="F73" s="3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hidden="1" customHeight="1">
      <c r="A74" s="80" t="s">
        <v>69</v>
      </c>
      <c r="B74" s="81" t="s">
        <v>68</v>
      </c>
      <c r="C74" s="97">
        <v>0</v>
      </c>
      <c r="D74" s="99">
        <v>13.55</v>
      </c>
      <c r="E74" s="100">
        <f>C74*D74</f>
        <v>0</v>
      </c>
      <c r="F74" s="3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101"/>
      <c r="B75" s="15"/>
      <c r="C75" s="15"/>
      <c r="D75" s="16"/>
      <c r="E75" s="16"/>
      <c r="F75" s="98">
        <f>SUM(E72:E74)</f>
        <v>0</v>
      </c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>
      <c r="A76" s="15"/>
      <c r="B76" s="15"/>
      <c r="C76" s="15"/>
      <c r="D76" s="16"/>
      <c r="E76" s="16"/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15" t="s">
        <v>70</v>
      </c>
      <c r="B77" s="15"/>
      <c r="C77" s="15"/>
      <c r="D77" s="16"/>
      <c r="E77" s="16"/>
      <c r="F77" s="3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72" t="s">
        <v>29</v>
      </c>
      <c r="B78" s="73" t="s">
        <v>30</v>
      </c>
      <c r="C78" s="73" t="s">
        <v>20</v>
      </c>
      <c r="D78" s="74" t="s">
        <v>31</v>
      </c>
      <c r="E78" s="74" t="s">
        <v>32</v>
      </c>
      <c r="F78" s="75" t="s">
        <v>33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>
      <c r="A79" s="80" t="s">
        <v>71</v>
      </c>
      <c r="B79" s="81" t="s">
        <v>68</v>
      </c>
      <c r="C79" s="102">
        <v>1</v>
      </c>
      <c r="D79" s="99"/>
      <c r="E79" s="103">
        <f>C79*D79</f>
        <v>0</v>
      </c>
      <c r="F79" s="3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80" t="s">
        <v>72</v>
      </c>
      <c r="B80" s="81" t="s">
        <v>68</v>
      </c>
      <c r="C80" s="102">
        <v>1</v>
      </c>
      <c r="D80" s="104"/>
      <c r="E80" s="103">
        <f>C80*D80</f>
        <v>0</v>
      </c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105"/>
      <c r="B81" s="105"/>
      <c r="C81" s="15"/>
      <c r="D81" s="90" t="s">
        <v>73</v>
      </c>
      <c r="E81" s="100">
        <v>1</v>
      </c>
      <c r="F81" s="106">
        <f>SUM(E79:E80)*E81</f>
        <v>0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>
      <c r="A82" s="15"/>
      <c r="B82" s="15"/>
      <c r="C82" s="15"/>
      <c r="D82" s="90"/>
      <c r="E82" s="107"/>
      <c r="F82" s="16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108" t="s">
        <v>74</v>
      </c>
      <c r="B83" s="109"/>
      <c r="C83" s="109"/>
      <c r="D83" s="49"/>
      <c r="E83" s="110"/>
      <c r="F83" s="98">
        <f>F60+F68+F75+F81</f>
        <v>0</v>
      </c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>
      <c r="A84" s="15"/>
      <c r="B84" s="15"/>
      <c r="C84" s="15"/>
      <c r="D84" s="16"/>
      <c r="E84" s="16"/>
      <c r="F84" s="16"/>
      <c r="G84" s="16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36" t="s">
        <v>75</v>
      </c>
      <c r="B85" s="15"/>
      <c r="C85" s="15"/>
      <c r="D85" s="16"/>
      <c r="E85" s="16"/>
      <c r="F85" s="16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1.2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3.5" customHeight="1">
      <c r="A87" s="15" t="s">
        <v>76</v>
      </c>
      <c r="B87" s="15"/>
      <c r="C87" s="15"/>
      <c r="D87" s="16"/>
      <c r="E87" s="16"/>
      <c r="F87" s="16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1.25" customHeight="1">
      <c r="A88" s="15"/>
      <c r="B88" s="15"/>
      <c r="C88" s="15"/>
      <c r="D88" s="16"/>
      <c r="E88" s="16"/>
      <c r="F88" s="16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27.75" customHeight="1">
      <c r="A89" s="72" t="s">
        <v>29</v>
      </c>
      <c r="B89" s="73" t="s">
        <v>30</v>
      </c>
      <c r="C89" s="111" t="s">
        <v>77</v>
      </c>
      <c r="D89" s="74" t="s">
        <v>31</v>
      </c>
      <c r="E89" s="74" t="s">
        <v>32</v>
      </c>
      <c r="F89" s="75" t="s">
        <v>33</v>
      </c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76" t="s">
        <v>78</v>
      </c>
      <c r="B90" s="77" t="s">
        <v>68</v>
      </c>
      <c r="C90" s="112"/>
      <c r="D90" s="113"/>
      <c r="E90" s="78">
        <f t="shared" ref="E90:E99" si="1">IFERROR(D90/C90,0)</f>
        <v>0</v>
      </c>
      <c r="F90" s="16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80" t="s">
        <v>79</v>
      </c>
      <c r="B91" s="81" t="s">
        <v>68</v>
      </c>
      <c r="C91" s="112"/>
      <c r="D91" s="114"/>
      <c r="E91" s="78">
        <f t="shared" si="1"/>
        <v>0</v>
      </c>
      <c r="F91" s="16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80" t="s">
        <v>80</v>
      </c>
      <c r="B92" s="81" t="s">
        <v>68</v>
      </c>
      <c r="C92" s="112"/>
      <c r="D92" s="114"/>
      <c r="E92" s="78">
        <f t="shared" si="1"/>
        <v>0</v>
      </c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80" t="s">
        <v>81</v>
      </c>
      <c r="B93" s="81" t="s">
        <v>68</v>
      </c>
      <c r="C93" s="112"/>
      <c r="D93" s="114"/>
      <c r="E93" s="78">
        <f t="shared" si="1"/>
        <v>0</v>
      </c>
      <c r="F93" s="16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3.5" customHeight="1">
      <c r="A94" s="80" t="s">
        <v>82</v>
      </c>
      <c r="B94" s="81" t="s">
        <v>83</v>
      </c>
      <c r="C94" s="112"/>
      <c r="D94" s="114"/>
      <c r="E94" s="78">
        <f t="shared" si="1"/>
        <v>0</v>
      </c>
      <c r="F94" s="16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80" t="s">
        <v>84</v>
      </c>
      <c r="B95" s="81" t="s">
        <v>83</v>
      </c>
      <c r="C95" s="112"/>
      <c r="D95" s="114"/>
      <c r="E95" s="78">
        <f t="shared" si="1"/>
        <v>0</v>
      </c>
      <c r="F95" s="16"/>
      <c r="G95" s="16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>
      <c r="A96" s="80" t="s">
        <v>85</v>
      </c>
      <c r="B96" s="81" t="s">
        <v>68</v>
      </c>
      <c r="C96" s="112"/>
      <c r="D96" s="114"/>
      <c r="E96" s="78">
        <f t="shared" si="1"/>
        <v>0</v>
      </c>
      <c r="F96" s="16"/>
      <c r="G96" s="16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>
      <c r="A97" s="80" t="s">
        <v>86</v>
      </c>
      <c r="B97" s="81" t="s">
        <v>83</v>
      </c>
      <c r="C97" s="112"/>
      <c r="D97" s="114"/>
      <c r="E97" s="78">
        <f t="shared" si="1"/>
        <v>0</v>
      </c>
      <c r="F97" s="16"/>
      <c r="G97" s="16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>
      <c r="A98" s="80" t="s">
        <v>87</v>
      </c>
      <c r="B98" s="81" t="s">
        <v>88</v>
      </c>
      <c r="C98" s="112"/>
      <c r="D98" s="114"/>
      <c r="E98" s="78">
        <f t="shared" si="1"/>
        <v>0</v>
      </c>
      <c r="F98" s="16"/>
      <c r="G98" s="16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>
      <c r="A99" s="80" t="s">
        <v>89</v>
      </c>
      <c r="B99" s="81" t="s">
        <v>90</v>
      </c>
      <c r="C99" s="112"/>
      <c r="D99" s="114"/>
      <c r="E99" s="78">
        <f t="shared" si="1"/>
        <v>0</v>
      </c>
      <c r="F99" s="16"/>
      <c r="G99" s="16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80" t="s">
        <v>57</v>
      </c>
      <c r="B100" s="81" t="s">
        <v>58</v>
      </c>
      <c r="C100" s="102">
        <f>E28</f>
        <v>1</v>
      </c>
      <c r="D100" s="79">
        <f>+SUM(E90:E99)</f>
        <v>0</v>
      </c>
      <c r="E100" s="79">
        <f>C100*D100</f>
        <v>0</v>
      </c>
      <c r="F100" s="16"/>
      <c r="G100" s="16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15"/>
      <c r="B101" s="15"/>
      <c r="C101" s="15"/>
      <c r="D101" s="90" t="s">
        <v>59</v>
      </c>
      <c r="E101" s="91">
        <f>$B$37</f>
        <v>1</v>
      </c>
      <c r="F101" s="92">
        <f>E100*E101</f>
        <v>0</v>
      </c>
      <c r="G101" s="16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1.25" customHeight="1">
      <c r="A102" s="15"/>
      <c r="B102" s="15"/>
      <c r="C102" s="15"/>
      <c r="D102" s="16"/>
      <c r="E102" s="16"/>
      <c r="F102" s="16"/>
      <c r="G102" s="16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1.25" customHeight="1">
      <c r="A103" s="15"/>
      <c r="B103" s="15"/>
      <c r="C103" s="15"/>
      <c r="D103" s="16"/>
      <c r="E103" s="16"/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>
      <c r="A104" s="108" t="s">
        <v>91</v>
      </c>
      <c r="B104" s="115"/>
      <c r="C104" s="115"/>
      <c r="D104" s="116"/>
      <c r="E104" s="117"/>
      <c r="F104" s="118">
        <f>+F101</f>
        <v>0</v>
      </c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1.25" customHeight="1">
      <c r="A105" s="15"/>
      <c r="B105" s="15"/>
      <c r="C105" s="15"/>
      <c r="D105" s="16"/>
      <c r="E105" s="16"/>
      <c r="F105" s="16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36" t="s">
        <v>92</v>
      </c>
      <c r="B106" s="15"/>
      <c r="C106" s="15"/>
      <c r="D106" s="16"/>
      <c r="E106" s="16"/>
      <c r="F106" s="16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1.25" customHeight="1">
      <c r="A107" s="15"/>
      <c r="B107" s="119"/>
      <c r="C107" s="15"/>
      <c r="D107" s="16"/>
      <c r="E107" s="16"/>
      <c r="F107" s="16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15" t="s">
        <v>93</v>
      </c>
      <c r="B108" s="15"/>
      <c r="C108" s="15"/>
      <c r="D108" s="16"/>
      <c r="E108" s="16"/>
      <c r="F108" s="16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1.25" customHeight="1">
      <c r="A109" s="15"/>
      <c r="B109" s="15"/>
      <c r="C109" s="15"/>
      <c r="D109" s="16"/>
      <c r="E109" s="16"/>
      <c r="F109" s="16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119" t="s">
        <v>15</v>
      </c>
      <c r="B110" s="15"/>
      <c r="C110" s="15"/>
      <c r="D110" s="16"/>
      <c r="E110" s="16"/>
      <c r="F110" s="16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72" t="s">
        <v>29</v>
      </c>
      <c r="B111" s="73" t="s">
        <v>30</v>
      </c>
      <c r="C111" s="73" t="s">
        <v>20</v>
      </c>
      <c r="D111" s="74" t="s">
        <v>31</v>
      </c>
      <c r="E111" s="74" t="s">
        <v>32</v>
      </c>
      <c r="F111" s="75" t="s">
        <v>33</v>
      </c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>
      <c r="A112" s="76" t="s">
        <v>94</v>
      </c>
      <c r="B112" s="77" t="s">
        <v>68</v>
      </c>
      <c r="C112" s="77">
        <v>1</v>
      </c>
      <c r="D112" s="113"/>
      <c r="E112" s="78">
        <f>C112*D112</f>
        <v>0</v>
      </c>
      <c r="F112" s="16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>
      <c r="A113" s="80" t="s">
        <v>95</v>
      </c>
      <c r="B113" s="81" t="s">
        <v>96</v>
      </c>
      <c r="C113" s="120"/>
      <c r="D113" s="79"/>
      <c r="E113" s="79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80" t="s">
        <v>97</v>
      </c>
      <c r="B114" s="81" t="s">
        <v>96</v>
      </c>
      <c r="C114" s="120"/>
      <c r="D114" s="79"/>
      <c r="E114" s="79"/>
      <c r="F114" s="121"/>
      <c r="G114" s="16"/>
      <c r="H114" s="15"/>
      <c r="I114" s="122"/>
      <c r="J114" s="122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>
      <c r="A115" s="80" t="s">
        <v>98</v>
      </c>
      <c r="B115" s="81" t="s">
        <v>14</v>
      </c>
      <c r="C115" s="88">
        <f>IFERROR(VLOOKUP(C113,'28. Depreciação'!A3:B17,2,0),0)</f>
        <v>0</v>
      </c>
      <c r="D115" s="79">
        <f>E112</f>
        <v>0</v>
      </c>
      <c r="E115" s="79">
        <f>C115*D115/100</f>
        <v>0</v>
      </c>
      <c r="F115" s="16"/>
      <c r="G115" s="16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123" t="s">
        <v>99</v>
      </c>
      <c r="B116" s="124" t="s">
        <v>35</v>
      </c>
      <c r="C116" s="124">
        <f>C113*12</f>
        <v>0</v>
      </c>
      <c r="D116" s="125">
        <f>IF(C114&lt;=C113,E115,0)</f>
        <v>0</v>
      </c>
      <c r="E116" s="125">
        <f>IFERROR(D116/C116,0)</f>
        <v>0</v>
      </c>
      <c r="F116" s="16"/>
      <c r="G116" s="16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hidden="1" customHeight="1">
      <c r="A117" s="76" t="s">
        <v>100</v>
      </c>
      <c r="B117" s="77" t="s">
        <v>68</v>
      </c>
      <c r="C117" s="77">
        <f>C112</f>
        <v>1</v>
      </c>
      <c r="D117" s="126">
        <v>0</v>
      </c>
      <c r="E117" s="78">
        <f>C117*D117</f>
        <v>0</v>
      </c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hidden="1" customHeight="1">
      <c r="A118" s="80" t="s">
        <v>95</v>
      </c>
      <c r="B118" s="81" t="s">
        <v>96</v>
      </c>
      <c r="C118" s="89">
        <v>16</v>
      </c>
      <c r="D118" s="79"/>
      <c r="E118" s="79"/>
      <c r="F118" s="16"/>
      <c r="G118" s="16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hidden="1" customHeight="1">
      <c r="A119" s="80" t="s">
        <v>101</v>
      </c>
      <c r="B119" s="81" t="s">
        <v>96</v>
      </c>
      <c r="C119" s="89">
        <v>16</v>
      </c>
      <c r="D119" s="79"/>
      <c r="E119" s="79"/>
      <c r="F119" s="121"/>
      <c r="G119" s="16"/>
      <c r="H119" s="15"/>
      <c r="I119" s="122"/>
      <c r="J119" s="122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hidden="1" customHeight="1">
      <c r="A120" s="80" t="s">
        <v>98</v>
      </c>
      <c r="B120" s="81" t="s">
        <v>14</v>
      </c>
      <c r="C120" s="127">
        <f>IFERROR(VLOOKUP(C118,'28. Depreciação'!A3:B17,2,0),0)</f>
        <v>0</v>
      </c>
      <c r="D120" s="79">
        <f>E117</f>
        <v>0</v>
      </c>
      <c r="E120" s="79">
        <f>C120*D120/100</f>
        <v>0</v>
      </c>
      <c r="F120" s="16"/>
      <c r="G120" s="16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hidden="1" customHeight="1">
      <c r="A121" s="128" t="s">
        <v>102</v>
      </c>
      <c r="B121" s="129" t="s">
        <v>35</v>
      </c>
      <c r="C121" s="129">
        <f>C118*12</f>
        <v>192</v>
      </c>
      <c r="D121" s="130">
        <f>IF(C119&lt;=C118,E120,0)</f>
        <v>0</v>
      </c>
      <c r="E121" s="130">
        <f>IFERROR(D121/C121,0)</f>
        <v>0</v>
      </c>
      <c r="F121" s="16"/>
      <c r="G121" s="16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84" t="s">
        <v>103</v>
      </c>
      <c r="B122" s="85"/>
      <c r="C122" s="85"/>
      <c r="D122" s="86"/>
      <c r="E122" s="87">
        <f>E116+E121</f>
        <v>0</v>
      </c>
      <c r="F122" s="16"/>
      <c r="G122" s="16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128" t="s">
        <v>104</v>
      </c>
      <c r="B123" s="129" t="s">
        <v>68</v>
      </c>
      <c r="C123" s="89">
        <v>1</v>
      </c>
      <c r="D123" s="130">
        <f>E122</f>
        <v>0</v>
      </c>
      <c r="E123" s="87">
        <f>C123*D123</f>
        <v>0</v>
      </c>
      <c r="F123" s="16"/>
      <c r="G123" s="16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131"/>
      <c r="B124" s="131"/>
      <c r="C124" s="131"/>
      <c r="D124" s="90" t="s">
        <v>59</v>
      </c>
      <c r="E124" s="91">
        <f>B37</f>
        <v>1</v>
      </c>
      <c r="F124" s="118">
        <f>E123*E124</f>
        <v>0</v>
      </c>
      <c r="G124" s="16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1.25" customHeight="1">
      <c r="A125" s="15"/>
      <c r="B125" s="15"/>
      <c r="C125" s="15"/>
      <c r="D125" s="16"/>
      <c r="E125" s="16"/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19" t="s">
        <v>16</v>
      </c>
      <c r="B126" s="15"/>
      <c r="C126" s="15"/>
      <c r="D126" s="16"/>
      <c r="E126" s="16"/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>
      <c r="A127" s="132" t="s">
        <v>29</v>
      </c>
      <c r="B127" s="133" t="s">
        <v>30</v>
      </c>
      <c r="C127" s="133" t="s">
        <v>20</v>
      </c>
      <c r="D127" s="74" t="s">
        <v>31</v>
      </c>
      <c r="E127" s="134" t="s">
        <v>32</v>
      </c>
      <c r="F127" s="75" t="s">
        <v>33</v>
      </c>
      <c r="G127" s="16"/>
      <c r="H127" s="15"/>
      <c r="I127" s="122"/>
      <c r="J127" s="122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>
      <c r="A128" s="80" t="s">
        <v>105</v>
      </c>
      <c r="B128" s="81" t="s">
        <v>68</v>
      </c>
      <c r="C128" s="77">
        <v>1</v>
      </c>
      <c r="D128" s="79">
        <f>D112</f>
        <v>0</v>
      </c>
      <c r="E128" s="79">
        <f>C128*D128</f>
        <v>0</v>
      </c>
      <c r="F128" s="121"/>
      <c r="G128" s="16"/>
      <c r="H128" s="15"/>
      <c r="I128" s="122"/>
      <c r="J128" s="122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>
      <c r="A129" s="80" t="s">
        <v>106</v>
      </c>
      <c r="B129" s="81" t="s">
        <v>14</v>
      </c>
      <c r="C129" s="135"/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>
      <c r="A130" s="80" t="s">
        <v>107</v>
      </c>
      <c r="B130" s="81" t="s">
        <v>50</v>
      </c>
      <c r="C130" s="79">
        <f>IFERROR(IF(C114&lt;=C113,E112-(C115/(100*C113)*C114)*E112,E112-E115),0)*0.35</f>
        <v>0</v>
      </c>
      <c r="D130" s="79"/>
      <c r="E130" s="79"/>
      <c r="F130" s="121"/>
      <c r="G130" s="16"/>
      <c r="H130" s="15"/>
      <c r="I130" s="122"/>
      <c r="J130" s="122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>
      <c r="A131" s="80" t="s">
        <v>108</v>
      </c>
      <c r="B131" s="81" t="s">
        <v>50</v>
      </c>
      <c r="C131" s="79">
        <f>IFERROR(IF(C114&gt;=C113,C130,((((C130)-(E112-E115))*(((C113-C114)+1)/(2*(C113-C114))))+(E112-E115))),0)</f>
        <v>0</v>
      </c>
      <c r="D131" s="79"/>
      <c r="E131" s="79"/>
      <c r="F131" s="121"/>
      <c r="G131" s="16"/>
      <c r="H131" s="15"/>
      <c r="I131" s="122"/>
      <c r="J131" s="122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123" t="s">
        <v>109</v>
      </c>
      <c r="B132" s="124" t="s">
        <v>50</v>
      </c>
      <c r="C132" s="124"/>
      <c r="D132" s="125">
        <f>C129*C131/12/100</f>
        <v>0</v>
      </c>
      <c r="E132" s="125">
        <f>D132</f>
        <v>0</v>
      </c>
      <c r="F132" s="121"/>
      <c r="G132" s="16"/>
      <c r="H132" s="15"/>
      <c r="I132" s="122"/>
      <c r="J132" s="122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hidden="1" customHeight="1">
      <c r="A133" s="76" t="s">
        <v>100</v>
      </c>
      <c r="B133" s="77" t="s">
        <v>68</v>
      </c>
      <c r="C133" s="77">
        <f>C117</f>
        <v>1</v>
      </c>
      <c r="D133" s="78">
        <f>D117</f>
        <v>0</v>
      </c>
      <c r="E133" s="78">
        <f>C133*D133</f>
        <v>0</v>
      </c>
      <c r="F133" s="121"/>
      <c r="G133" s="16"/>
      <c r="H133" s="15"/>
      <c r="I133" s="122"/>
      <c r="J133" s="122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hidden="1" customHeight="1">
      <c r="A134" s="80" t="s">
        <v>106</v>
      </c>
      <c r="B134" s="81" t="s">
        <v>14</v>
      </c>
      <c r="C134" s="81">
        <f>C129</f>
        <v>0</v>
      </c>
      <c r="D134" s="79"/>
      <c r="E134" s="79"/>
      <c r="F134" s="121"/>
      <c r="G134" s="16"/>
      <c r="H134" s="15"/>
      <c r="I134" s="122"/>
      <c r="J134" s="122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hidden="1" customHeight="1">
      <c r="A135" s="80" t="s">
        <v>110</v>
      </c>
      <c r="B135" s="81" t="s">
        <v>50</v>
      </c>
      <c r="C135" s="79">
        <f>IFERROR(IF(C119&lt;=C118,E117-(C120/(100*C118)*C119)*E117,E117-E120),0)*0.35</f>
        <v>0</v>
      </c>
      <c r="D135" s="79"/>
      <c r="E135" s="79"/>
      <c r="F135" s="121"/>
      <c r="G135" s="16"/>
      <c r="H135" s="15"/>
      <c r="I135" s="122"/>
      <c r="J135" s="122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hidden="1" customHeight="1">
      <c r="A136" s="80" t="s">
        <v>111</v>
      </c>
      <c r="B136" s="81" t="s">
        <v>50</v>
      </c>
      <c r="C136" s="79">
        <f>IFERROR(IF(C119&gt;=C118,C135,((((C135)-(E117-E120))*(((C118-C119)+1)/(2*(C118-C119))))+(E117-E120))),0)</f>
        <v>0</v>
      </c>
      <c r="D136" s="79"/>
      <c r="E136" s="79"/>
      <c r="F136" s="121"/>
      <c r="G136" s="16"/>
      <c r="H136" s="15"/>
      <c r="I136" s="122"/>
      <c r="J136" s="122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hidden="1" customHeight="1">
      <c r="A137" s="128" t="s">
        <v>112</v>
      </c>
      <c r="B137" s="129" t="s">
        <v>50</v>
      </c>
      <c r="C137" s="129"/>
      <c r="D137" s="130">
        <f>C134*C136/12/100</f>
        <v>0</v>
      </c>
      <c r="E137" s="130">
        <f>D137</f>
        <v>0</v>
      </c>
      <c r="F137" s="121"/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8.25" customHeight="1">
      <c r="A138" s="84"/>
      <c r="B138" s="129"/>
      <c r="C138" s="129"/>
      <c r="D138" s="136"/>
      <c r="E138" s="87"/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hidden="1" customHeight="1">
      <c r="A139" s="84" t="s">
        <v>113</v>
      </c>
      <c r="B139" s="129" t="s">
        <v>68</v>
      </c>
      <c r="C139" s="81">
        <f>C123</f>
        <v>1</v>
      </c>
      <c r="D139" s="136">
        <f>E132</f>
        <v>0</v>
      </c>
      <c r="E139" s="87">
        <f>C139*D139</f>
        <v>0</v>
      </c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hidden="1" customHeight="1">
      <c r="A140" s="84" t="s">
        <v>114</v>
      </c>
      <c r="B140" s="129" t="s">
        <v>68</v>
      </c>
      <c r="C140" s="81">
        <v>1</v>
      </c>
      <c r="D140" s="136">
        <f>E137</f>
        <v>0</v>
      </c>
      <c r="E140" s="87">
        <f>C140*D140</f>
        <v>0</v>
      </c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128" t="s">
        <v>115</v>
      </c>
      <c r="B141" s="129" t="s">
        <v>68</v>
      </c>
      <c r="C141" s="81">
        <v>1</v>
      </c>
      <c r="D141" s="130">
        <f>E139+E140</f>
        <v>0</v>
      </c>
      <c r="E141" s="87">
        <f>C141*D141</f>
        <v>0</v>
      </c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5"/>
      <c r="B142" s="15"/>
      <c r="C142" s="137"/>
      <c r="D142" s="90" t="s">
        <v>59</v>
      </c>
      <c r="E142" s="91">
        <f>E124</f>
        <v>1</v>
      </c>
      <c r="F142" s="118">
        <f>E141*E142</f>
        <v>0</v>
      </c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1.25" customHeight="1">
      <c r="A143" s="15"/>
      <c r="B143" s="15"/>
      <c r="C143" s="15"/>
      <c r="D143" s="16"/>
      <c r="E143" s="16"/>
      <c r="F143" s="16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>
      <c r="A144" s="15" t="s">
        <v>116</v>
      </c>
      <c r="B144" s="15"/>
      <c r="C144" s="15"/>
      <c r="D144" s="16"/>
      <c r="E144" s="16"/>
      <c r="F144" s="16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>
      <c r="A145" s="72" t="s">
        <v>29</v>
      </c>
      <c r="B145" s="73" t="s">
        <v>30</v>
      </c>
      <c r="C145" s="73" t="s">
        <v>20</v>
      </c>
      <c r="D145" s="74" t="s">
        <v>31</v>
      </c>
      <c r="E145" s="74" t="s">
        <v>32</v>
      </c>
      <c r="F145" s="75" t="s">
        <v>33</v>
      </c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>
      <c r="A146" s="80" t="s">
        <v>117</v>
      </c>
      <c r="B146" s="81" t="s">
        <v>68</v>
      </c>
      <c r="C146" s="78">
        <f>C123</f>
        <v>1</v>
      </c>
      <c r="D146" s="138">
        <f>1%*D128</f>
        <v>0</v>
      </c>
      <c r="E146" s="79">
        <f>C146*D146</f>
        <v>0</v>
      </c>
      <c r="F146" s="16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>
      <c r="A147" s="128" t="s">
        <v>118</v>
      </c>
      <c r="B147" s="129" t="s">
        <v>35</v>
      </c>
      <c r="C147" s="129">
        <v>12</v>
      </c>
      <c r="D147" s="130">
        <f>SUM(E146)</f>
        <v>0</v>
      </c>
      <c r="E147" s="130">
        <f>D147/C147</f>
        <v>0</v>
      </c>
      <c r="F147" s="16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>
      <c r="A148" s="15"/>
      <c r="B148" s="15"/>
      <c r="C148" s="15"/>
      <c r="D148" s="90" t="s">
        <v>59</v>
      </c>
      <c r="E148" s="91">
        <f>E142</f>
        <v>1</v>
      </c>
      <c r="F148" s="92">
        <f>E147*E148</f>
        <v>0</v>
      </c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>
      <c r="A149" s="15" t="s">
        <v>119</v>
      </c>
      <c r="B149" s="139"/>
      <c r="C149" s="15"/>
      <c r="D149" s="16"/>
      <c r="E149" s="16"/>
      <c r="F149" s="16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>
      <c r="A150" s="15"/>
      <c r="B150" s="139"/>
      <c r="C150" s="15"/>
      <c r="D150" s="16"/>
      <c r="E150" s="16"/>
      <c r="F150" s="16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120</v>
      </c>
      <c r="B151" s="140">
        <v>176</v>
      </c>
      <c r="C151" s="15"/>
      <c r="D151" s="16"/>
      <c r="E151" s="16"/>
      <c r="F151" s="16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39"/>
      <c r="C152" s="15"/>
      <c r="D152" s="16"/>
      <c r="E152" s="16"/>
      <c r="F152" s="16"/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>
      <c r="A153" s="72" t="s">
        <v>29</v>
      </c>
      <c r="B153" s="73" t="s">
        <v>30</v>
      </c>
      <c r="C153" s="73" t="s">
        <v>121</v>
      </c>
      <c r="D153" s="74" t="s">
        <v>31</v>
      </c>
      <c r="E153" s="74" t="s">
        <v>32</v>
      </c>
      <c r="F153" s="75" t="s">
        <v>33</v>
      </c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76" t="s">
        <v>122</v>
      </c>
      <c r="B154" s="77" t="s">
        <v>123</v>
      </c>
      <c r="C154" s="141"/>
      <c r="D154" s="142"/>
      <c r="E154" s="78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6" t="s">
        <v>124</v>
      </c>
      <c r="B155" s="77" t="s">
        <v>123</v>
      </c>
      <c r="C155" s="113"/>
      <c r="D155" s="142"/>
      <c r="E155" s="78"/>
      <c r="F155" s="16"/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>
      <c r="A156" s="80" t="s">
        <v>125</v>
      </c>
      <c r="B156" s="81" t="s">
        <v>126</v>
      </c>
      <c r="C156" s="79">
        <f>B151</f>
        <v>176</v>
      </c>
      <c r="D156" s="143">
        <f>(C154*D154)+(C155*D155)</f>
        <v>0</v>
      </c>
      <c r="E156" s="79">
        <f>IFERROR(C156*D156,"-")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>
      <c r="A157" s="128" t="s">
        <v>127</v>
      </c>
      <c r="B157" s="129"/>
      <c r="C157" s="144"/>
      <c r="D157" s="145"/>
      <c r="E157" s="79"/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15"/>
      <c r="B158" s="15"/>
      <c r="C158" s="15"/>
      <c r="D158" s="16"/>
      <c r="E158" s="16"/>
      <c r="F158" s="118">
        <f>SUM(E154:E156)</f>
        <v>0</v>
      </c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1.25" customHeight="1">
      <c r="A159" s="15"/>
      <c r="B159" s="15"/>
      <c r="C159" s="15"/>
      <c r="D159" s="16"/>
      <c r="E159" s="16"/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 t="s">
        <v>128</v>
      </c>
      <c r="B160" s="15"/>
      <c r="C160" s="15"/>
      <c r="D160" s="16"/>
      <c r="E160" s="16"/>
      <c r="F160" s="16"/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72" t="s">
        <v>29</v>
      </c>
      <c r="B161" s="73" t="s">
        <v>30</v>
      </c>
      <c r="C161" s="73" t="s">
        <v>20</v>
      </c>
      <c r="D161" s="74" t="s">
        <v>31</v>
      </c>
      <c r="E161" s="74" t="s">
        <v>32</v>
      </c>
      <c r="F161" s="75" t="s">
        <v>33</v>
      </c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76" t="s">
        <v>129</v>
      </c>
      <c r="B162" s="77" t="s">
        <v>130</v>
      </c>
      <c r="C162" s="79">
        <f>C156</f>
        <v>176</v>
      </c>
      <c r="D162" s="113"/>
      <c r="E162" s="78">
        <f>C162*D162</f>
        <v>0</v>
      </c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5"/>
      <c r="C163" s="15"/>
      <c r="D163" s="16"/>
      <c r="E163" s="16"/>
      <c r="F163" s="118">
        <f>E162</f>
        <v>0</v>
      </c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1.25" hidden="1" customHeight="1">
      <c r="A164" s="15"/>
      <c r="B164" s="15"/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hidden="1" customHeight="1">
      <c r="A165" s="15" t="s">
        <v>131</v>
      </c>
      <c r="B165" s="15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hidden="1" customHeight="1">
      <c r="A166" s="72" t="s">
        <v>29</v>
      </c>
      <c r="B166" s="73" t="s">
        <v>30</v>
      </c>
      <c r="C166" s="73" t="s">
        <v>20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hidden="1" customHeight="1">
      <c r="A167" s="76" t="s">
        <v>132</v>
      </c>
      <c r="B167" s="77" t="s">
        <v>68</v>
      </c>
      <c r="C167" s="146">
        <v>0</v>
      </c>
      <c r="D167" s="126">
        <v>6000</v>
      </c>
      <c r="E167" s="78">
        <f>C167*D167</f>
        <v>0</v>
      </c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hidden="1" customHeight="1">
      <c r="A168" s="76" t="s">
        <v>133</v>
      </c>
      <c r="B168" s="77" t="s">
        <v>68</v>
      </c>
      <c r="C168" s="146">
        <v>2</v>
      </c>
      <c r="D168" s="78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hidden="1" customHeight="1">
      <c r="A169" s="76" t="s">
        <v>134</v>
      </c>
      <c r="B169" s="77" t="s">
        <v>68</v>
      </c>
      <c r="C169" s="78">
        <f>C167*C168</f>
        <v>0</v>
      </c>
      <c r="D169" s="126">
        <v>3000</v>
      </c>
      <c r="E169" s="78">
        <f>C169*D169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hidden="1" customHeight="1">
      <c r="A170" s="80" t="s">
        <v>135</v>
      </c>
      <c r="B170" s="81" t="s">
        <v>136</v>
      </c>
      <c r="C170" s="147">
        <v>10000</v>
      </c>
      <c r="D170" s="79">
        <f>E167+E169</f>
        <v>0</v>
      </c>
      <c r="E170" s="79">
        <f>IFERROR(D170/C170,"-")</f>
        <v>0</v>
      </c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hidden="1" customHeight="1">
      <c r="A171" s="80" t="s">
        <v>137</v>
      </c>
      <c r="B171" s="81" t="s">
        <v>138</v>
      </c>
      <c r="C171" s="79">
        <f>B151</f>
        <v>176</v>
      </c>
      <c r="D171" s="79">
        <f>E170</f>
        <v>0</v>
      </c>
      <c r="E171" s="79">
        <f>IFERROR(C171*D171,0)</f>
        <v>0</v>
      </c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hidden="1" customHeight="1">
      <c r="A172" s="15"/>
      <c r="B172" s="15"/>
      <c r="C172" s="15"/>
      <c r="D172" s="16"/>
      <c r="E172" s="16"/>
      <c r="F172" s="118">
        <f>E171</f>
        <v>0</v>
      </c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1.25" customHeight="1">
      <c r="A173" s="15"/>
      <c r="B173" s="15"/>
      <c r="C173" s="15"/>
      <c r="D173" s="16"/>
      <c r="E173" s="16"/>
      <c r="F173" s="16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08" t="s">
        <v>139</v>
      </c>
      <c r="B174" s="109"/>
      <c r="C174" s="109"/>
      <c r="D174" s="49"/>
      <c r="E174" s="110"/>
      <c r="F174" s="118">
        <f>+SUM(F112:F173)</f>
        <v>0</v>
      </c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1.25" customHeight="1">
      <c r="A175" s="15"/>
      <c r="B175" s="15"/>
      <c r="C175" s="15"/>
      <c r="D175" s="16"/>
      <c r="E175" s="16"/>
      <c r="F175" s="16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hidden="1" customHeight="1">
      <c r="A176" s="36" t="s">
        <v>140</v>
      </c>
      <c r="B176" s="36"/>
      <c r="C176" s="36"/>
      <c r="D176" s="35"/>
      <c r="E176" s="35"/>
      <c r="F176" s="86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hidden="1" customHeight="1">
      <c r="A177" s="15"/>
      <c r="B177" s="15"/>
      <c r="C177" s="15"/>
      <c r="D177" s="16"/>
      <c r="E177" s="16"/>
      <c r="F177" s="16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72" t="s">
        <v>29</v>
      </c>
      <c r="B178" s="73" t="s">
        <v>30</v>
      </c>
      <c r="C178" s="73" t="s">
        <v>20</v>
      </c>
      <c r="D178" s="74" t="s">
        <v>31</v>
      </c>
      <c r="E178" s="74" t="s">
        <v>32</v>
      </c>
      <c r="F178" s="75" t="s">
        <v>33</v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80" t="s">
        <v>141</v>
      </c>
      <c r="B179" s="81" t="s">
        <v>68</v>
      </c>
      <c r="C179" s="148">
        <v>0</v>
      </c>
      <c r="D179" s="126">
        <v>50</v>
      </c>
      <c r="E179" s="79">
        <f>C179*D179</f>
        <v>0</v>
      </c>
      <c r="F179" s="121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80"/>
      <c r="B180" s="81"/>
      <c r="C180" s="148"/>
      <c r="D180" s="126"/>
      <c r="E180" s="79">
        <f>C180*D180</f>
        <v>0</v>
      </c>
      <c r="F180" s="121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80"/>
      <c r="B181" s="81"/>
      <c r="C181" s="148"/>
      <c r="D181" s="126"/>
      <c r="E181" s="79">
        <f>C181*D181</f>
        <v>0</v>
      </c>
      <c r="F181" s="121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80"/>
      <c r="B182" s="81"/>
      <c r="C182" s="112"/>
      <c r="D182" s="126"/>
      <c r="E182" s="79"/>
      <c r="F182" s="121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/>
      <c r="B183" s="81"/>
      <c r="C183" s="79"/>
      <c r="D183" s="99"/>
      <c r="E183" s="79">
        <f>C183*D183</f>
        <v>0</v>
      </c>
      <c r="F183" s="121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142</v>
      </c>
      <c r="B184" s="81" t="s">
        <v>143</v>
      </c>
      <c r="C184" s="148"/>
      <c r="D184" s="126"/>
      <c r="E184" s="79">
        <f>C184*D184</f>
        <v>0</v>
      </c>
      <c r="F184" s="121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36"/>
      <c r="B185" s="36"/>
      <c r="C185" s="36"/>
      <c r="D185" s="36"/>
      <c r="E185" s="35"/>
      <c r="F185" s="118">
        <f>SUM(E179:E184)</f>
        <v>0</v>
      </c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hidden="1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hidden="1" customHeight="1">
      <c r="A187" s="108" t="s">
        <v>144</v>
      </c>
      <c r="B187" s="109"/>
      <c r="C187" s="109"/>
      <c r="D187" s="49"/>
      <c r="E187" s="110"/>
      <c r="F187" s="118">
        <f>+F185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hidden="1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145</v>
      </c>
      <c r="B189" s="36"/>
      <c r="C189" s="36"/>
      <c r="D189" s="35"/>
      <c r="E189" s="35"/>
      <c r="F189" s="86"/>
      <c r="G189" s="16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6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6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146</v>
      </c>
      <c r="B192" s="149" t="s">
        <v>143</v>
      </c>
      <c r="C192" s="102">
        <v>0</v>
      </c>
      <c r="D192" s="99">
        <v>600</v>
      </c>
      <c r="E192" s="79">
        <f>+D192*C192</f>
        <v>0</v>
      </c>
      <c r="F192" s="121"/>
      <c r="G192" s="16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 t="s">
        <v>147</v>
      </c>
      <c r="B193" s="149" t="s">
        <v>35</v>
      </c>
      <c r="C193" s="81">
        <v>60</v>
      </c>
      <c r="D193" s="150">
        <f>SUM(E192)</f>
        <v>0</v>
      </c>
      <c r="E193" s="150">
        <f>+D193/C193</f>
        <v>0</v>
      </c>
      <c r="F193" s="121"/>
      <c r="G193" s="16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 t="s">
        <v>148</v>
      </c>
      <c r="B194" s="149" t="s">
        <v>35</v>
      </c>
      <c r="C194" s="81">
        <v>1</v>
      </c>
      <c r="D194" s="99">
        <v>100</v>
      </c>
      <c r="E194" s="79">
        <f>C194*D194</f>
        <v>100</v>
      </c>
      <c r="F194" s="121"/>
      <c r="G194" s="16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 t="s">
        <v>148</v>
      </c>
      <c r="B195" s="149" t="s">
        <v>149</v>
      </c>
      <c r="C195" s="81">
        <v>0</v>
      </c>
      <c r="D195" s="150">
        <f>+E194</f>
        <v>100</v>
      </c>
      <c r="E195" s="150">
        <f>C195*D195</f>
        <v>0</v>
      </c>
      <c r="F195" s="121"/>
      <c r="G195" s="16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101"/>
      <c r="B196" s="101"/>
      <c r="C196" s="15"/>
      <c r="D196" s="90" t="s">
        <v>59</v>
      </c>
      <c r="E196" s="91">
        <f>E142</f>
        <v>1</v>
      </c>
      <c r="F196" s="118">
        <f>(E195+E193)*E196</f>
        <v>0</v>
      </c>
      <c r="G196" s="16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1.25" hidden="1" customHeight="1">
      <c r="A197" s="15"/>
      <c r="B197" s="15"/>
      <c r="C197" s="15"/>
      <c r="D197" s="16"/>
      <c r="E197" s="16"/>
      <c r="F197" s="16"/>
      <c r="G197" s="151"/>
      <c r="H197" s="152"/>
      <c r="I197" s="152"/>
      <c r="J197" s="152"/>
      <c r="K197" s="152"/>
      <c r="L197" s="152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2"/>
      <c r="Z197" s="152"/>
    </row>
    <row r="198" spans="1:26" ht="12.75" hidden="1" customHeight="1">
      <c r="A198" s="108" t="s">
        <v>150</v>
      </c>
      <c r="B198" s="109"/>
      <c r="C198" s="109"/>
      <c r="D198" s="49"/>
      <c r="E198" s="110"/>
      <c r="F198" s="118">
        <f>+F196</f>
        <v>0</v>
      </c>
      <c r="G198" s="16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customHeight="1">
      <c r="A199" s="15"/>
      <c r="B199" s="15"/>
      <c r="C199" s="15"/>
      <c r="D199" s="16"/>
      <c r="E199" s="16"/>
      <c r="F199" s="16"/>
      <c r="G199" s="16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7.25" customHeight="1">
      <c r="A200" s="108" t="s">
        <v>151</v>
      </c>
      <c r="B200" s="115"/>
      <c r="C200" s="115"/>
      <c r="D200" s="116"/>
      <c r="E200" s="117"/>
      <c r="F200" s="98">
        <f>+F83+F104+F174+F187+F198</f>
        <v>0</v>
      </c>
      <c r="G200" s="16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customHeight="1">
      <c r="A201" s="15"/>
      <c r="B201" s="15"/>
      <c r="C201" s="15"/>
      <c r="D201" s="16"/>
      <c r="E201" s="16"/>
      <c r="F201" s="16"/>
      <c r="G201" s="16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>
      <c r="A202" s="36" t="s">
        <v>152</v>
      </c>
      <c r="B202" s="15"/>
      <c r="C202" s="15"/>
      <c r="D202" s="16"/>
      <c r="E202" s="16"/>
      <c r="F202" s="1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>
      <c r="A205" s="76" t="s">
        <v>153</v>
      </c>
      <c r="B205" s="77" t="s">
        <v>14</v>
      </c>
      <c r="C205" s="88">
        <f>'26.BDI'!C21*100</f>
        <v>18.96</v>
      </c>
      <c r="D205" s="78">
        <f>+F200</f>
        <v>0</v>
      </c>
      <c r="E205" s="78">
        <f>C205*D205/100</f>
        <v>0</v>
      </c>
      <c r="F205" s="16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>
      <c r="A206" s="15"/>
      <c r="B206" s="15"/>
      <c r="C206" s="15"/>
      <c r="D206" s="16"/>
      <c r="E206" s="16"/>
      <c r="F206" s="118">
        <f>+E205</f>
        <v>0</v>
      </c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1.25" customHeight="1">
      <c r="A207" s="15"/>
      <c r="B207" s="15"/>
      <c r="C207" s="15"/>
      <c r="D207" s="16"/>
      <c r="E207" s="16"/>
      <c r="F207" s="16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>
      <c r="A208" s="108" t="s">
        <v>154</v>
      </c>
      <c r="B208" s="115"/>
      <c r="C208" s="115"/>
      <c r="D208" s="116"/>
      <c r="E208" s="117"/>
      <c r="F208" s="98">
        <f>F206</f>
        <v>0</v>
      </c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>
      <c r="A209" s="36"/>
      <c r="B209" s="36"/>
      <c r="C209" s="36"/>
      <c r="D209" s="35"/>
      <c r="E209" s="35"/>
      <c r="F209" s="86"/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customHeight="1">
      <c r="A210" s="15"/>
      <c r="B210" s="15"/>
      <c r="C210" s="15"/>
      <c r="D210" s="16"/>
      <c r="E210" s="16"/>
      <c r="F210" s="16"/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24.75" customHeight="1">
      <c r="A211" s="108" t="s">
        <v>155</v>
      </c>
      <c r="B211" s="115"/>
      <c r="C211" s="115"/>
      <c r="D211" s="116"/>
      <c r="E211" s="117"/>
      <c r="F211" s="98">
        <f>F200+F208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" customHeight="1">
      <c r="A212" s="14"/>
      <c r="B212" s="14"/>
      <c r="C212" s="14"/>
      <c r="D212" s="153"/>
      <c r="E212" s="153"/>
      <c r="F212" s="153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>
      <c r="A213" s="23"/>
      <c r="B213" s="23"/>
      <c r="C213" s="23"/>
      <c r="D213" s="22"/>
      <c r="E213" s="22"/>
      <c r="F213" s="16"/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>
      <c r="A214" s="154" t="s">
        <v>156</v>
      </c>
      <c r="B214" s="53"/>
      <c r="C214" s="53"/>
      <c r="D214" s="155">
        <v>176</v>
      </c>
      <c r="E214" s="156" t="s">
        <v>157</v>
      </c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15"/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25.5" customHeight="1">
      <c r="A216" s="108" t="s">
        <v>158</v>
      </c>
      <c r="B216" s="109"/>
      <c r="C216" s="109"/>
      <c r="D216" s="49"/>
      <c r="E216" s="157" t="s">
        <v>159</v>
      </c>
      <c r="F216" s="158">
        <f>F211/D214</f>
        <v>0</v>
      </c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" customHeight="1"/>
    <row r="218" spans="1:26" ht="13.5" customHeight="1"/>
    <row r="219" spans="1:26" ht="9.75" customHeight="1"/>
    <row r="220" spans="1:26" ht="9.75" customHeight="1"/>
    <row r="221" spans="1:26" ht="12.75" customHeight="1"/>
    <row r="222" spans="1:26" ht="12.75" customHeight="1"/>
    <row r="223" spans="1:26" ht="12.75" customHeight="1"/>
    <row r="224" spans="1:26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9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</sheetData>
  <mergeCells count="7">
    <mergeCell ref="A27:D27"/>
    <mergeCell ref="A33:D33"/>
    <mergeCell ref="A1:F1"/>
    <mergeCell ref="A2:F2"/>
    <mergeCell ref="A4:F4"/>
    <mergeCell ref="A11:C11"/>
    <mergeCell ref="A26:E26"/>
  </mergeCells>
  <hyperlinks>
    <hyperlink ref="A14" location="Google_Sheet_Link_1352214653" display="3.1.1. Depreciação"/>
    <hyperlink ref="A15" location="Google_Sheet_Link_1085399715" display="3.1.2. Remuneração do Capital"/>
    <hyperlink ref="A110" location="Google_Sheet_Link_1352214653" display="3.1.1. Depreciação"/>
    <hyperlink ref="A126" location="Google_Sheet_Link_1085399715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90"/>
  <sheetViews>
    <sheetView workbookViewId="0">
      <selection activeCell="I15" sqref="I15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customHeight="1">
      <c r="A1" s="13" t="s">
        <v>160</v>
      </c>
      <c r="B1" s="13"/>
      <c r="C1" s="13"/>
      <c r="D1" s="13"/>
      <c r="E1" s="13"/>
      <c r="F1" s="13"/>
      <c r="G1" s="22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1.75" customHeight="1">
      <c r="A2" s="12" t="s">
        <v>10</v>
      </c>
      <c r="B2" s="12"/>
      <c r="C2" s="12"/>
      <c r="D2" s="12"/>
      <c r="E2" s="12"/>
      <c r="F2" s="12"/>
      <c r="G2" s="22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0.5" customHeight="1">
      <c r="A3" s="24"/>
      <c r="B3" s="18"/>
      <c r="C3" s="18"/>
      <c r="D3" s="16"/>
      <c r="E3" s="16"/>
      <c r="F3" s="25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5.75" customHeight="1">
      <c r="A4" s="11" t="s">
        <v>11</v>
      </c>
      <c r="B4" s="11"/>
      <c r="C4" s="11"/>
      <c r="D4" s="11"/>
      <c r="E4" s="11"/>
      <c r="F4" s="11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.75" customHeight="1">
      <c r="A5" s="26" t="s">
        <v>12</v>
      </c>
      <c r="B5" s="27"/>
      <c r="C5" s="27"/>
      <c r="D5" s="28"/>
      <c r="E5" s="29" t="s">
        <v>13</v>
      </c>
      <c r="F5" s="30" t="s">
        <v>14</v>
      </c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>
      <c r="A6" s="31" t="str">
        <f>A39</f>
        <v>1. Mão-de-obra</v>
      </c>
      <c r="B6" s="32"/>
      <c r="C6" s="32"/>
      <c r="D6" s="32"/>
      <c r="E6" s="33">
        <f>+F83</f>
        <v>0</v>
      </c>
      <c r="F6" s="34">
        <f t="shared" ref="F6:F22" si="0">IFERROR(E6/$E$23,0)</f>
        <v>0</v>
      </c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ht="15.75" customHeight="1">
      <c r="A7" s="37" t="str">
        <f>A41</f>
        <v xml:space="preserve">1.1. Operador de Máquinas </v>
      </c>
      <c r="B7" s="38"/>
      <c r="C7" s="38"/>
      <c r="D7" s="38"/>
      <c r="E7" s="39">
        <f>F60</f>
        <v>0</v>
      </c>
      <c r="F7" s="40">
        <f t="shared" si="0"/>
        <v>0</v>
      </c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>
      <c r="A8" s="37" t="str">
        <f>A62</f>
        <v>1.2. Vale Transporte</v>
      </c>
      <c r="B8" s="38"/>
      <c r="C8" s="38"/>
      <c r="D8" s="38"/>
      <c r="E8" s="39">
        <f>F68</f>
        <v>0</v>
      </c>
      <c r="F8" s="40">
        <f t="shared" si="0"/>
        <v>0</v>
      </c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.75" customHeight="1">
      <c r="A9" s="37" t="str">
        <f>A70</f>
        <v>1.3. Vale-refeição (mensal)</v>
      </c>
      <c r="B9" s="38"/>
      <c r="C9" s="38"/>
      <c r="D9" s="38"/>
      <c r="E9" s="39">
        <f>F75</f>
        <v>0</v>
      </c>
      <c r="F9" s="40">
        <f t="shared" si="0"/>
        <v>0</v>
      </c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5.75" customHeight="1">
      <c r="A10" s="37" t="str">
        <f>A77</f>
        <v>1.4. Plano de Benefício Social  (Seguro de vida) e (Manutenção e Capacitação Profissional )</v>
      </c>
      <c r="B10" s="38"/>
      <c r="C10" s="38"/>
      <c r="D10" s="38"/>
      <c r="E10" s="39">
        <f>F81</f>
        <v>0</v>
      </c>
      <c r="F10" s="40">
        <f t="shared" si="0"/>
        <v>0</v>
      </c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5.75" customHeight="1">
      <c r="A11" s="10" t="str">
        <f>A85</f>
        <v>2. Uniformes e Equipamentos de Proteção Individual</v>
      </c>
      <c r="B11" s="10"/>
      <c r="C11" s="10"/>
      <c r="D11" s="32"/>
      <c r="E11" s="33">
        <f>+F104</f>
        <v>0</v>
      </c>
      <c r="F11" s="34">
        <f t="shared" si="0"/>
        <v>0</v>
      </c>
      <c r="G11" s="35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15.75" customHeight="1">
      <c r="A12" s="41" t="str">
        <f>A106</f>
        <v xml:space="preserve">3. Veículos e Máquinas </v>
      </c>
      <c r="B12" s="42"/>
      <c r="C12" s="32"/>
      <c r="D12" s="32"/>
      <c r="E12" s="33">
        <f>+F174</f>
        <v>0</v>
      </c>
      <c r="F12" s="34">
        <f t="shared" si="0"/>
        <v>0</v>
      </c>
      <c r="G12" s="35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5.75" customHeight="1">
      <c r="A13" s="43" t="str">
        <f>A108</f>
        <v xml:space="preserve">3.1. Veículo/Máquina </v>
      </c>
      <c r="B13" s="44"/>
      <c r="C13" s="38"/>
      <c r="D13" s="38"/>
      <c r="E13" s="39">
        <f>SUM(E14:E19)</f>
        <v>0</v>
      </c>
      <c r="F13" s="40">
        <f t="shared" si="0"/>
        <v>0</v>
      </c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45" t="s">
        <v>15</v>
      </c>
      <c r="B14" s="44"/>
      <c r="C14" s="38"/>
      <c r="D14" s="38"/>
      <c r="E14" s="39">
        <f>F124</f>
        <v>0</v>
      </c>
      <c r="F14" s="40">
        <f t="shared" si="0"/>
        <v>0</v>
      </c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45" t="s">
        <v>16</v>
      </c>
      <c r="B15" s="44"/>
      <c r="C15" s="38"/>
      <c r="D15" s="38"/>
      <c r="E15" s="39">
        <f>F142</f>
        <v>0</v>
      </c>
      <c r="F15" s="40">
        <f t="shared" si="0"/>
        <v>0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43" t="str">
        <f>A144</f>
        <v>3.1.3. Impostos e Seguros</v>
      </c>
      <c r="B16" s="44"/>
      <c r="C16" s="38"/>
      <c r="D16" s="38"/>
      <c r="E16" s="39">
        <f>F148</f>
        <v>0</v>
      </c>
      <c r="F16" s="40">
        <f t="shared" si="0"/>
        <v>0</v>
      </c>
      <c r="G16" s="16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>
      <c r="A17" s="43" t="str">
        <f>A149</f>
        <v xml:space="preserve">3.1.4. Consumos óleo diesel </v>
      </c>
      <c r="B17" s="44"/>
      <c r="C17" s="38"/>
      <c r="D17" s="38"/>
      <c r="E17" s="39">
        <f>F158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43" t="str">
        <f>A160</f>
        <v xml:space="preserve">3.1.5. Manutenção/Consumos </v>
      </c>
      <c r="B18" s="44"/>
      <c r="C18" s="38"/>
      <c r="D18" s="38"/>
      <c r="E18" s="39">
        <f>F163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hidden="1" customHeight="1">
      <c r="A19" s="43" t="str">
        <f>A165</f>
        <v>3.1.6. Pneus</v>
      </c>
      <c r="B19" s="44"/>
      <c r="C19" s="38"/>
      <c r="D19" s="38"/>
      <c r="E19" s="39">
        <f>F172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hidden="1" customHeight="1">
      <c r="A20" s="41" t="str">
        <f>A176</f>
        <v xml:space="preserve">4. Ferramentas e materiais </v>
      </c>
      <c r="B20" s="42"/>
      <c r="C20" s="32"/>
      <c r="D20" s="32"/>
      <c r="E20" s="33">
        <f>+F187</f>
        <v>0</v>
      </c>
      <c r="F20" s="34">
        <f t="shared" si="0"/>
        <v>0</v>
      </c>
      <c r="G20" s="35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ht="15.75" hidden="1" customHeight="1">
      <c r="A21" s="41" t="str">
        <f>A189</f>
        <v xml:space="preserve">5. Monitoramento da frota  </v>
      </c>
      <c r="B21" s="42"/>
      <c r="C21" s="32"/>
      <c r="D21" s="32"/>
      <c r="E21" s="33">
        <f>+F198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A202</f>
        <v>4. Benefícios e Despesas Indiretas - BDI</v>
      </c>
      <c r="B22" s="42"/>
      <c r="C22" s="32"/>
      <c r="D22" s="32"/>
      <c r="E22" s="46">
        <f>+F208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7" t="s">
        <v>17</v>
      </c>
      <c r="B23" s="48"/>
      <c r="C23" s="49"/>
      <c r="D23" s="49"/>
      <c r="E23" s="50">
        <f>E6+E11+E12+E20+E21+E22</f>
        <v>0</v>
      </c>
      <c r="F23" s="51">
        <f>F6+F11+F12+F20+F21+F22</f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2.75" customHeight="1">
      <c r="A24" s="15"/>
      <c r="B24" s="15"/>
      <c r="C24" s="15"/>
      <c r="D24" s="16"/>
      <c r="E24" s="16"/>
      <c r="F24" s="16"/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2.75" customHeight="1">
      <c r="A25" s="15"/>
      <c r="B25" s="15"/>
      <c r="C25" s="15"/>
      <c r="D25" s="16"/>
      <c r="E25" s="16"/>
      <c r="F25" s="16"/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" customHeight="1">
      <c r="A26" s="11" t="s">
        <v>18</v>
      </c>
      <c r="B26" s="11"/>
      <c r="C26" s="11"/>
      <c r="D26" s="11"/>
      <c r="E26" s="11"/>
      <c r="F26" s="16"/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" customHeight="1">
      <c r="A27" s="9" t="s">
        <v>19</v>
      </c>
      <c r="B27" s="9"/>
      <c r="C27" s="9"/>
      <c r="D27" s="9"/>
      <c r="E27" s="52" t="s">
        <v>20</v>
      </c>
      <c r="F27" s="16"/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" customHeight="1">
      <c r="A28" s="37" t="str">
        <f>+A41</f>
        <v xml:space="preserve">1.1. Operador de Máquinas </v>
      </c>
      <c r="B28" s="38"/>
      <c r="C28" s="38"/>
      <c r="D28" s="53"/>
      <c r="E28" s="54">
        <f>C59</f>
        <v>1</v>
      </c>
      <c r="F28" s="16"/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" customHeight="1">
      <c r="A29" s="37" t="s">
        <v>22</v>
      </c>
      <c r="B29" s="38"/>
      <c r="C29" s="38"/>
      <c r="D29" s="53"/>
      <c r="E29" s="55"/>
      <c r="F29" s="16"/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" customHeight="1">
      <c r="A30" s="37" t="s">
        <v>23</v>
      </c>
      <c r="B30" s="38"/>
      <c r="C30" s="38"/>
      <c r="D30" s="53"/>
      <c r="E30" s="56">
        <v>0</v>
      </c>
      <c r="F30" s="16"/>
      <c r="G30" s="16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" customHeight="1">
      <c r="A31" s="57" t="s">
        <v>24</v>
      </c>
      <c r="B31" s="58"/>
      <c r="C31" s="58"/>
      <c r="D31" s="59"/>
      <c r="E31" s="60">
        <f>SUM(E28)</f>
        <v>1</v>
      </c>
      <c r="F31" s="16"/>
      <c r="G31" s="16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" customHeight="1">
      <c r="A32" s="61"/>
      <c r="B32" s="62"/>
      <c r="C32" s="16"/>
      <c r="D32" s="16"/>
      <c r="E32" s="25"/>
      <c r="F32" s="16"/>
      <c r="G32" s="16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" customHeight="1">
      <c r="A33" s="8" t="s">
        <v>25</v>
      </c>
      <c r="B33" s="8"/>
      <c r="C33" s="8"/>
      <c r="D33" s="8"/>
      <c r="E33" s="52" t="s">
        <v>20</v>
      </c>
      <c r="F33" s="15"/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" customHeight="1">
      <c r="A34" s="63" t="str">
        <f>+A108</f>
        <v xml:space="preserve">3.1. Veículo/Máquina </v>
      </c>
      <c r="B34" s="64"/>
      <c r="C34" s="64"/>
      <c r="D34" s="65"/>
      <c r="E34" s="66">
        <f>C123</f>
        <v>1</v>
      </c>
      <c r="F34" s="15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" customHeight="1">
      <c r="A35" s="16"/>
      <c r="B35" s="16"/>
      <c r="C35" s="16"/>
      <c r="D35" s="15"/>
      <c r="E35" s="67"/>
      <c r="F35" s="15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>
      <c r="A36" s="16"/>
      <c r="B36" s="16"/>
      <c r="C36" s="16"/>
      <c r="D36" s="15"/>
      <c r="E36" s="68"/>
      <c r="F36" s="15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>
      <c r="A37" s="69" t="s">
        <v>26</v>
      </c>
      <c r="B37" s="70">
        <f>'27.Horários'!F17/'27.Horários'!F18</f>
        <v>1</v>
      </c>
      <c r="C37" s="35"/>
      <c r="D37" s="36"/>
      <c r="E37" s="71"/>
      <c r="F37" s="36"/>
      <c r="G37" s="35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 ht="15.75" customHeight="1">
      <c r="A38" s="16"/>
      <c r="B38" s="16"/>
      <c r="C38" s="16"/>
      <c r="D38" s="15"/>
      <c r="E38" s="68"/>
      <c r="F38" s="15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2.75" customHeight="1">
      <c r="A39" s="36" t="s">
        <v>27</v>
      </c>
      <c r="B39" s="15"/>
      <c r="C39" s="15"/>
      <c r="D39" s="16"/>
      <c r="E39" s="16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1.25" customHeight="1">
      <c r="A40" s="15"/>
      <c r="B40" s="15"/>
      <c r="C40" s="15"/>
      <c r="D40" s="16"/>
      <c r="E40" s="16"/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2.75" customHeight="1">
      <c r="A41" s="15" t="s">
        <v>28</v>
      </c>
      <c r="B41" s="15"/>
      <c r="C41" s="15"/>
      <c r="D41" s="16"/>
      <c r="E41" s="16"/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>
      <c r="A42" s="72" t="s">
        <v>29</v>
      </c>
      <c r="B42" s="73" t="s">
        <v>30</v>
      </c>
      <c r="C42" s="73" t="s">
        <v>20</v>
      </c>
      <c r="D42" s="74" t="s">
        <v>31</v>
      </c>
      <c r="E42" s="74" t="s">
        <v>32</v>
      </c>
      <c r="F42" s="75" t="s">
        <v>33</v>
      </c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>
      <c r="A43" s="76" t="s">
        <v>34</v>
      </c>
      <c r="B43" s="77" t="s">
        <v>35</v>
      </c>
      <c r="C43" s="77">
        <v>1</v>
      </c>
      <c r="D43" s="78">
        <f>ROUND((E29*E30)+E29,2)</f>
        <v>0</v>
      </c>
      <c r="E43" s="78">
        <f>C43*D43</f>
        <v>0</v>
      </c>
      <c r="F43" s="16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hidden="1" customHeight="1">
      <c r="A44" s="76" t="s">
        <v>36</v>
      </c>
      <c r="B44" s="77" t="s">
        <v>35</v>
      </c>
      <c r="C44" s="77">
        <v>1</v>
      </c>
      <c r="D44" s="79">
        <v>1100</v>
      </c>
      <c r="E44" s="79"/>
      <c r="F44" s="16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hidden="1" customHeight="1">
      <c r="A45" s="80" t="s">
        <v>37</v>
      </c>
      <c r="B45" s="81" t="s">
        <v>38</v>
      </c>
      <c r="C45" s="82"/>
      <c r="D45" s="80"/>
      <c r="E45" s="80"/>
      <c r="F45" s="16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hidden="1" customHeight="1">
      <c r="A46" s="80"/>
      <c r="B46" s="81" t="s">
        <v>39</v>
      </c>
      <c r="C46" s="79">
        <f>C45*8/7</f>
        <v>0</v>
      </c>
      <c r="D46" s="79">
        <f>D43/220*0.2</f>
        <v>0</v>
      </c>
      <c r="E46" s="79">
        <f>C45*D46</f>
        <v>0</v>
      </c>
      <c r="F46" s="16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hidden="1" customHeight="1">
      <c r="A47" s="80" t="s">
        <v>40</v>
      </c>
      <c r="B47" s="81" t="s">
        <v>41</v>
      </c>
      <c r="C47" s="82"/>
      <c r="D47" s="79">
        <f>D43/220*2</f>
        <v>0</v>
      </c>
      <c r="E47" s="79">
        <f>C47*D47</f>
        <v>0</v>
      </c>
      <c r="F47" s="16"/>
      <c r="G47" s="16" t="s">
        <v>42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hidden="1" customHeight="1">
      <c r="A48" s="80" t="s">
        <v>43</v>
      </c>
      <c r="B48" s="81" t="s">
        <v>38</v>
      </c>
      <c r="C48" s="82"/>
      <c r="D48" s="79"/>
      <c r="E48" s="79"/>
      <c r="F48" s="16"/>
      <c r="G48" s="16" t="s">
        <v>44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hidden="1" customHeight="1">
      <c r="A49" s="80"/>
      <c r="B49" s="81" t="s">
        <v>39</v>
      </c>
      <c r="C49" s="79">
        <f>C48*8/7</f>
        <v>0</v>
      </c>
      <c r="D49" s="79">
        <f>D43/220*2*1.2</f>
        <v>0</v>
      </c>
      <c r="E49" s="79">
        <f>C49*D49</f>
        <v>0</v>
      </c>
      <c r="F49" s="16"/>
      <c r="G49" s="16" t="s">
        <v>44</v>
      </c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hidden="1" customHeight="1">
      <c r="A50" s="80" t="s">
        <v>45</v>
      </c>
      <c r="B50" s="81" t="s">
        <v>41</v>
      </c>
      <c r="C50" s="82"/>
      <c r="D50" s="79">
        <f>D43/220*1.5</f>
        <v>0</v>
      </c>
      <c r="E50" s="79">
        <f>C50*D50</f>
        <v>0</v>
      </c>
      <c r="F50" s="16"/>
      <c r="G50" s="16" t="s">
        <v>46</v>
      </c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hidden="1" customHeight="1">
      <c r="A51" s="80" t="s">
        <v>47</v>
      </c>
      <c r="B51" s="81" t="s">
        <v>38</v>
      </c>
      <c r="C51" s="82"/>
      <c r="D51" s="79"/>
      <c r="E51" s="79"/>
      <c r="F51" s="16"/>
      <c r="G51" s="16" t="s">
        <v>48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hidden="1" customHeight="1">
      <c r="A52" s="80"/>
      <c r="B52" s="81" t="s">
        <v>39</v>
      </c>
      <c r="C52" s="79">
        <f>C51*8/7</f>
        <v>0</v>
      </c>
      <c r="D52" s="79">
        <f>D43/220*1.5*1.2</f>
        <v>0</v>
      </c>
      <c r="E52" s="79">
        <f>C52*D52</f>
        <v>0</v>
      </c>
      <c r="F52" s="16"/>
      <c r="G52" s="16" t="s">
        <v>48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hidden="1" customHeight="1">
      <c r="A53" s="80" t="s">
        <v>49</v>
      </c>
      <c r="B53" s="81" t="s">
        <v>50</v>
      </c>
      <c r="C53" s="15"/>
      <c r="D53" s="79">
        <f>63/302*(SUM(E47:E52))</f>
        <v>0</v>
      </c>
      <c r="E53" s="79">
        <f>D53</f>
        <v>0</v>
      </c>
      <c r="F53" s="16"/>
      <c r="G53" s="16" t="s">
        <v>51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80" t="s">
        <v>52</v>
      </c>
      <c r="B54" s="81"/>
      <c r="C54" s="83">
        <v>0</v>
      </c>
      <c r="D54" s="79"/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53</v>
      </c>
      <c r="B55" s="81" t="s">
        <v>14</v>
      </c>
      <c r="C55" s="79">
        <v>0</v>
      </c>
      <c r="D55" s="79">
        <f>IF(C54=2,SUM(E43:E53),IF(C54=1,SUM(E43:E53)*D44/D43,0))</f>
        <v>0</v>
      </c>
      <c r="E55" s="79">
        <f>C55*D55/100</f>
        <v>0</v>
      </c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>
      <c r="A56" s="84" t="s">
        <v>54</v>
      </c>
      <c r="B56" s="85"/>
      <c r="C56" s="85"/>
      <c r="D56" s="86"/>
      <c r="E56" s="87">
        <f>SUM(E43:E55)</f>
        <v>0</v>
      </c>
      <c r="F56" s="35"/>
      <c r="G56" s="35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spans="1:26" ht="12.75" customHeight="1">
      <c r="A57" s="80" t="s">
        <v>55</v>
      </c>
      <c r="B57" s="81" t="s">
        <v>14</v>
      </c>
      <c r="C57" s="88">
        <f>'24.Encargos Sociais'!$C$38*100</f>
        <v>0</v>
      </c>
      <c r="D57" s="79">
        <f>E56</f>
        <v>0</v>
      </c>
      <c r="E57" s="79">
        <f>D57*C57/100</f>
        <v>0</v>
      </c>
      <c r="F57" s="16"/>
      <c r="G57" s="16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>
      <c r="A58" s="84" t="s">
        <v>56</v>
      </c>
      <c r="B58" s="85"/>
      <c r="C58" s="85"/>
      <c r="D58" s="86"/>
      <c r="E58" s="87">
        <f>E56+E57</f>
        <v>0</v>
      </c>
      <c r="F58" s="35"/>
      <c r="G58" s="35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spans="1:26" ht="12.75" customHeight="1">
      <c r="A59" s="80" t="s">
        <v>57</v>
      </c>
      <c r="B59" s="81" t="s">
        <v>58</v>
      </c>
      <c r="C59" s="89">
        <v>1</v>
      </c>
      <c r="D59" s="79">
        <f>E58</f>
        <v>0</v>
      </c>
      <c r="E59" s="79">
        <f>C59*D59</f>
        <v>0</v>
      </c>
      <c r="F59" s="16"/>
      <c r="G59" s="16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>
      <c r="A60" s="15"/>
      <c r="B60" s="15"/>
      <c r="C60" s="15"/>
      <c r="D60" s="90" t="s">
        <v>59</v>
      </c>
      <c r="E60" s="91">
        <f>B37</f>
        <v>1</v>
      </c>
      <c r="F60" s="92">
        <f>E59*E60</f>
        <v>0</v>
      </c>
      <c r="G60" s="16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1.25" customHeight="1">
      <c r="A61" s="15"/>
      <c r="B61" s="15"/>
      <c r="C61" s="15"/>
      <c r="D61" s="16"/>
      <c r="E61" s="16"/>
      <c r="F61" s="16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>
      <c r="A62" s="15" t="s">
        <v>60</v>
      </c>
      <c r="B62" s="93"/>
      <c r="C62" s="15"/>
      <c r="D62" s="15"/>
      <c r="E62" s="16"/>
      <c r="F62" s="16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>
      <c r="A63" s="72" t="s">
        <v>29</v>
      </c>
      <c r="B63" s="73" t="s">
        <v>30</v>
      </c>
      <c r="C63" s="73" t="s">
        <v>20</v>
      </c>
      <c r="D63" s="74" t="s">
        <v>31</v>
      </c>
      <c r="E63" s="74" t="s">
        <v>32</v>
      </c>
      <c r="F63" s="75" t="s">
        <v>33</v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>
      <c r="A64" s="80" t="s">
        <v>61</v>
      </c>
      <c r="B64" s="81" t="s">
        <v>50</v>
      </c>
      <c r="C64" s="94">
        <v>1</v>
      </c>
      <c r="D64" s="95"/>
      <c r="E64" s="79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>
      <c r="A65" s="80" t="s">
        <v>62</v>
      </c>
      <c r="B65" s="81" t="s">
        <v>63</v>
      </c>
      <c r="C65" s="96">
        <v>21</v>
      </c>
      <c r="D65" s="79"/>
      <c r="E65" s="79"/>
      <c r="F65" s="16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hidden="1" customHeight="1">
      <c r="A66" s="80" t="s">
        <v>64</v>
      </c>
      <c r="B66" s="81" t="s">
        <v>65</v>
      </c>
      <c r="C66" s="97" t="e">
        <f>$C$65*2*(#REF!)</f>
        <v>#REF!</v>
      </c>
      <c r="D66" s="78" t="str">
        <f>IFERROR((($C$65*2*$D$64)-(#REF!*0.06*C65/26))/($C$65*2),"-")</f>
        <v>-</v>
      </c>
      <c r="E66" s="79" t="str">
        <f>IFERROR(C66*D66,"-")</f>
        <v>-</v>
      </c>
      <c r="F66" s="16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>
      <c r="A67" s="76" t="s">
        <v>66</v>
      </c>
      <c r="B67" s="77" t="s">
        <v>65</v>
      </c>
      <c r="C67" s="97">
        <f>$C$65*2*(C59)</f>
        <v>42</v>
      </c>
      <c r="D67" s="78"/>
      <c r="E67" s="78">
        <f>C67*D64</f>
        <v>0</v>
      </c>
      <c r="F67" s="16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15"/>
      <c r="B68" s="15"/>
      <c r="C68" s="15"/>
      <c r="D68" s="16"/>
      <c r="E68" s="16"/>
      <c r="F68" s="98">
        <f>E67-(6%*E43)</f>
        <v>0</v>
      </c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1.25" customHeight="1">
      <c r="A69" s="15"/>
      <c r="B69" s="15"/>
      <c r="C69" s="15"/>
      <c r="D69" s="16"/>
      <c r="E69" s="16"/>
      <c r="F69" s="16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5" t="s">
        <v>67</v>
      </c>
      <c r="B70" s="15"/>
      <c r="C70" s="15"/>
      <c r="D70" s="16"/>
      <c r="E70" s="16"/>
      <c r="F70" s="3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>
      <c r="A71" s="72" t="s">
        <v>29</v>
      </c>
      <c r="B71" s="73" t="s">
        <v>30</v>
      </c>
      <c r="C71" s="73" t="s">
        <v>20</v>
      </c>
      <c r="D71" s="74" t="s">
        <v>31</v>
      </c>
      <c r="E71" s="74" t="s">
        <v>32</v>
      </c>
      <c r="F71" s="75" t="s">
        <v>33</v>
      </c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hidden="1" customHeight="1">
      <c r="A72" s="80" t="str">
        <f>+A66</f>
        <v>Coletor</v>
      </c>
      <c r="B72" s="81" t="s">
        <v>68</v>
      </c>
      <c r="C72" s="97"/>
      <c r="D72" s="99">
        <v>0</v>
      </c>
      <c r="E72" s="100">
        <f>C72*D72</f>
        <v>0</v>
      </c>
      <c r="F72" s="3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80" t="str">
        <f>+A67</f>
        <v xml:space="preserve">Operador </v>
      </c>
      <c r="B73" s="81" t="s">
        <v>68</v>
      </c>
      <c r="C73" s="97">
        <v>1</v>
      </c>
      <c r="D73" s="99"/>
      <c r="E73" s="100">
        <f>C73*D73</f>
        <v>0</v>
      </c>
      <c r="F73" s="3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hidden="1" customHeight="1">
      <c r="A74" s="80" t="s">
        <v>69</v>
      </c>
      <c r="B74" s="81" t="s">
        <v>68</v>
      </c>
      <c r="C74" s="97">
        <v>0</v>
      </c>
      <c r="D74" s="99">
        <v>13.55</v>
      </c>
      <c r="E74" s="100">
        <f>C74*D74</f>
        <v>0</v>
      </c>
      <c r="F74" s="3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101"/>
      <c r="B75" s="15"/>
      <c r="C75" s="15"/>
      <c r="D75" s="16"/>
      <c r="E75" s="16"/>
      <c r="F75" s="98">
        <f>SUM(E72:E74)</f>
        <v>0</v>
      </c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>
      <c r="A76" s="15"/>
      <c r="B76" s="15"/>
      <c r="C76" s="15"/>
      <c r="D76" s="16"/>
      <c r="E76" s="16"/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15" t="s">
        <v>70</v>
      </c>
      <c r="B77" s="15"/>
      <c r="C77" s="15"/>
      <c r="D77" s="16"/>
      <c r="E77" s="16"/>
      <c r="F77" s="3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72" t="s">
        <v>29</v>
      </c>
      <c r="B78" s="73" t="s">
        <v>30</v>
      </c>
      <c r="C78" s="73" t="s">
        <v>20</v>
      </c>
      <c r="D78" s="74" t="s">
        <v>31</v>
      </c>
      <c r="E78" s="74" t="s">
        <v>32</v>
      </c>
      <c r="F78" s="75" t="s">
        <v>33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>
      <c r="A79" s="80" t="s">
        <v>71</v>
      </c>
      <c r="B79" s="81" t="s">
        <v>68</v>
      </c>
      <c r="C79" s="102">
        <v>1</v>
      </c>
      <c r="D79" s="99"/>
      <c r="E79" s="103">
        <f>C79*D79</f>
        <v>0</v>
      </c>
      <c r="F79" s="3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80" t="s">
        <v>72</v>
      </c>
      <c r="B80" s="81" t="s">
        <v>68</v>
      </c>
      <c r="C80" s="102">
        <v>1</v>
      </c>
      <c r="D80" s="104"/>
      <c r="E80" s="103">
        <f>C80*D80</f>
        <v>0</v>
      </c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105"/>
      <c r="B81" s="105"/>
      <c r="C81" s="15"/>
      <c r="D81" s="90" t="s">
        <v>73</v>
      </c>
      <c r="E81" s="100">
        <v>1</v>
      </c>
      <c r="F81" s="106">
        <f>SUM(E79:E80)*E81</f>
        <v>0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>
      <c r="A82" s="15"/>
      <c r="B82" s="15"/>
      <c r="C82" s="15"/>
      <c r="D82" s="90"/>
      <c r="E82" s="107"/>
      <c r="F82" s="16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108" t="s">
        <v>74</v>
      </c>
      <c r="B83" s="109"/>
      <c r="C83" s="109"/>
      <c r="D83" s="49"/>
      <c r="E83" s="110"/>
      <c r="F83" s="98">
        <f>F60+F68+F75+F81</f>
        <v>0</v>
      </c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>
      <c r="A84" s="15"/>
      <c r="B84" s="15"/>
      <c r="C84" s="15"/>
      <c r="D84" s="16"/>
      <c r="E84" s="16"/>
      <c r="F84" s="16"/>
      <c r="G84" s="16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36" t="s">
        <v>75</v>
      </c>
      <c r="B85" s="15"/>
      <c r="C85" s="15"/>
      <c r="D85" s="16"/>
      <c r="E85" s="16"/>
      <c r="F85" s="16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1.2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3.5" customHeight="1">
      <c r="A87" s="15" t="s">
        <v>76</v>
      </c>
      <c r="B87" s="15"/>
      <c r="C87" s="15"/>
      <c r="D87" s="16"/>
      <c r="E87" s="16"/>
      <c r="F87" s="16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1.25" customHeight="1">
      <c r="A88" s="15"/>
      <c r="B88" s="15"/>
      <c r="C88" s="15"/>
      <c r="D88" s="16"/>
      <c r="E88" s="16"/>
      <c r="F88" s="16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27.75" customHeight="1">
      <c r="A89" s="72" t="s">
        <v>29</v>
      </c>
      <c r="B89" s="73" t="s">
        <v>30</v>
      </c>
      <c r="C89" s="111" t="s">
        <v>77</v>
      </c>
      <c r="D89" s="74" t="s">
        <v>31</v>
      </c>
      <c r="E89" s="74" t="s">
        <v>32</v>
      </c>
      <c r="F89" s="75" t="s">
        <v>33</v>
      </c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76" t="s">
        <v>78</v>
      </c>
      <c r="B90" s="77" t="s">
        <v>68</v>
      </c>
      <c r="C90" s="112"/>
      <c r="D90" s="113"/>
      <c r="E90" s="78">
        <f t="shared" ref="E90:E99" si="1">IFERROR(D90/C90,0)</f>
        <v>0</v>
      </c>
      <c r="F90" s="16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80" t="s">
        <v>79</v>
      </c>
      <c r="B91" s="81" t="s">
        <v>68</v>
      </c>
      <c r="C91" s="112"/>
      <c r="D91" s="114"/>
      <c r="E91" s="78">
        <f t="shared" si="1"/>
        <v>0</v>
      </c>
      <c r="F91" s="16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80" t="s">
        <v>80</v>
      </c>
      <c r="B92" s="81" t="s">
        <v>68</v>
      </c>
      <c r="C92" s="112"/>
      <c r="D92" s="114"/>
      <c r="E92" s="78">
        <f t="shared" si="1"/>
        <v>0</v>
      </c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80" t="s">
        <v>81</v>
      </c>
      <c r="B93" s="81" t="s">
        <v>68</v>
      </c>
      <c r="C93" s="112"/>
      <c r="D93" s="114"/>
      <c r="E93" s="78">
        <f t="shared" si="1"/>
        <v>0</v>
      </c>
      <c r="F93" s="16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3.5" customHeight="1">
      <c r="A94" s="80" t="s">
        <v>82</v>
      </c>
      <c r="B94" s="81" t="s">
        <v>83</v>
      </c>
      <c r="C94" s="112"/>
      <c r="D94" s="114"/>
      <c r="E94" s="78">
        <f t="shared" si="1"/>
        <v>0</v>
      </c>
      <c r="F94" s="16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80" t="s">
        <v>84</v>
      </c>
      <c r="B95" s="81" t="s">
        <v>83</v>
      </c>
      <c r="C95" s="112"/>
      <c r="D95" s="114"/>
      <c r="E95" s="78">
        <f t="shared" si="1"/>
        <v>0</v>
      </c>
      <c r="F95" s="16"/>
      <c r="G95" s="16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>
      <c r="A96" s="80" t="s">
        <v>85</v>
      </c>
      <c r="B96" s="81" t="s">
        <v>68</v>
      </c>
      <c r="C96" s="112"/>
      <c r="D96" s="114"/>
      <c r="E96" s="78">
        <f t="shared" si="1"/>
        <v>0</v>
      </c>
      <c r="F96" s="16"/>
      <c r="G96" s="16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>
      <c r="A97" s="80" t="s">
        <v>86</v>
      </c>
      <c r="B97" s="81" t="s">
        <v>83</v>
      </c>
      <c r="C97" s="112"/>
      <c r="D97" s="114"/>
      <c r="E97" s="78">
        <f t="shared" si="1"/>
        <v>0</v>
      </c>
      <c r="F97" s="16"/>
      <c r="G97" s="16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>
      <c r="A98" s="80" t="s">
        <v>87</v>
      </c>
      <c r="B98" s="81" t="s">
        <v>88</v>
      </c>
      <c r="C98" s="112"/>
      <c r="D98" s="114"/>
      <c r="E98" s="78">
        <f t="shared" si="1"/>
        <v>0</v>
      </c>
      <c r="F98" s="16"/>
      <c r="G98" s="16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>
      <c r="A99" s="80" t="s">
        <v>89</v>
      </c>
      <c r="B99" s="81" t="s">
        <v>90</v>
      </c>
      <c r="C99" s="112"/>
      <c r="D99" s="114"/>
      <c r="E99" s="78">
        <f t="shared" si="1"/>
        <v>0</v>
      </c>
      <c r="F99" s="16"/>
      <c r="G99" s="16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80" t="s">
        <v>57</v>
      </c>
      <c r="B100" s="81" t="s">
        <v>58</v>
      </c>
      <c r="C100" s="102">
        <f>E28</f>
        <v>1</v>
      </c>
      <c r="D100" s="79">
        <f>+SUM(E90:E99)</f>
        <v>0</v>
      </c>
      <c r="E100" s="79">
        <f>C100*D100</f>
        <v>0</v>
      </c>
      <c r="F100" s="16"/>
      <c r="G100" s="16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15"/>
      <c r="B101" s="15"/>
      <c r="C101" s="15"/>
      <c r="D101" s="90" t="s">
        <v>59</v>
      </c>
      <c r="E101" s="91">
        <f>$B$37</f>
        <v>1</v>
      </c>
      <c r="F101" s="92">
        <f>E100*E101</f>
        <v>0</v>
      </c>
      <c r="G101" s="16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1.25" customHeight="1">
      <c r="A102" s="15"/>
      <c r="B102" s="15"/>
      <c r="C102" s="15"/>
      <c r="D102" s="16"/>
      <c r="E102" s="16"/>
      <c r="F102" s="16"/>
      <c r="G102" s="16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1.25" customHeight="1">
      <c r="A103" s="15"/>
      <c r="B103" s="15"/>
      <c r="C103" s="15"/>
      <c r="D103" s="16"/>
      <c r="E103" s="16"/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>
      <c r="A104" s="108" t="s">
        <v>91</v>
      </c>
      <c r="B104" s="115"/>
      <c r="C104" s="115"/>
      <c r="D104" s="116"/>
      <c r="E104" s="117"/>
      <c r="F104" s="118">
        <f>+F101</f>
        <v>0</v>
      </c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1.25" customHeight="1">
      <c r="A105" s="15"/>
      <c r="B105" s="15"/>
      <c r="C105" s="15"/>
      <c r="D105" s="16"/>
      <c r="E105" s="16"/>
      <c r="F105" s="16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36" t="s">
        <v>92</v>
      </c>
      <c r="B106" s="15"/>
      <c r="C106" s="15"/>
      <c r="D106" s="16"/>
      <c r="E106" s="16"/>
      <c r="F106" s="16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1.25" customHeight="1">
      <c r="A107" s="15"/>
      <c r="B107" s="119"/>
      <c r="C107" s="15"/>
      <c r="D107" s="16"/>
      <c r="E107" s="16"/>
      <c r="F107" s="16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15" t="s">
        <v>93</v>
      </c>
      <c r="B108" s="15"/>
      <c r="C108" s="15"/>
      <c r="D108" s="16"/>
      <c r="E108" s="16"/>
      <c r="F108" s="16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1.25" customHeight="1">
      <c r="A109" s="15"/>
      <c r="B109" s="15"/>
      <c r="C109" s="15"/>
      <c r="D109" s="16"/>
      <c r="E109" s="16"/>
      <c r="F109" s="16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119" t="s">
        <v>15</v>
      </c>
      <c r="B110" s="15"/>
      <c r="C110" s="15"/>
      <c r="D110" s="16"/>
      <c r="E110" s="16"/>
      <c r="F110" s="16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72" t="s">
        <v>29</v>
      </c>
      <c r="B111" s="73" t="s">
        <v>30</v>
      </c>
      <c r="C111" s="73" t="s">
        <v>20</v>
      </c>
      <c r="D111" s="74" t="s">
        <v>31</v>
      </c>
      <c r="E111" s="74" t="s">
        <v>32</v>
      </c>
      <c r="F111" s="75" t="s">
        <v>33</v>
      </c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>
      <c r="A112" s="76" t="s">
        <v>94</v>
      </c>
      <c r="B112" s="77" t="s">
        <v>68</v>
      </c>
      <c r="C112" s="77">
        <v>1</v>
      </c>
      <c r="D112" s="113"/>
      <c r="E112" s="78">
        <f>C112*D112</f>
        <v>0</v>
      </c>
      <c r="F112" s="16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>
      <c r="A113" s="80" t="s">
        <v>95</v>
      </c>
      <c r="B113" s="81" t="s">
        <v>96</v>
      </c>
      <c r="C113" s="120"/>
      <c r="D113" s="79"/>
      <c r="E113" s="79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80" t="s">
        <v>97</v>
      </c>
      <c r="B114" s="81" t="s">
        <v>96</v>
      </c>
      <c r="C114" s="120"/>
      <c r="D114" s="79"/>
      <c r="E114" s="79"/>
      <c r="F114" s="121"/>
      <c r="G114" s="16"/>
      <c r="H114" s="15"/>
      <c r="I114" s="122"/>
      <c r="J114" s="122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>
      <c r="A115" s="80" t="s">
        <v>98</v>
      </c>
      <c r="B115" s="81" t="s">
        <v>14</v>
      </c>
      <c r="C115" s="88">
        <f>IFERROR(VLOOKUP(C113,'28. Depreciação'!A3:B17,2,0),0)</f>
        <v>0</v>
      </c>
      <c r="D115" s="79">
        <f>E112</f>
        <v>0</v>
      </c>
      <c r="E115" s="79">
        <f>C115*D115/100</f>
        <v>0</v>
      </c>
      <c r="F115" s="16"/>
      <c r="G115" s="16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123" t="s">
        <v>99</v>
      </c>
      <c r="B116" s="124" t="s">
        <v>35</v>
      </c>
      <c r="C116" s="124">
        <f>C113*12</f>
        <v>0</v>
      </c>
      <c r="D116" s="125">
        <f>IF(C114&lt;=C113,E115,0)</f>
        <v>0</v>
      </c>
      <c r="E116" s="125">
        <f>IFERROR(D116/C116,0)</f>
        <v>0</v>
      </c>
      <c r="F116" s="16"/>
      <c r="G116" s="16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hidden="1" customHeight="1">
      <c r="A117" s="76" t="s">
        <v>100</v>
      </c>
      <c r="B117" s="77" t="s">
        <v>68</v>
      </c>
      <c r="C117" s="77">
        <f>C112</f>
        <v>1</v>
      </c>
      <c r="D117" s="126">
        <v>0</v>
      </c>
      <c r="E117" s="78">
        <f>C117*D117</f>
        <v>0</v>
      </c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hidden="1" customHeight="1">
      <c r="A118" s="80" t="s">
        <v>95</v>
      </c>
      <c r="B118" s="81" t="s">
        <v>96</v>
      </c>
      <c r="C118" s="89">
        <v>16</v>
      </c>
      <c r="D118" s="79"/>
      <c r="E118" s="79"/>
      <c r="F118" s="16"/>
      <c r="G118" s="16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hidden="1" customHeight="1">
      <c r="A119" s="80" t="s">
        <v>101</v>
      </c>
      <c r="B119" s="81" t="s">
        <v>96</v>
      </c>
      <c r="C119" s="89">
        <v>16</v>
      </c>
      <c r="D119" s="79"/>
      <c r="E119" s="79"/>
      <c r="F119" s="121"/>
      <c r="G119" s="16"/>
      <c r="H119" s="15"/>
      <c r="I119" s="122"/>
      <c r="J119" s="122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hidden="1" customHeight="1">
      <c r="A120" s="80" t="s">
        <v>98</v>
      </c>
      <c r="B120" s="81" t="s">
        <v>14</v>
      </c>
      <c r="C120" s="127">
        <f>IFERROR(VLOOKUP(C118,'28. Depreciação'!A3:B17,2,0),0)</f>
        <v>0</v>
      </c>
      <c r="D120" s="79">
        <f>E117</f>
        <v>0</v>
      </c>
      <c r="E120" s="79">
        <f>C120*D120/100</f>
        <v>0</v>
      </c>
      <c r="F120" s="16"/>
      <c r="G120" s="16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hidden="1" customHeight="1">
      <c r="A121" s="128" t="s">
        <v>102</v>
      </c>
      <c r="B121" s="129" t="s">
        <v>35</v>
      </c>
      <c r="C121" s="129">
        <f>C118*12</f>
        <v>192</v>
      </c>
      <c r="D121" s="130">
        <f>IF(C119&lt;=C118,E120,0)</f>
        <v>0</v>
      </c>
      <c r="E121" s="130">
        <f>IFERROR(D121/C121,0)</f>
        <v>0</v>
      </c>
      <c r="F121" s="16"/>
      <c r="G121" s="16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84" t="s">
        <v>103</v>
      </c>
      <c r="B122" s="85"/>
      <c r="C122" s="85"/>
      <c r="D122" s="86"/>
      <c r="E122" s="87">
        <f>E116+E121</f>
        <v>0</v>
      </c>
      <c r="F122" s="16"/>
      <c r="G122" s="16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128" t="s">
        <v>104</v>
      </c>
      <c r="B123" s="129" t="s">
        <v>68</v>
      </c>
      <c r="C123" s="89">
        <v>1</v>
      </c>
      <c r="D123" s="130">
        <f>E122</f>
        <v>0</v>
      </c>
      <c r="E123" s="87">
        <f>C123*D123</f>
        <v>0</v>
      </c>
      <c r="F123" s="16"/>
      <c r="G123" s="16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131"/>
      <c r="B124" s="131"/>
      <c r="C124" s="131"/>
      <c r="D124" s="90" t="s">
        <v>59</v>
      </c>
      <c r="E124" s="91">
        <f>B37</f>
        <v>1</v>
      </c>
      <c r="F124" s="118">
        <f>E123*E124</f>
        <v>0</v>
      </c>
      <c r="G124" s="16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1.25" customHeight="1">
      <c r="A125" s="15"/>
      <c r="B125" s="15"/>
      <c r="C125" s="15"/>
      <c r="D125" s="16"/>
      <c r="E125" s="16"/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19" t="s">
        <v>16</v>
      </c>
      <c r="B126" s="15"/>
      <c r="C126" s="15"/>
      <c r="D126" s="16"/>
      <c r="E126" s="16"/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>
      <c r="A127" s="132" t="s">
        <v>29</v>
      </c>
      <c r="B127" s="133" t="s">
        <v>30</v>
      </c>
      <c r="C127" s="133" t="s">
        <v>20</v>
      </c>
      <c r="D127" s="74" t="s">
        <v>31</v>
      </c>
      <c r="E127" s="134" t="s">
        <v>32</v>
      </c>
      <c r="F127" s="75" t="s">
        <v>33</v>
      </c>
      <c r="G127" s="16"/>
      <c r="H127" s="15"/>
      <c r="I127" s="122"/>
      <c r="J127" s="122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>
      <c r="A128" s="80" t="s">
        <v>105</v>
      </c>
      <c r="B128" s="81" t="s">
        <v>68</v>
      </c>
      <c r="C128" s="77">
        <v>1</v>
      </c>
      <c r="D128" s="79">
        <f>D112</f>
        <v>0</v>
      </c>
      <c r="E128" s="79">
        <f>C128*D128</f>
        <v>0</v>
      </c>
      <c r="F128" s="121"/>
      <c r="G128" s="16"/>
      <c r="H128" s="15"/>
      <c r="I128" s="122"/>
      <c r="J128" s="122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>
      <c r="A129" s="80" t="s">
        <v>106</v>
      </c>
      <c r="B129" s="81" t="s">
        <v>14</v>
      </c>
      <c r="C129" s="120"/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>
      <c r="A130" s="80" t="s">
        <v>107</v>
      </c>
      <c r="B130" s="81" t="s">
        <v>50</v>
      </c>
      <c r="C130" s="79">
        <f>IFERROR(IF(C114&lt;=C113,E112-(C115/(100*C113)*C114)*E112,E112-E115),0)*0.35</f>
        <v>0</v>
      </c>
      <c r="D130" s="79"/>
      <c r="E130" s="79"/>
      <c r="F130" s="121"/>
      <c r="G130" s="16"/>
      <c r="H130" s="15"/>
      <c r="I130" s="122"/>
      <c r="J130" s="122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>
      <c r="A131" s="80" t="s">
        <v>108</v>
      </c>
      <c r="B131" s="81" t="s">
        <v>50</v>
      </c>
      <c r="C131" s="79">
        <f>IFERROR(IF(C114&gt;=C113,C130,((((C130)-(E112-E115))*(((C113-C114)+1)/(2*(C113-C114))))+(E112-E115))),0)</f>
        <v>0</v>
      </c>
      <c r="D131" s="79"/>
      <c r="E131" s="79"/>
      <c r="F131" s="121"/>
      <c r="G131" s="16"/>
      <c r="H131" s="15"/>
      <c r="I131" s="122"/>
      <c r="J131" s="122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123" t="s">
        <v>109</v>
      </c>
      <c r="B132" s="124" t="s">
        <v>50</v>
      </c>
      <c r="C132" s="124"/>
      <c r="D132" s="125">
        <f>C129*C131/12/100</f>
        <v>0</v>
      </c>
      <c r="E132" s="125">
        <f>D132</f>
        <v>0</v>
      </c>
      <c r="F132" s="121"/>
      <c r="G132" s="16"/>
      <c r="H132" s="15"/>
      <c r="I132" s="122"/>
      <c r="J132" s="122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hidden="1" customHeight="1">
      <c r="A133" s="76" t="s">
        <v>100</v>
      </c>
      <c r="B133" s="77" t="s">
        <v>68</v>
      </c>
      <c r="C133" s="77">
        <f>C117</f>
        <v>1</v>
      </c>
      <c r="D133" s="78">
        <f>D117</f>
        <v>0</v>
      </c>
      <c r="E133" s="78">
        <f>C133*D133</f>
        <v>0</v>
      </c>
      <c r="F133" s="121"/>
      <c r="G133" s="16"/>
      <c r="H133" s="15"/>
      <c r="I133" s="122"/>
      <c r="J133" s="122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hidden="1" customHeight="1">
      <c r="A134" s="80" t="s">
        <v>106</v>
      </c>
      <c r="B134" s="81" t="s">
        <v>14</v>
      </c>
      <c r="C134" s="81">
        <f>C129</f>
        <v>0</v>
      </c>
      <c r="D134" s="79"/>
      <c r="E134" s="79"/>
      <c r="F134" s="121"/>
      <c r="G134" s="16"/>
      <c r="H134" s="15"/>
      <c r="I134" s="122"/>
      <c r="J134" s="122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hidden="1" customHeight="1">
      <c r="A135" s="80" t="s">
        <v>110</v>
      </c>
      <c r="B135" s="81" t="s">
        <v>50</v>
      </c>
      <c r="C135" s="79">
        <f>IFERROR(IF(C119&lt;=C118,E117-(C120/(100*C118)*C119)*E117,E117-E120),0)*0.35</f>
        <v>0</v>
      </c>
      <c r="D135" s="79"/>
      <c r="E135" s="79"/>
      <c r="F135" s="121"/>
      <c r="G135" s="16"/>
      <c r="H135" s="15"/>
      <c r="I135" s="122"/>
      <c r="J135" s="122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hidden="1" customHeight="1">
      <c r="A136" s="80" t="s">
        <v>111</v>
      </c>
      <c r="B136" s="81" t="s">
        <v>50</v>
      </c>
      <c r="C136" s="79">
        <f>IFERROR(IF(C119&gt;=C118,C135,((((C135)-(E117-E120))*(((C118-C119)+1)/(2*(C118-C119))))+(E117-E120))),0)</f>
        <v>0</v>
      </c>
      <c r="D136" s="79"/>
      <c r="E136" s="79"/>
      <c r="F136" s="121"/>
      <c r="G136" s="16"/>
      <c r="H136" s="15"/>
      <c r="I136" s="122"/>
      <c r="J136" s="122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hidden="1" customHeight="1">
      <c r="A137" s="128" t="s">
        <v>112</v>
      </c>
      <c r="B137" s="129" t="s">
        <v>50</v>
      </c>
      <c r="C137" s="129"/>
      <c r="D137" s="130">
        <f>C134*C136/12/100</f>
        <v>0</v>
      </c>
      <c r="E137" s="130">
        <f>D137</f>
        <v>0</v>
      </c>
      <c r="F137" s="121"/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8.25" customHeight="1">
      <c r="A138" s="84"/>
      <c r="B138" s="129"/>
      <c r="C138" s="129"/>
      <c r="D138" s="136"/>
      <c r="E138" s="87"/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hidden="1" customHeight="1">
      <c r="A139" s="84" t="s">
        <v>113</v>
      </c>
      <c r="B139" s="129" t="s">
        <v>68</v>
      </c>
      <c r="C139" s="81">
        <f>C123</f>
        <v>1</v>
      </c>
      <c r="D139" s="136">
        <f>E132</f>
        <v>0</v>
      </c>
      <c r="E139" s="87">
        <f>C139*D139</f>
        <v>0</v>
      </c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hidden="1" customHeight="1">
      <c r="A140" s="84" t="s">
        <v>114</v>
      </c>
      <c r="B140" s="129" t="s">
        <v>68</v>
      </c>
      <c r="C140" s="81">
        <v>1</v>
      </c>
      <c r="D140" s="136">
        <f>E137</f>
        <v>0</v>
      </c>
      <c r="E140" s="87">
        <f>C140*D140</f>
        <v>0</v>
      </c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128" t="s">
        <v>115</v>
      </c>
      <c r="B141" s="129" t="s">
        <v>68</v>
      </c>
      <c r="C141" s="81">
        <v>1</v>
      </c>
      <c r="D141" s="130">
        <f>E139+E140</f>
        <v>0</v>
      </c>
      <c r="E141" s="87">
        <f>C141*D141</f>
        <v>0</v>
      </c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5"/>
      <c r="B142" s="15"/>
      <c r="C142" s="137"/>
      <c r="D142" s="90" t="s">
        <v>59</v>
      </c>
      <c r="E142" s="91">
        <f>E124</f>
        <v>1</v>
      </c>
      <c r="F142" s="118">
        <f>E141*E142</f>
        <v>0</v>
      </c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1.25" customHeight="1">
      <c r="A143" s="15"/>
      <c r="B143" s="15"/>
      <c r="C143" s="15"/>
      <c r="D143" s="16"/>
      <c r="E143" s="16"/>
      <c r="F143" s="16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>
      <c r="A144" s="15" t="s">
        <v>116</v>
      </c>
      <c r="B144" s="15"/>
      <c r="C144" s="15"/>
      <c r="D144" s="16"/>
      <c r="E144" s="16"/>
      <c r="F144" s="16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>
      <c r="A145" s="72" t="s">
        <v>29</v>
      </c>
      <c r="B145" s="73" t="s">
        <v>30</v>
      </c>
      <c r="C145" s="73" t="s">
        <v>20</v>
      </c>
      <c r="D145" s="74" t="s">
        <v>31</v>
      </c>
      <c r="E145" s="74" t="s">
        <v>32</v>
      </c>
      <c r="F145" s="75" t="s">
        <v>33</v>
      </c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>
      <c r="A146" s="80" t="s">
        <v>117</v>
      </c>
      <c r="B146" s="81" t="s">
        <v>68</v>
      </c>
      <c r="C146" s="78">
        <f>C123</f>
        <v>1</v>
      </c>
      <c r="D146" s="138">
        <f>1%*D112</f>
        <v>0</v>
      </c>
      <c r="E146" s="79">
        <f>C146*D146</f>
        <v>0</v>
      </c>
      <c r="F146" s="16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>
      <c r="A147" s="128" t="s">
        <v>118</v>
      </c>
      <c r="B147" s="129" t="s">
        <v>35</v>
      </c>
      <c r="C147" s="129">
        <v>12</v>
      </c>
      <c r="D147" s="130">
        <f>SUM(E146)</f>
        <v>0</v>
      </c>
      <c r="E147" s="130">
        <f>D147/C147</f>
        <v>0</v>
      </c>
      <c r="F147" s="16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>
      <c r="A148" s="15"/>
      <c r="B148" s="15"/>
      <c r="C148" s="15"/>
      <c r="D148" s="90" t="s">
        <v>59</v>
      </c>
      <c r="E148" s="91">
        <f>E142</f>
        <v>1</v>
      </c>
      <c r="F148" s="92">
        <f>E147*E148</f>
        <v>0</v>
      </c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>
      <c r="A149" s="15" t="s">
        <v>119</v>
      </c>
      <c r="B149" s="139"/>
      <c r="C149" s="15"/>
      <c r="D149" s="16"/>
      <c r="E149" s="16"/>
      <c r="F149" s="16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>
      <c r="A150" s="15"/>
      <c r="B150" s="139"/>
      <c r="C150" s="15"/>
      <c r="D150" s="16"/>
      <c r="E150" s="16"/>
      <c r="F150" s="16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120</v>
      </c>
      <c r="B151" s="140">
        <v>176</v>
      </c>
      <c r="C151" s="15"/>
      <c r="D151" s="16"/>
      <c r="E151" s="16"/>
      <c r="F151" s="16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39"/>
      <c r="C152" s="15"/>
      <c r="D152" s="16"/>
      <c r="E152" s="16"/>
      <c r="F152" s="16"/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>
      <c r="A153" s="72" t="s">
        <v>29</v>
      </c>
      <c r="B153" s="73" t="s">
        <v>30</v>
      </c>
      <c r="C153" s="73" t="s">
        <v>121</v>
      </c>
      <c r="D153" s="74" t="s">
        <v>31</v>
      </c>
      <c r="E153" s="74" t="s">
        <v>32</v>
      </c>
      <c r="F153" s="75" t="s">
        <v>33</v>
      </c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76" t="s">
        <v>122</v>
      </c>
      <c r="B154" s="77" t="s">
        <v>123</v>
      </c>
      <c r="C154" s="141"/>
      <c r="D154" s="142"/>
      <c r="E154" s="78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6" t="s">
        <v>124</v>
      </c>
      <c r="B155" s="77" t="s">
        <v>123</v>
      </c>
      <c r="C155" s="113"/>
      <c r="D155" s="142"/>
      <c r="E155" s="78"/>
      <c r="F155" s="16"/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>
      <c r="A156" s="80" t="s">
        <v>125</v>
      </c>
      <c r="B156" s="81" t="s">
        <v>126</v>
      </c>
      <c r="C156" s="79">
        <f>B151</f>
        <v>176</v>
      </c>
      <c r="D156" s="143">
        <f>(C154*D154)+(C155*D155)</f>
        <v>0</v>
      </c>
      <c r="E156" s="79">
        <f>IFERROR(C156*D156,"-")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>
      <c r="A157" s="128" t="s">
        <v>127</v>
      </c>
      <c r="B157" s="129"/>
      <c r="C157" s="144"/>
      <c r="D157" s="145"/>
      <c r="E157" s="79"/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15"/>
      <c r="B158" s="15"/>
      <c r="C158" s="15"/>
      <c r="D158" s="16"/>
      <c r="E158" s="16"/>
      <c r="F158" s="118">
        <f>SUM(E154:E156)</f>
        <v>0</v>
      </c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1.25" customHeight="1">
      <c r="A159" s="15"/>
      <c r="B159" s="15"/>
      <c r="C159" s="15"/>
      <c r="D159" s="16"/>
      <c r="E159" s="16"/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 t="s">
        <v>128</v>
      </c>
      <c r="B160" s="15"/>
      <c r="C160" s="15"/>
      <c r="D160" s="16"/>
      <c r="E160" s="16"/>
      <c r="F160" s="16"/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72" t="s">
        <v>29</v>
      </c>
      <c r="B161" s="73" t="s">
        <v>30</v>
      </c>
      <c r="C161" s="73" t="s">
        <v>20</v>
      </c>
      <c r="D161" s="74" t="s">
        <v>31</v>
      </c>
      <c r="E161" s="74" t="s">
        <v>32</v>
      </c>
      <c r="F161" s="75" t="s">
        <v>33</v>
      </c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76" t="s">
        <v>129</v>
      </c>
      <c r="B162" s="77" t="s">
        <v>130</v>
      </c>
      <c r="C162" s="79">
        <f>C156</f>
        <v>176</v>
      </c>
      <c r="D162" s="113"/>
      <c r="E162" s="78">
        <f>C162*D162</f>
        <v>0</v>
      </c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5"/>
      <c r="C163" s="15"/>
      <c r="D163" s="16"/>
      <c r="E163" s="16"/>
      <c r="F163" s="118">
        <f>E162</f>
        <v>0</v>
      </c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1.25" hidden="1" customHeight="1">
      <c r="A164" s="15"/>
      <c r="B164" s="15"/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hidden="1" customHeight="1">
      <c r="A165" s="15" t="s">
        <v>131</v>
      </c>
      <c r="B165" s="15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hidden="1" customHeight="1">
      <c r="A166" s="72" t="s">
        <v>29</v>
      </c>
      <c r="B166" s="73" t="s">
        <v>30</v>
      </c>
      <c r="C166" s="73" t="s">
        <v>20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hidden="1" customHeight="1">
      <c r="A167" s="76" t="s">
        <v>132</v>
      </c>
      <c r="B167" s="77" t="s">
        <v>68</v>
      </c>
      <c r="C167" s="146">
        <v>0</v>
      </c>
      <c r="D167" s="126">
        <v>6000</v>
      </c>
      <c r="E167" s="78">
        <f>C167*D167</f>
        <v>0</v>
      </c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hidden="1" customHeight="1">
      <c r="A168" s="76" t="s">
        <v>133</v>
      </c>
      <c r="B168" s="77" t="s">
        <v>68</v>
      </c>
      <c r="C168" s="146">
        <v>2</v>
      </c>
      <c r="D168" s="78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hidden="1" customHeight="1">
      <c r="A169" s="76" t="s">
        <v>134</v>
      </c>
      <c r="B169" s="77" t="s">
        <v>68</v>
      </c>
      <c r="C169" s="78">
        <f>C167*C168</f>
        <v>0</v>
      </c>
      <c r="D169" s="126">
        <v>3000</v>
      </c>
      <c r="E169" s="78">
        <f>C169*D169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hidden="1" customHeight="1">
      <c r="A170" s="80" t="s">
        <v>135</v>
      </c>
      <c r="B170" s="81" t="s">
        <v>136</v>
      </c>
      <c r="C170" s="147">
        <v>10000</v>
      </c>
      <c r="D170" s="79">
        <f>E167+E169</f>
        <v>0</v>
      </c>
      <c r="E170" s="79">
        <f>IFERROR(D170/C170,"-")</f>
        <v>0</v>
      </c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hidden="1" customHeight="1">
      <c r="A171" s="80" t="s">
        <v>137</v>
      </c>
      <c r="B171" s="81" t="s">
        <v>138</v>
      </c>
      <c r="C171" s="79">
        <f>B151</f>
        <v>176</v>
      </c>
      <c r="D171" s="79">
        <f>E170</f>
        <v>0</v>
      </c>
      <c r="E171" s="79">
        <f>IFERROR(C171*D171,0)</f>
        <v>0</v>
      </c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hidden="1" customHeight="1">
      <c r="A172" s="15"/>
      <c r="B172" s="15"/>
      <c r="C172" s="15"/>
      <c r="D172" s="16"/>
      <c r="E172" s="16"/>
      <c r="F172" s="118">
        <f>E171</f>
        <v>0</v>
      </c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1.25" customHeight="1">
      <c r="A173" s="15"/>
      <c r="B173" s="15"/>
      <c r="C173" s="15"/>
      <c r="D173" s="16"/>
      <c r="E173" s="16"/>
      <c r="F173" s="16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08" t="s">
        <v>139</v>
      </c>
      <c r="B174" s="109"/>
      <c r="C174" s="109"/>
      <c r="D174" s="49"/>
      <c r="E174" s="110"/>
      <c r="F174" s="118">
        <f>+SUM(F112:F173)</f>
        <v>0</v>
      </c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1.25" customHeight="1">
      <c r="A175" s="15"/>
      <c r="B175" s="15"/>
      <c r="C175" s="15"/>
      <c r="D175" s="16"/>
      <c r="E175" s="16"/>
      <c r="F175" s="16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hidden="1" customHeight="1">
      <c r="A176" s="36" t="s">
        <v>140</v>
      </c>
      <c r="B176" s="36"/>
      <c r="C176" s="36"/>
      <c r="D176" s="35"/>
      <c r="E176" s="35"/>
      <c r="F176" s="86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hidden="1" customHeight="1">
      <c r="A177" s="15"/>
      <c r="B177" s="15"/>
      <c r="C177" s="15"/>
      <c r="D177" s="16"/>
      <c r="E177" s="16"/>
      <c r="F177" s="16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72" t="s">
        <v>29</v>
      </c>
      <c r="B178" s="73" t="s">
        <v>30</v>
      </c>
      <c r="C178" s="73" t="s">
        <v>20</v>
      </c>
      <c r="D178" s="74" t="s">
        <v>31</v>
      </c>
      <c r="E178" s="74" t="s">
        <v>32</v>
      </c>
      <c r="F178" s="75" t="s">
        <v>33</v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80" t="s">
        <v>141</v>
      </c>
      <c r="B179" s="81" t="s">
        <v>68</v>
      </c>
      <c r="C179" s="148">
        <v>0</v>
      </c>
      <c r="D179" s="126">
        <v>50</v>
      </c>
      <c r="E179" s="79">
        <f>C179*D179</f>
        <v>0</v>
      </c>
      <c r="F179" s="121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80"/>
      <c r="B180" s="81"/>
      <c r="C180" s="148"/>
      <c r="D180" s="126"/>
      <c r="E180" s="79">
        <f>C180*D180</f>
        <v>0</v>
      </c>
      <c r="F180" s="121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80"/>
      <c r="B181" s="81"/>
      <c r="C181" s="148"/>
      <c r="D181" s="126"/>
      <c r="E181" s="79">
        <f>C181*D181</f>
        <v>0</v>
      </c>
      <c r="F181" s="121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80"/>
      <c r="B182" s="81"/>
      <c r="C182" s="112"/>
      <c r="D182" s="126"/>
      <c r="E182" s="79"/>
      <c r="F182" s="121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/>
      <c r="B183" s="81"/>
      <c r="C183" s="79"/>
      <c r="D183" s="99"/>
      <c r="E183" s="79">
        <f>C183*D183</f>
        <v>0</v>
      </c>
      <c r="F183" s="121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142</v>
      </c>
      <c r="B184" s="81" t="s">
        <v>143</v>
      </c>
      <c r="C184" s="148"/>
      <c r="D184" s="126"/>
      <c r="E184" s="79">
        <f>C184*D184</f>
        <v>0</v>
      </c>
      <c r="F184" s="121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36"/>
      <c r="B185" s="36"/>
      <c r="C185" s="36"/>
      <c r="D185" s="36"/>
      <c r="E185" s="35"/>
      <c r="F185" s="118">
        <f>SUM(E179:E184)</f>
        <v>0</v>
      </c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hidden="1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hidden="1" customHeight="1">
      <c r="A187" s="108" t="s">
        <v>144</v>
      </c>
      <c r="B187" s="109"/>
      <c r="C187" s="109"/>
      <c r="D187" s="49"/>
      <c r="E187" s="110"/>
      <c r="F187" s="118">
        <f>+F185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hidden="1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145</v>
      </c>
      <c r="B189" s="36"/>
      <c r="C189" s="36"/>
      <c r="D189" s="35"/>
      <c r="E189" s="35"/>
      <c r="F189" s="86"/>
      <c r="G189" s="16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6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6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146</v>
      </c>
      <c r="B192" s="149" t="s">
        <v>143</v>
      </c>
      <c r="C192" s="102">
        <v>0</v>
      </c>
      <c r="D192" s="99">
        <v>600</v>
      </c>
      <c r="E192" s="79">
        <f>+D192*C192</f>
        <v>0</v>
      </c>
      <c r="F192" s="121"/>
      <c r="G192" s="16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 t="s">
        <v>147</v>
      </c>
      <c r="B193" s="149" t="s">
        <v>35</v>
      </c>
      <c r="C193" s="81">
        <v>60</v>
      </c>
      <c r="D193" s="150">
        <f>SUM(E192)</f>
        <v>0</v>
      </c>
      <c r="E193" s="150">
        <f>+D193/C193</f>
        <v>0</v>
      </c>
      <c r="F193" s="121"/>
      <c r="G193" s="16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 t="s">
        <v>148</v>
      </c>
      <c r="B194" s="149" t="s">
        <v>35</v>
      </c>
      <c r="C194" s="81">
        <v>1</v>
      </c>
      <c r="D194" s="99">
        <v>100</v>
      </c>
      <c r="E194" s="79">
        <f>C194*D194</f>
        <v>100</v>
      </c>
      <c r="F194" s="121"/>
      <c r="G194" s="16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 t="s">
        <v>148</v>
      </c>
      <c r="B195" s="149" t="s">
        <v>149</v>
      </c>
      <c r="C195" s="81">
        <v>0</v>
      </c>
      <c r="D195" s="150">
        <f>+E194</f>
        <v>100</v>
      </c>
      <c r="E195" s="150">
        <f>C195*D195</f>
        <v>0</v>
      </c>
      <c r="F195" s="121"/>
      <c r="G195" s="16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101"/>
      <c r="B196" s="101"/>
      <c r="C196" s="15"/>
      <c r="D196" s="90" t="s">
        <v>59</v>
      </c>
      <c r="E196" s="91">
        <f>E142</f>
        <v>1</v>
      </c>
      <c r="F196" s="118">
        <f>(E195+E193)*E196</f>
        <v>0</v>
      </c>
      <c r="G196" s="16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1.25" hidden="1" customHeight="1">
      <c r="A197" s="15"/>
      <c r="B197" s="15"/>
      <c r="C197" s="15"/>
      <c r="D197" s="16"/>
      <c r="E197" s="16"/>
      <c r="F197" s="16"/>
      <c r="G197" s="151"/>
      <c r="H197" s="152"/>
      <c r="I197" s="152"/>
      <c r="J197" s="152"/>
      <c r="K197" s="152"/>
      <c r="L197" s="152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2"/>
      <c r="Z197" s="152"/>
    </row>
    <row r="198" spans="1:26" ht="12.75" hidden="1" customHeight="1">
      <c r="A198" s="108" t="s">
        <v>150</v>
      </c>
      <c r="B198" s="109"/>
      <c r="C198" s="109"/>
      <c r="D198" s="49"/>
      <c r="E198" s="110"/>
      <c r="F198" s="118">
        <f>+F196</f>
        <v>0</v>
      </c>
      <c r="G198" s="16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customHeight="1">
      <c r="A199" s="15"/>
      <c r="B199" s="15"/>
      <c r="C199" s="15"/>
      <c r="D199" s="16"/>
      <c r="E199" s="16"/>
      <c r="F199" s="16"/>
      <c r="G199" s="16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7.25" customHeight="1">
      <c r="A200" s="108" t="s">
        <v>151</v>
      </c>
      <c r="B200" s="115"/>
      <c r="C200" s="115"/>
      <c r="D200" s="116"/>
      <c r="E200" s="117"/>
      <c r="F200" s="98">
        <f>+F83+F104+F174+F187+F198</f>
        <v>0</v>
      </c>
      <c r="G200" s="16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customHeight="1">
      <c r="A201" s="15"/>
      <c r="B201" s="15"/>
      <c r="C201" s="15"/>
      <c r="D201" s="16"/>
      <c r="E201" s="16"/>
      <c r="F201" s="16"/>
      <c r="G201" s="16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>
      <c r="A202" s="36" t="s">
        <v>152</v>
      </c>
      <c r="B202" s="15"/>
      <c r="C202" s="15"/>
      <c r="D202" s="16"/>
      <c r="E202" s="16"/>
      <c r="F202" s="1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>
      <c r="A205" s="76" t="s">
        <v>153</v>
      </c>
      <c r="B205" s="77" t="s">
        <v>14</v>
      </c>
      <c r="C205" s="88">
        <f>'26.BDI'!C21*100</f>
        <v>18.96</v>
      </c>
      <c r="D205" s="78">
        <f>+F200</f>
        <v>0</v>
      </c>
      <c r="E205" s="78">
        <f>C205*D205/100</f>
        <v>0</v>
      </c>
      <c r="F205" s="16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>
      <c r="A206" s="15"/>
      <c r="B206" s="15"/>
      <c r="C206" s="15"/>
      <c r="D206" s="16"/>
      <c r="E206" s="16"/>
      <c r="F206" s="118">
        <f>+E205</f>
        <v>0</v>
      </c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1.25" customHeight="1">
      <c r="A207" s="15"/>
      <c r="B207" s="15"/>
      <c r="C207" s="15"/>
      <c r="D207" s="16"/>
      <c r="E207" s="16"/>
      <c r="F207" s="16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>
      <c r="A208" s="108" t="s">
        <v>154</v>
      </c>
      <c r="B208" s="115"/>
      <c r="C208" s="115"/>
      <c r="D208" s="116"/>
      <c r="E208" s="117"/>
      <c r="F208" s="98">
        <f>F206</f>
        <v>0</v>
      </c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>
      <c r="A209" s="36"/>
      <c r="B209" s="36"/>
      <c r="C209" s="36"/>
      <c r="D209" s="35"/>
      <c r="E209" s="35"/>
      <c r="F209" s="86"/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customHeight="1">
      <c r="A210" s="15"/>
      <c r="B210" s="15"/>
      <c r="C210" s="15"/>
      <c r="D210" s="16"/>
      <c r="E210" s="16"/>
      <c r="F210" s="16"/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24.75" customHeight="1">
      <c r="A211" s="108" t="s">
        <v>155</v>
      </c>
      <c r="B211" s="115"/>
      <c r="C211" s="115"/>
      <c r="D211" s="116"/>
      <c r="E211" s="117"/>
      <c r="F211" s="98">
        <f>F200+F208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" customHeight="1">
      <c r="A212" s="14"/>
      <c r="B212" s="14"/>
      <c r="C212" s="14"/>
      <c r="D212" s="153"/>
      <c r="E212" s="153"/>
      <c r="F212" s="153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>
      <c r="A213" s="23"/>
      <c r="B213" s="23"/>
      <c r="C213" s="23"/>
      <c r="D213" s="22"/>
      <c r="E213" s="22"/>
      <c r="F213" s="16"/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>
      <c r="A214" s="154" t="s">
        <v>156</v>
      </c>
      <c r="B214" s="53"/>
      <c r="C214" s="53"/>
      <c r="D214" s="155">
        <v>176</v>
      </c>
      <c r="E214" s="156" t="s">
        <v>157</v>
      </c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15"/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25.5" customHeight="1">
      <c r="A216" s="108" t="s">
        <v>158</v>
      </c>
      <c r="B216" s="109"/>
      <c r="C216" s="109"/>
      <c r="D216" s="49"/>
      <c r="E216" s="157" t="s">
        <v>159</v>
      </c>
      <c r="F216" s="158">
        <f>F211/D214</f>
        <v>0</v>
      </c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" customHeight="1"/>
    <row r="218" spans="1:26" ht="13.5" customHeight="1"/>
    <row r="219" spans="1:26" ht="9.75" customHeight="1"/>
    <row r="220" spans="1:26" ht="9.75" customHeight="1"/>
    <row r="221" spans="1:26" ht="12.75" customHeight="1"/>
    <row r="222" spans="1:26" ht="12.75" customHeight="1"/>
    <row r="223" spans="1:26" ht="12.75" customHeight="1"/>
    <row r="224" spans="1:26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9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</sheetData>
  <mergeCells count="7">
    <mergeCell ref="A27:D27"/>
    <mergeCell ref="A33:D33"/>
    <mergeCell ref="A1:F1"/>
    <mergeCell ref="A2:F2"/>
    <mergeCell ref="A4:F4"/>
    <mergeCell ref="A11:C11"/>
    <mergeCell ref="A26:E26"/>
  </mergeCells>
  <hyperlinks>
    <hyperlink ref="A14" location="Google_Sheet_Link_1352214653" display="3.1.1. Depreciação"/>
    <hyperlink ref="A15" location="Google_Sheet_Link_1085399715" display="3.1.2. Remuneração do Capital"/>
    <hyperlink ref="A110" location="Google_Sheet_Link_1352214653" display="3.1.1. Depreciação"/>
    <hyperlink ref="A126" location="Google_Sheet_Link_1085399715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90"/>
  <sheetViews>
    <sheetView topLeftCell="A31" workbookViewId="0">
      <selection activeCell="F11" sqref="A1:F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customHeight="1">
      <c r="A1" s="13" t="s">
        <v>161</v>
      </c>
      <c r="B1" s="13"/>
      <c r="C1" s="13"/>
      <c r="D1" s="13"/>
      <c r="E1" s="13"/>
      <c r="F1" s="13"/>
      <c r="G1" s="22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1.75" customHeight="1">
      <c r="A2" s="12" t="s">
        <v>10</v>
      </c>
      <c r="B2" s="12"/>
      <c r="C2" s="12"/>
      <c r="D2" s="12"/>
      <c r="E2" s="12"/>
      <c r="F2" s="12"/>
      <c r="G2" s="22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0.5" customHeight="1">
      <c r="A3" s="24"/>
      <c r="B3" s="18"/>
      <c r="C3" s="18"/>
      <c r="D3" s="16"/>
      <c r="E3" s="16"/>
      <c r="F3" s="25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5.75" customHeight="1">
      <c r="A4" s="11" t="s">
        <v>11</v>
      </c>
      <c r="B4" s="11"/>
      <c r="C4" s="11"/>
      <c r="D4" s="11"/>
      <c r="E4" s="11"/>
      <c r="F4" s="11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.75" customHeight="1">
      <c r="A5" s="26" t="s">
        <v>12</v>
      </c>
      <c r="B5" s="27"/>
      <c r="C5" s="27"/>
      <c r="D5" s="28"/>
      <c r="E5" s="29" t="s">
        <v>13</v>
      </c>
      <c r="F5" s="30" t="s">
        <v>14</v>
      </c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>
      <c r="A6" s="31" t="str">
        <f>A39</f>
        <v>1. Mão-de-obra</v>
      </c>
      <c r="B6" s="32"/>
      <c r="C6" s="32"/>
      <c r="D6" s="32"/>
      <c r="E6" s="33">
        <f>+F83</f>
        <v>0</v>
      </c>
      <c r="F6" s="34">
        <f t="shared" ref="F6:F22" si="0">IFERROR(E6/$E$23,0)</f>
        <v>0</v>
      </c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ht="15.75" customHeight="1">
      <c r="A7" s="37" t="str">
        <f>A41</f>
        <v xml:space="preserve">1.1. Operador de Máquinas </v>
      </c>
      <c r="B7" s="38"/>
      <c r="C7" s="38"/>
      <c r="D7" s="38"/>
      <c r="E7" s="39">
        <f>F60</f>
        <v>0</v>
      </c>
      <c r="F7" s="40">
        <f t="shared" si="0"/>
        <v>0</v>
      </c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>
      <c r="A8" s="37" t="str">
        <f>A62</f>
        <v>1.2. Vale Transporte</v>
      </c>
      <c r="B8" s="38"/>
      <c r="C8" s="38"/>
      <c r="D8" s="38"/>
      <c r="E8" s="39">
        <f>F68</f>
        <v>0</v>
      </c>
      <c r="F8" s="40">
        <f t="shared" si="0"/>
        <v>0</v>
      </c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.75" customHeight="1">
      <c r="A9" s="37" t="str">
        <f>A70</f>
        <v>1.3. Vale-refeição (mensal)</v>
      </c>
      <c r="B9" s="38"/>
      <c r="C9" s="38"/>
      <c r="D9" s="38"/>
      <c r="E9" s="39">
        <f>F75</f>
        <v>0</v>
      </c>
      <c r="F9" s="40">
        <f t="shared" si="0"/>
        <v>0</v>
      </c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5.75" customHeight="1">
      <c r="A10" s="37" t="str">
        <f>A77</f>
        <v>1.4. Plano de Benefício Social  (Seguro de vida) e (Manutenção e Capacitação Profissional )</v>
      </c>
      <c r="B10" s="38"/>
      <c r="C10" s="38"/>
      <c r="D10" s="38"/>
      <c r="E10" s="39">
        <f>F81</f>
        <v>0</v>
      </c>
      <c r="F10" s="40">
        <f t="shared" si="0"/>
        <v>0</v>
      </c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5.75" customHeight="1">
      <c r="A11" s="10" t="str">
        <f>A85</f>
        <v>2. Uniformes e Equipamentos de Proteção Individual</v>
      </c>
      <c r="B11" s="10"/>
      <c r="C11" s="10"/>
      <c r="D11" s="32"/>
      <c r="E11" s="33">
        <f>+F104</f>
        <v>0</v>
      </c>
      <c r="F11" s="34">
        <f t="shared" si="0"/>
        <v>0</v>
      </c>
      <c r="G11" s="35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15.75" customHeight="1">
      <c r="A12" s="41" t="str">
        <f>A106</f>
        <v xml:space="preserve">3. Veículos e Máquinas </v>
      </c>
      <c r="B12" s="42"/>
      <c r="C12" s="32"/>
      <c r="D12" s="32"/>
      <c r="E12" s="33">
        <f>+F174</f>
        <v>0</v>
      </c>
      <c r="F12" s="34">
        <f t="shared" si="0"/>
        <v>0</v>
      </c>
      <c r="G12" s="35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5.75" customHeight="1">
      <c r="A13" s="43" t="str">
        <f>A108</f>
        <v xml:space="preserve">3.1. Veículo/Máquina </v>
      </c>
      <c r="B13" s="44"/>
      <c r="C13" s="38"/>
      <c r="D13" s="38"/>
      <c r="E13" s="39">
        <f>SUM(E14:E19)</f>
        <v>0</v>
      </c>
      <c r="F13" s="40">
        <f t="shared" si="0"/>
        <v>0</v>
      </c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45" t="s">
        <v>15</v>
      </c>
      <c r="B14" s="44"/>
      <c r="C14" s="38"/>
      <c r="D14" s="38"/>
      <c r="E14" s="39">
        <f>F124</f>
        <v>0</v>
      </c>
      <c r="F14" s="40">
        <f t="shared" si="0"/>
        <v>0</v>
      </c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45" t="s">
        <v>16</v>
      </c>
      <c r="B15" s="44"/>
      <c r="C15" s="38"/>
      <c r="D15" s="38"/>
      <c r="E15" s="39">
        <f>F142</f>
        <v>0</v>
      </c>
      <c r="F15" s="40">
        <f t="shared" si="0"/>
        <v>0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43" t="str">
        <f>A144</f>
        <v>3.1.3. Impostos e Seguros</v>
      </c>
      <c r="B16" s="44"/>
      <c r="C16" s="38"/>
      <c r="D16" s="38"/>
      <c r="E16" s="39">
        <f>F148</f>
        <v>0</v>
      </c>
      <c r="F16" s="40">
        <f t="shared" si="0"/>
        <v>0</v>
      </c>
      <c r="G16" s="16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>
      <c r="A17" s="43" t="str">
        <f>A149</f>
        <v xml:space="preserve">3.1.4. Consumos óleo diesel </v>
      </c>
      <c r="B17" s="44"/>
      <c r="C17" s="38"/>
      <c r="D17" s="38"/>
      <c r="E17" s="39">
        <f>F158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43" t="str">
        <f>A160</f>
        <v xml:space="preserve">3.1.5. Manutenção/Consumos </v>
      </c>
      <c r="B18" s="44"/>
      <c r="C18" s="38"/>
      <c r="D18" s="38"/>
      <c r="E18" s="39">
        <f>F163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hidden="1" customHeight="1">
      <c r="A19" s="43" t="str">
        <f>A165</f>
        <v>3.1.6. Pneus</v>
      </c>
      <c r="B19" s="44"/>
      <c r="C19" s="38"/>
      <c r="D19" s="38"/>
      <c r="E19" s="39">
        <f>F172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hidden="1" customHeight="1">
      <c r="A20" s="41" t="str">
        <f>A176</f>
        <v xml:space="preserve">4. Ferramentas e materiais </v>
      </c>
      <c r="B20" s="42"/>
      <c r="C20" s="32"/>
      <c r="D20" s="32"/>
      <c r="E20" s="33">
        <f>+F187</f>
        <v>0</v>
      </c>
      <c r="F20" s="34">
        <f t="shared" si="0"/>
        <v>0</v>
      </c>
      <c r="G20" s="35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ht="15.75" hidden="1" customHeight="1">
      <c r="A21" s="41" t="str">
        <f>A189</f>
        <v xml:space="preserve">5. Monitoramento da frota  </v>
      </c>
      <c r="B21" s="42"/>
      <c r="C21" s="32"/>
      <c r="D21" s="32"/>
      <c r="E21" s="33">
        <f>+F198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A202</f>
        <v>4. Benefícios e Despesas Indiretas - BDI</v>
      </c>
      <c r="B22" s="42"/>
      <c r="C22" s="32"/>
      <c r="D22" s="32"/>
      <c r="E22" s="46">
        <f>+F208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7" t="s">
        <v>17</v>
      </c>
      <c r="B23" s="48"/>
      <c r="C23" s="49"/>
      <c r="D23" s="49"/>
      <c r="E23" s="50">
        <f>E6+E11+E12+E20+E21+E22</f>
        <v>0</v>
      </c>
      <c r="F23" s="51">
        <f>F6+F11+F12+F20+F21+F22</f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2.75" customHeight="1">
      <c r="A24" s="15"/>
      <c r="B24" s="15"/>
      <c r="C24" s="15"/>
      <c r="D24" s="16"/>
      <c r="E24" s="16"/>
      <c r="F24" s="16"/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2.75" customHeight="1">
      <c r="A25" s="15"/>
      <c r="B25" s="15"/>
      <c r="C25" s="15"/>
      <c r="D25" s="16"/>
      <c r="E25" s="16"/>
      <c r="F25" s="16"/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" customHeight="1">
      <c r="A26" s="11" t="s">
        <v>18</v>
      </c>
      <c r="B26" s="11"/>
      <c r="C26" s="11"/>
      <c r="D26" s="11"/>
      <c r="E26" s="11"/>
      <c r="F26" s="16"/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" customHeight="1">
      <c r="A27" s="9" t="s">
        <v>19</v>
      </c>
      <c r="B27" s="9"/>
      <c r="C27" s="9"/>
      <c r="D27" s="9"/>
      <c r="E27" s="52" t="s">
        <v>20</v>
      </c>
      <c r="F27" s="16"/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" customHeight="1">
      <c r="A28" s="37" t="str">
        <f>+A41</f>
        <v xml:space="preserve">1.1. Operador de Máquinas </v>
      </c>
      <c r="B28" s="38"/>
      <c r="C28" s="38"/>
      <c r="D28" s="53"/>
      <c r="E28" s="54">
        <f>C59</f>
        <v>1</v>
      </c>
      <c r="F28" s="16"/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" customHeight="1">
      <c r="A29" s="37" t="s">
        <v>22</v>
      </c>
      <c r="B29" s="38"/>
      <c r="C29" s="38"/>
      <c r="D29" s="53"/>
      <c r="E29" s="55"/>
      <c r="F29" s="16"/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" customHeight="1">
      <c r="A30" s="37" t="s">
        <v>23</v>
      </c>
      <c r="B30" s="38"/>
      <c r="C30" s="38"/>
      <c r="D30" s="53"/>
      <c r="E30" s="56">
        <v>0</v>
      </c>
      <c r="F30" s="16"/>
      <c r="G30" s="16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" customHeight="1">
      <c r="A31" s="57" t="s">
        <v>24</v>
      </c>
      <c r="B31" s="58"/>
      <c r="C31" s="58"/>
      <c r="D31" s="59"/>
      <c r="E31" s="60">
        <f>SUM(E28)</f>
        <v>1</v>
      </c>
      <c r="F31" s="16"/>
      <c r="G31" s="16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" customHeight="1">
      <c r="A32" s="61"/>
      <c r="B32" s="62"/>
      <c r="C32" s="16"/>
      <c r="D32" s="16"/>
      <c r="E32" s="25"/>
      <c r="F32" s="16"/>
      <c r="G32" s="16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" customHeight="1">
      <c r="A33" s="8" t="s">
        <v>25</v>
      </c>
      <c r="B33" s="8"/>
      <c r="C33" s="8"/>
      <c r="D33" s="8"/>
      <c r="E33" s="52" t="s">
        <v>20</v>
      </c>
      <c r="F33" s="15"/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" customHeight="1">
      <c r="A34" s="63" t="str">
        <f>+A108</f>
        <v xml:space="preserve">3.1. Veículo/Máquina </v>
      </c>
      <c r="B34" s="64"/>
      <c r="C34" s="64"/>
      <c r="D34" s="65"/>
      <c r="E34" s="66">
        <f>C123</f>
        <v>1</v>
      </c>
      <c r="F34" s="15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" customHeight="1">
      <c r="A35" s="16"/>
      <c r="B35" s="16"/>
      <c r="C35" s="16"/>
      <c r="D35" s="15"/>
      <c r="E35" s="67"/>
      <c r="F35" s="15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>
      <c r="A36" s="16"/>
      <c r="B36" s="16"/>
      <c r="C36" s="16"/>
      <c r="D36" s="15"/>
      <c r="E36" s="68"/>
      <c r="F36" s="15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>
      <c r="A37" s="69" t="s">
        <v>26</v>
      </c>
      <c r="B37" s="70">
        <f>'27.Horários'!F17/'27.Horários'!F18</f>
        <v>1</v>
      </c>
      <c r="C37" s="35"/>
      <c r="D37" s="36"/>
      <c r="E37" s="71"/>
      <c r="F37" s="36"/>
      <c r="G37" s="35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 ht="15.75" customHeight="1">
      <c r="A38" s="16"/>
      <c r="B38" s="16"/>
      <c r="C38" s="16"/>
      <c r="D38" s="15"/>
      <c r="E38" s="68"/>
      <c r="F38" s="15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2.75" customHeight="1">
      <c r="A39" s="36" t="s">
        <v>27</v>
      </c>
      <c r="B39" s="15"/>
      <c r="C39" s="15"/>
      <c r="D39" s="16"/>
      <c r="E39" s="16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1.25" customHeight="1">
      <c r="A40" s="15"/>
      <c r="B40" s="15"/>
      <c r="C40" s="15"/>
      <c r="D40" s="16"/>
      <c r="E40" s="16"/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2.75" customHeight="1">
      <c r="A41" s="15" t="s">
        <v>28</v>
      </c>
      <c r="B41" s="15"/>
      <c r="C41" s="15"/>
      <c r="D41" s="16"/>
      <c r="E41" s="16"/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>
      <c r="A42" s="72" t="s">
        <v>29</v>
      </c>
      <c r="B42" s="73" t="s">
        <v>30</v>
      </c>
      <c r="C42" s="73" t="s">
        <v>20</v>
      </c>
      <c r="D42" s="74" t="s">
        <v>31</v>
      </c>
      <c r="E42" s="74" t="s">
        <v>32</v>
      </c>
      <c r="F42" s="75" t="s">
        <v>33</v>
      </c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>
      <c r="A43" s="76" t="s">
        <v>34</v>
      </c>
      <c r="B43" s="77" t="s">
        <v>35</v>
      </c>
      <c r="C43" s="77">
        <v>1</v>
      </c>
      <c r="D43" s="78">
        <f>ROUND((E29*E30)+E29,2)</f>
        <v>0</v>
      </c>
      <c r="E43" s="78">
        <f>C43*D43</f>
        <v>0</v>
      </c>
      <c r="F43" s="16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hidden="1" customHeight="1">
      <c r="A44" s="76" t="s">
        <v>36</v>
      </c>
      <c r="B44" s="77" t="s">
        <v>35</v>
      </c>
      <c r="C44" s="77">
        <v>1</v>
      </c>
      <c r="D44" s="79">
        <v>1100</v>
      </c>
      <c r="E44" s="79"/>
      <c r="F44" s="16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hidden="1" customHeight="1">
      <c r="A45" s="80" t="s">
        <v>37</v>
      </c>
      <c r="B45" s="81" t="s">
        <v>38</v>
      </c>
      <c r="C45" s="82"/>
      <c r="D45" s="80"/>
      <c r="E45" s="80"/>
      <c r="F45" s="16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hidden="1" customHeight="1">
      <c r="A46" s="80"/>
      <c r="B46" s="81" t="s">
        <v>39</v>
      </c>
      <c r="C46" s="79">
        <f>C45*8/7</f>
        <v>0</v>
      </c>
      <c r="D46" s="79">
        <f>D43/220*0.2</f>
        <v>0</v>
      </c>
      <c r="E46" s="79">
        <f>C45*D46</f>
        <v>0</v>
      </c>
      <c r="F46" s="16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hidden="1" customHeight="1">
      <c r="A47" s="80" t="s">
        <v>40</v>
      </c>
      <c r="B47" s="81" t="s">
        <v>41</v>
      </c>
      <c r="C47" s="82"/>
      <c r="D47" s="79">
        <f>D43/220*2</f>
        <v>0</v>
      </c>
      <c r="E47" s="79">
        <f>C47*D47</f>
        <v>0</v>
      </c>
      <c r="F47" s="16"/>
      <c r="G47" s="16" t="s">
        <v>42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hidden="1" customHeight="1">
      <c r="A48" s="80" t="s">
        <v>43</v>
      </c>
      <c r="B48" s="81" t="s">
        <v>38</v>
      </c>
      <c r="C48" s="82"/>
      <c r="D48" s="79"/>
      <c r="E48" s="79"/>
      <c r="F48" s="16"/>
      <c r="G48" s="16" t="s">
        <v>44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hidden="1" customHeight="1">
      <c r="A49" s="80"/>
      <c r="B49" s="81" t="s">
        <v>39</v>
      </c>
      <c r="C49" s="79">
        <f>C48*8/7</f>
        <v>0</v>
      </c>
      <c r="D49" s="79">
        <f>D43/220*2*1.2</f>
        <v>0</v>
      </c>
      <c r="E49" s="79">
        <f>C49*D49</f>
        <v>0</v>
      </c>
      <c r="F49" s="16"/>
      <c r="G49" s="16" t="s">
        <v>44</v>
      </c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hidden="1" customHeight="1">
      <c r="A50" s="80" t="s">
        <v>45</v>
      </c>
      <c r="B50" s="81" t="s">
        <v>41</v>
      </c>
      <c r="C50" s="82"/>
      <c r="D50" s="79">
        <f>D43/220*1.5</f>
        <v>0</v>
      </c>
      <c r="E50" s="79">
        <f>C50*D50</f>
        <v>0</v>
      </c>
      <c r="F50" s="16"/>
      <c r="G50" s="16" t="s">
        <v>46</v>
      </c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hidden="1" customHeight="1">
      <c r="A51" s="80" t="s">
        <v>47</v>
      </c>
      <c r="B51" s="81" t="s">
        <v>38</v>
      </c>
      <c r="C51" s="82"/>
      <c r="D51" s="79"/>
      <c r="E51" s="79"/>
      <c r="F51" s="16"/>
      <c r="G51" s="16" t="s">
        <v>48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hidden="1" customHeight="1">
      <c r="A52" s="80"/>
      <c r="B52" s="81" t="s">
        <v>39</v>
      </c>
      <c r="C52" s="79">
        <f>C51*8/7</f>
        <v>0</v>
      </c>
      <c r="D52" s="79">
        <f>D43/220*1.5*1.2</f>
        <v>0</v>
      </c>
      <c r="E52" s="79">
        <f>C52*D52</f>
        <v>0</v>
      </c>
      <c r="F52" s="16"/>
      <c r="G52" s="16" t="s">
        <v>48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hidden="1" customHeight="1">
      <c r="A53" s="80" t="s">
        <v>49</v>
      </c>
      <c r="B53" s="81" t="s">
        <v>50</v>
      </c>
      <c r="C53" s="15"/>
      <c r="D53" s="79">
        <f>63/302*(SUM(E47:E52))</f>
        <v>0</v>
      </c>
      <c r="E53" s="79">
        <f>D53</f>
        <v>0</v>
      </c>
      <c r="F53" s="16"/>
      <c r="G53" s="16" t="s">
        <v>51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80" t="s">
        <v>52</v>
      </c>
      <c r="B54" s="81"/>
      <c r="C54" s="83">
        <v>0</v>
      </c>
      <c r="D54" s="79"/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53</v>
      </c>
      <c r="B55" s="81" t="s">
        <v>14</v>
      </c>
      <c r="C55" s="79">
        <v>0</v>
      </c>
      <c r="D55" s="79">
        <f>IF(C54=2,SUM(E43:E53),IF(C54=1,SUM(E43:E53)*D44/D43,0))</f>
        <v>0</v>
      </c>
      <c r="E55" s="79">
        <f>C55*D55/100</f>
        <v>0</v>
      </c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>
      <c r="A56" s="84" t="s">
        <v>54</v>
      </c>
      <c r="B56" s="85"/>
      <c r="C56" s="85"/>
      <c r="D56" s="86"/>
      <c r="E56" s="87">
        <f>SUM(E43:E55)</f>
        <v>0</v>
      </c>
      <c r="F56" s="35"/>
      <c r="G56" s="35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spans="1:26" ht="12.75" customHeight="1">
      <c r="A57" s="80" t="s">
        <v>55</v>
      </c>
      <c r="B57" s="81" t="s">
        <v>14</v>
      </c>
      <c r="C57" s="88">
        <f>'24.Encargos Sociais'!$C$38*100</f>
        <v>0</v>
      </c>
      <c r="D57" s="79">
        <f>E56</f>
        <v>0</v>
      </c>
      <c r="E57" s="79">
        <f>D57*C57/100</f>
        <v>0</v>
      </c>
      <c r="F57" s="16"/>
      <c r="G57" s="16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>
      <c r="A58" s="84" t="s">
        <v>56</v>
      </c>
      <c r="B58" s="85"/>
      <c r="C58" s="85"/>
      <c r="D58" s="86"/>
      <c r="E58" s="87">
        <f>E56+E57</f>
        <v>0</v>
      </c>
      <c r="F58" s="35"/>
      <c r="G58" s="35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spans="1:26" ht="12.75" customHeight="1">
      <c r="A59" s="80" t="s">
        <v>57</v>
      </c>
      <c r="B59" s="81" t="s">
        <v>58</v>
      </c>
      <c r="C59" s="89">
        <v>1</v>
      </c>
      <c r="D59" s="79">
        <f>E58</f>
        <v>0</v>
      </c>
      <c r="E59" s="79">
        <f>C59*D59</f>
        <v>0</v>
      </c>
      <c r="F59" s="16"/>
      <c r="G59" s="16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>
      <c r="A60" s="15"/>
      <c r="B60" s="15"/>
      <c r="C60" s="15"/>
      <c r="D60" s="90" t="s">
        <v>59</v>
      </c>
      <c r="E60" s="91">
        <f>B37</f>
        <v>1</v>
      </c>
      <c r="F60" s="92">
        <f>E59*E60</f>
        <v>0</v>
      </c>
      <c r="G60" s="16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1.25" customHeight="1">
      <c r="A61" s="15"/>
      <c r="B61" s="15"/>
      <c r="C61" s="15"/>
      <c r="D61" s="16"/>
      <c r="E61" s="16"/>
      <c r="F61" s="16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>
      <c r="A62" s="15" t="s">
        <v>60</v>
      </c>
      <c r="B62" s="93"/>
      <c r="C62" s="15"/>
      <c r="D62" s="15"/>
      <c r="E62" s="16"/>
      <c r="F62" s="16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>
      <c r="A63" s="72" t="s">
        <v>29</v>
      </c>
      <c r="B63" s="73" t="s">
        <v>30</v>
      </c>
      <c r="C63" s="73" t="s">
        <v>20</v>
      </c>
      <c r="D63" s="74" t="s">
        <v>31</v>
      </c>
      <c r="E63" s="74" t="s">
        <v>32</v>
      </c>
      <c r="F63" s="75" t="s">
        <v>33</v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>
      <c r="A64" s="80" t="s">
        <v>61</v>
      </c>
      <c r="B64" s="81" t="s">
        <v>50</v>
      </c>
      <c r="C64" s="94">
        <v>1</v>
      </c>
      <c r="D64" s="95"/>
      <c r="E64" s="79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>
      <c r="A65" s="80" t="s">
        <v>62</v>
      </c>
      <c r="B65" s="81" t="s">
        <v>63</v>
      </c>
      <c r="C65" s="96">
        <v>21</v>
      </c>
      <c r="D65" s="79"/>
      <c r="E65" s="79"/>
      <c r="F65" s="16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hidden="1" customHeight="1">
      <c r="A66" s="80" t="s">
        <v>64</v>
      </c>
      <c r="B66" s="81" t="s">
        <v>65</v>
      </c>
      <c r="C66" s="97" t="e">
        <f>$C$65*2*(#REF!)</f>
        <v>#REF!</v>
      </c>
      <c r="D66" s="78" t="str">
        <f>IFERROR((($C$65*2*$D$64)-(#REF!*0.06*C65/26))/($C$65*2),"-")</f>
        <v>-</v>
      </c>
      <c r="E66" s="79" t="str">
        <f>IFERROR(C66*D66,"-")</f>
        <v>-</v>
      </c>
      <c r="F66" s="16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>
      <c r="A67" s="76" t="s">
        <v>66</v>
      </c>
      <c r="B67" s="77" t="s">
        <v>65</v>
      </c>
      <c r="C67" s="97">
        <f>$C$65*2*(C59)</f>
        <v>42</v>
      </c>
      <c r="D67" s="78"/>
      <c r="E67" s="78">
        <f>C67*D64</f>
        <v>0</v>
      </c>
      <c r="F67" s="16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15"/>
      <c r="B68" s="15"/>
      <c r="C68" s="15"/>
      <c r="D68" s="16"/>
      <c r="E68" s="16"/>
      <c r="F68" s="98">
        <f>E67-(6%*E43)</f>
        <v>0</v>
      </c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1.25" customHeight="1">
      <c r="A69" s="15"/>
      <c r="B69" s="15"/>
      <c r="C69" s="15"/>
      <c r="D69" s="16"/>
      <c r="E69" s="16"/>
      <c r="F69" s="16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5" t="s">
        <v>67</v>
      </c>
      <c r="B70" s="15"/>
      <c r="C70" s="15"/>
      <c r="D70" s="16"/>
      <c r="E70" s="16"/>
      <c r="F70" s="3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>
      <c r="A71" s="72" t="s">
        <v>29</v>
      </c>
      <c r="B71" s="73" t="s">
        <v>30</v>
      </c>
      <c r="C71" s="73" t="s">
        <v>20</v>
      </c>
      <c r="D71" s="74" t="s">
        <v>31</v>
      </c>
      <c r="E71" s="74" t="s">
        <v>32</v>
      </c>
      <c r="F71" s="75" t="s">
        <v>33</v>
      </c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hidden="1" customHeight="1">
      <c r="A72" s="80" t="str">
        <f>+A66</f>
        <v>Coletor</v>
      </c>
      <c r="B72" s="81" t="s">
        <v>68</v>
      </c>
      <c r="C72" s="97"/>
      <c r="D72" s="99">
        <v>0</v>
      </c>
      <c r="E72" s="100">
        <f>C72*D72</f>
        <v>0</v>
      </c>
      <c r="F72" s="3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80" t="str">
        <f>+A67</f>
        <v xml:space="preserve">Operador </v>
      </c>
      <c r="B73" s="81" t="s">
        <v>68</v>
      </c>
      <c r="C73" s="97">
        <v>1</v>
      </c>
      <c r="D73" s="99"/>
      <c r="E73" s="100">
        <f>C73*D73</f>
        <v>0</v>
      </c>
      <c r="F73" s="3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hidden="1" customHeight="1">
      <c r="A74" s="80" t="s">
        <v>69</v>
      </c>
      <c r="B74" s="81" t="s">
        <v>68</v>
      </c>
      <c r="C74" s="97">
        <v>0</v>
      </c>
      <c r="D74" s="99">
        <v>13.55</v>
      </c>
      <c r="E74" s="100">
        <f>C74*D74</f>
        <v>0</v>
      </c>
      <c r="F74" s="3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101"/>
      <c r="B75" s="15"/>
      <c r="C75" s="15"/>
      <c r="D75" s="16"/>
      <c r="E75" s="16"/>
      <c r="F75" s="98">
        <f>SUM(E72:E74)</f>
        <v>0</v>
      </c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>
      <c r="A76" s="15"/>
      <c r="B76" s="15"/>
      <c r="C76" s="15"/>
      <c r="D76" s="16"/>
      <c r="E76" s="16"/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15" t="s">
        <v>70</v>
      </c>
      <c r="B77" s="15"/>
      <c r="C77" s="15"/>
      <c r="D77" s="16"/>
      <c r="E77" s="16"/>
      <c r="F77" s="3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72" t="s">
        <v>29</v>
      </c>
      <c r="B78" s="73" t="s">
        <v>30</v>
      </c>
      <c r="C78" s="73" t="s">
        <v>20</v>
      </c>
      <c r="D78" s="74" t="s">
        <v>31</v>
      </c>
      <c r="E78" s="74" t="s">
        <v>32</v>
      </c>
      <c r="F78" s="75" t="s">
        <v>33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>
      <c r="A79" s="80" t="s">
        <v>71</v>
      </c>
      <c r="B79" s="81" t="s">
        <v>68</v>
      </c>
      <c r="C79" s="102">
        <v>1</v>
      </c>
      <c r="D79" s="99"/>
      <c r="E79" s="103">
        <f>C79*D79</f>
        <v>0</v>
      </c>
      <c r="F79" s="3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80" t="s">
        <v>72</v>
      </c>
      <c r="B80" s="81" t="s">
        <v>68</v>
      </c>
      <c r="C80" s="102">
        <v>1</v>
      </c>
      <c r="D80" s="104"/>
      <c r="E80" s="103">
        <f>C80*D80</f>
        <v>0</v>
      </c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105"/>
      <c r="B81" s="105"/>
      <c r="C81" s="15"/>
      <c r="D81" s="90" t="s">
        <v>73</v>
      </c>
      <c r="E81" s="100">
        <v>1</v>
      </c>
      <c r="F81" s="106">
        <f>SUM(E79:E80)*E81</f>
        <v>0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>
      <c r="A82" s="15"/>
      <c r="B82" s="15"/>
      <c r="C82" s="15"/>
      <c r="D82" s="90"/>
      <c r="E82" s="107"/>
      <c r="F82" s="16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108" t="s">
        <v>74</v>
      </c>
      <c r="B83" s="109"/>
      <c r="C83" s="109"/>
      <c r="D83" s="49"/>
      <c r="E83" s="110"/>
      <c r="F83" s="98">
        <f>F60+F68+F75+F81</f>
        <v>0</v>
      </c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>
      <c r="A84" s="15"/>
      <c r="B84" s="15"/>
      <c r="C84" s="15"/>
      <c r="D84" s="16"/>
      <c r="E84" s="16"/>
      <c r="F84" s="16"/>
      <c r="G84" s="16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36" t="s">
        <v>75</v>
      </c>
      <c r="B85" s="15"/>
      <c r="C85" s="15"/>
      <c r="D85" s="16"/>
      <c r="E85" s="16"/>
      <c r="F85" s="16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1.2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3.5" customHeight="1">
      <c r="A87" s="15" t="s">
        <v>76</v>
      </c>
      <c r="B87" s="15"/>
      <c r="C87" s="15"/>
      <c r="D87" s="16"/>
      <c r="E87" s="16"/>
      <c r="F87" s="16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1.25" customHeight="1">
      <c r="A88" s="15"/>
      <c r="B88" s="15"/>
      <c r="C88" s="15"/>
      <c r="D88" s="16"/>
      <c r="E88" s="16"/>
      <c r="F88" s="16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27.75" customHeight="1">
      <c r="A89" s="72" t="s">
        <v>29</v>
      </c>
      <c r="B89" s="73" t="s">
        <v>30</v>
      </c>
      <c r="C89" s="111" t="s">
        <v>77</v>
      </c>
      <c r="D89" s="74" t="s">
        <v>31</v>
      </c>
      <c r="E89" s="74" t="s">
        <v>32</v>
      </c>
      <c r="F89" s="75" t="s">
        <v>33</v>
      </c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76" t="s">
        <v>78</v>
      </c>
      <c r="B90" s="77" t="s">
        <v>68</v>
      </c>
      <c r="C90" s="112"/>
      <c r="D90" s="113"/>
      <c r="E90" s="78">
        <f t="shared" ref="E90:E99" si="1">IFERROR(D90/C90,0)</f>
        <v>0</v>
      </c>
      <c r="F90" s="16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80" t="s">
        <v>79</v>
      </c>
      <c r="B91" s="81" t="s">
        <v>68</v>
      </c>
      <c r="C91" s="112"/>
      <c r="D91" s="114"/>
      <c r="E91" s="78">
        <f t="shared" si="1"/>
        <v>0</v>
      </c>
      <c r="F91" s="16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80" t="s">
        <v>80</v>
      </c>
      <c r="B92" s="81" t="s">
        <v>68</v>
      </c>
      <c r="C92" s="112"/>
      <c r="D92" s="114"/>
      <c r="E92" s="78">
        <f t="shared" si="1"/>
        <v>0</v>
      </c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80" t="s">
        <v>81</v>
      </c>
      <c r="B93" s="81" t="s">
        <v>68</v>
      </c>
      <c r="C93" s="112"/>
      <c r="D93" s="114"/>
      <c r="E93" s="78">
        <f t="shared" si="1"/>
        <v>0</v>
      </c>
      <c r="F93" s="16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3.5" customHeight="1">
      <c r="A94" s="80" t="s">
        <v>82</v>
      </c>
      <c r="B94" s="81" t="s">
        <v>83</v>
      </c>
      <c r="C94" s="112"/>
      <c r="D94" s="114"/>
      <c r="E94" s="78">
        <f t="shared" si="1"/>
        <v>0</v>
      </c>
      <c r="F94" s="16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80" t="s">
        <v>84</v>
      </c>
      <c r="B95" s="81" t="s">
        <v>83</v>
      </c>
      <c r="C95" s="112"/>
      <c r="D95" s="114"/>
      <c r="E95" s="78">
        <f t="shared" si="1"/>
        <v>0</v>
      </c>
      <c r="F95" s="16"/>
      <c r="G95" s="16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>
      <c r="A96" s="80" t="s">
        <v>85</v>
      </c>
      <c r="B96" s="81" t="s">
        <v>68</v>
      </c>
      <c r="C96" s="112"/>
      <c r="D96" s="114"/>
      <c r="E96" s="78">
        <f t="shared" si="1"/>
        <v>0</v>
      </c>
      <c r="F96" s="16"/>
      <c r="G96" s="16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>
      <c r="A97" s="80" t="s">
        <v>86</v>
      </c>
      <c r="B97" s="81" t="s">
        <v>83</v>
      </c>
      <c r="C97" s="112"/>
      <c r="D97" s="114"/>
      <c r="E97" s="78">
        <f t="shared" si="1"/>
        <v>0</v>
      </c>
      <c r="F97" s="16"/>
      <c r="G97" s="16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>
      <c r="A98" s="80" t="s">
        <v>87</v>
      </c>
      <c r="B98" s="81" t="s">
        <v>88</v>
      </c>
      <c r="C98" s="112"/>
      <c r="D98" s="114"/>
      <c r="E98" s="78">
        <f t="shared" si="1"/>
        <v>0</v>
      </c>
      <c r="F98" s="16"/>
      <c r="G98" s="16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>
      <c r="A99" s="80" t="s">
        <v>89</v>
      </c>
      <c r="B99" s="81" t="s">
        <v>90</v>
      </c>
      <c r="C99" s="112"/>
      <c r="D99" s="114"/>
      <c r="E99" s="78">
        <f t="shared" si="1"/>
        <v>0</v>
      </c>
      <c r="F99" s="16"/>
      <c r="G99" s="16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80" t="s">
        <v>57</v>
      </c>
      <c r="B100" s="81" t="s">
        <v>58</v>
      </c>
      <c r="C100" s="102">
        <f>E28</f>
        <v>1</v>
      </c>
      <c r="D100" s="79">
        <f>+SUM(E90:E99)</f>
        <v>0</v>
      </c>
      <c r="E100" s="79">
        <f>C100*D100</f>
        <v>0</v>
      </c>
      <c r="F100" s="16"/>
      <c r="G100" s="16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15"/>
      <c r="B101" s="15"/>
      <c r="C101" s="15"/>
      <c r="D101" s="90" t="s">
        <v>59</v>
      </c>
      <c r="E101" s="91">
        <f>$B$37</f>
        <v>1</v>
      </c>
      <c r="F101" s="92">
        <f>E100*E101</f>
        <v>0</v>
      </c>
      <c r="G101" s="16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1.25" customHeight="1">
      <c r="A102" s="15"/>
      <c r="B102" s="15"/>
      <c r="C102" s="15"/>
      <c r="D102" s="16"/>
      <c r="E102" s="16"/>
      <c r="F102" s="16"/>
      <c r="G102" s="16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1.25" customHeight="1">
      <c r="A103" s="15"/>
      <c r="B103" s="15"/>
      <c r="C103" s="15"/>
      <c r="D103" s="16"/>
      <c r="E103" s="16"/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>
      <c r="A104" s="108" t="s">
        <v>91</v>
      </c>
      <c r="B104" s="115"/>
      <c r="C104" s="115"/>
      <c r="D104" s="116"/>
      <c r="E104" s="117"/>
      <c r="F104" s="118">
        <f>+F101</f>
        <v>0</v>
      </c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1.25" customHeight="1">
      <c r="A105" s="15"/>
      <c r="B105" s="15"/>
      <c r="C105" s="15"/>
      <c r="D105" s="16"/>
      <c r="E105" s="16"/>
      <c r="F105" s="16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36" t="s">
        <v>92</v>
      </c>
      <c r="B106" s="15"/>
      <c r="C106" s="15"/>
      <c r="D106" s="16"/>
      <c r="E106" s="16"/>
      <c r="F106" s="16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1.25" customHeight="1">
      <c r="A107" s="15"/>
      <c r="B107" s="119"/>
      <c r="C107" s="15"/>
      <c r="D107" s="16"/>
      <c r="E107" s="16"/>
      <c r="F107" s="16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15" t="s">
        <v>93</v>
      </c>
      <c r="B108" s="15"/>
      <c r="C108" s="15"/>
      <c r="D108" s="16"/>
      <c r="E108" s="16"/>
      <c r="F108" s="16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1.25" customHeight="1">
      <c r="A109" s="15"/>
      <c r="B109" s="15"/>
      <c r="C109" s="15"/>
      <c r="D109" s="16"/>
      <c r="E109" s="16"/>
      <c r="F109" s="16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119" t="s">
        <v>15</v>
      </c>
      <c r="B110" s="15"/>
      <c r="C110" s="15"/>
      <c r="D110" s="16"/>
      <c r="E110" s="16"/>
      <c r="F110" s="16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72" t="s">
        <v>29</v>
      </c>
      <c r="B111" s="73" t="s">
        <v>30</v>
      </c>
      <c r="C111" s="73" t="s">
        <v>20</v>
      </c>
      <c r="D111" s="74" t="s">
        <v>31</v>
      </c>
      <c r="E111" s="74" t="s">
        <v>32</v>
      </c>
      <c r="F111" s="75" t="s">
        <v>33</v>
      </c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>
      <c r="A112" s="76" t="s">
        <v>94</v>
      </c>
      <c r="B112" s="77" t="s">
        <v>68</v>
      </c>
      <c r="C112" s="77">
        <v>1</v>
      </c>
      <c r="D112" s="113"/>
      <c r="E112" s="78">
        <f>C112*D112</f>
        <v>0</v>
      </c>
      <c r="F112" s="16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>
      <c r="A113" s="80" t="s">
        <v>95</v>
      </c>
      <c r="B113" s="81" t="s">
        <v>96</v>
      </c>
      <c r="C113" s="120"/>
      <c r="D113" s="79"/>
      <c r="E113" s="79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80" t="s">
        <v>97</v>
      </c>
      <c r="B114" s="81" t="s">
        <v>96</v>
      </c>
      <c r="C114" s="120"/>
      <c r="D114" s="79"/>
      <c r="E114" s="79"/>
      <c r="F114" s="121"/>
      <c r="G114" s="16"/>
      <c r="H114" s="15"/>
      <c r="I114" s="122"/>
      <c r="J114" s="122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>
      <c r="A115" s="80" t="s">
        <v>98</v>
      </c>
      <c r="B115" s="81" t="s">
        <v>14</v>
      </c>
      <c r="C115" s="88">
        <f>IFERROR(VLOOKUP(C113,'28. Depreciação'!A3:B17,2,0),0)</f>
        <v>0</v>
      </c>
      <c r="D115" s="79">
        <f>E112</f>
        <v>0</v>
      </c>
      <c r="E115" s="79">
        <f>C115*D115/100</f>
        <v>0</v>
      </c>
      <c r="F115" s="16"/>
      <c r="G115" s="16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123" t="s">
        <v>99</v>
      </c>
      <c r="B116" s="124" t="s">
        <v>35</v>
      </c>
      <c r="C116" s="124">
        <f>C113*12</f>
        <v>0</v>
      </c>
      <c r="D116" s="125">
        <f>IF(C114&lt;=C113,E115,0)</f>
        <v>0</v>
      </c>
      <c r="E116" s="125">
        <f>IFERROR(D116/C116,0)</f>
        <v>0</v>
      </c>
      <c r="F116" s="16"/>
      <c r="G116" s="16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hidden="1" customHeight="1">
      <c r="A117" s="76" t="s">
        <v>100</v>
      </c>
      <c r="B117" s="77" t="s">
        <v>68</v>
      </c>
      <c r="C117" s="77">
        <f>C112</f>
        <v>1</v>
      </c>
      <c r="D117" s="126">
        <v>0</v>
      </c>
      <c r="E117" s="78">
        <f>C117*D117</f>
        <v>0</v>
      </c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hidden="1" customHeight="1">
      <c r="A118" s="80" t="s">
        <v>95</v>
      </c>
      <c r="B118" s="81" t="s">
        <v>96</v>
      </c>
      <c r="C118" s="89">
        <v>16</v>
      </c>
      <c r="D118" s="79"/>
      <c r="E118" s="79"/>
      <c r="F118" s="16"/>
      <c r="G118" s="16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hidden="1" customHeight="1">
      <c r="A119" s="80" t="s">
        <v>101</v>
      </c>
      <c r="B119" s="81" t="s">
        <v>96</v>
      </c>
      <c r="C119" s="89">
        <v>16</v>
      </c>
      <c r="D119" s="79"/>
      <c r="E119" s="79"/>
      <c r="F119" s="121"/>
      <c r="G119" s="16"/>
      <c r="H119" s="15"/>
      <c r="I119" s="122"/>
      <c r="J119" s="122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hidden="1" customHeight="1">
      <c r="A120" s="80" t="s">
        <v>98</v>
      </c>
      <c r="B120" s="81" t="s">
        <v>14</v>
      </c>
      <c r="C120" s="127">
        <f>IFERROR(VLOOKUP(C118,'28. Depreciação'!A3:B17,2,0),0)</f>
        <v>0</v>
      </c>
      <c r="D120" s="79">
        <f>E117</f>
        <v>0</v>
      </c>
      <c r="E120" s="79">
        <f>C120*D120/100</f>
        <v>0</v>
      </c>
      <c r="F120" s="16"/>
      <c r="G120" s="16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hidden="1" customHeight="1">
      <c r="A121" s="128" t="s">
        <v>102</v>
      </c>
      <c r="B121" s="129" t="s">
        <v>35</v>
      </c>
      <c r="C121" s="129">
        <f>C118*12</f>
        <v>192</v>
      </c>
      <c r="D121" s="130">
        <f>IF(C119&lt;=C118,E120,0)</f>
        <v>0</v>
      </c>
      <c r="E121" s="130">
        <f>IFERROR(D121/C121,0)</f>
        <v>0</v>
      </c>
      <c r="F121" s="16"/>
      <c r="G121" s="16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84" t="s">
        <v>103</v>
      </c>
      <c r="B122" s="85"/>
      <c r="C122" s="85"/>
      <c r="D122" s="86"/>
      <c r="E122" s="87">
        <f>E116+E121</f>
        <v>0</v>
      </c>
      <c r="F122" s="16"/>
      <c r="G122" s="16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128" t="s">
        <v>104</v>
      </c>
      <c r="B123" s="129" t="s">
        <v>68</v>
      </c>
      <c r="C123" s="89">
        <v>1</v>
      </c>
      <c r="D123" s="130">
        <f>E122</f>
        <v>0</v>
      </c>
      <c r="E123" s="87">
        <f>C123*D123</f>
        <v>0</v>
      </c>
      <c r="F123" s="16"/>
      <c r="G123" s="16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131"/>
      <c r="B124" s="131"/>
      <c r="C124" s="131"/>
      <c r="D124" s="90" t="s">
        <v>59</v>
      </c>
      <c r="E124" s="91">
        <f>B37</f>
        <v>1</v>
      </c>
      <c r="F124" s="118">
        <f>E123*E124</f>
        <v>0</v>
      </c>
      <c r="G124" s="16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1.25" customHeight="1">
      <c r="A125" s="15"/>
      <c r="B125" s="15"/>
      <c r="C125" s="15"/>
      <c r="D125" s="16"/>
      <c r="E125" s="16"/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19" t="s">
        <v>16</v>
      </c>
      <c r="B126" s="15"/>
      <c r="C126" s="15"/>
      <c r="D126" s="16"/>
      <c r="E126" s="16"/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>
      <c r="A127" s="132" t="s">
        <v>29</v>
      </c>
      <c r="B127" s="133" t="s">
        <v>30</v>
      </c>
      <c r="C127" s="133" t="s">
        <v>20</v>
      </c>
      <c r="D127" s="74" t="s">
        <v>31</v>
      </c>
      <c r="E127" s="134" t="s">
        <v>32</v>
      </c>
      <c r="F127" s="75" t="s">
        <v>33</v>
      </c>
      <c r="G127" s="16"/>
      <c r="H127" s="15"/>
      <c r="I127" s="122"/>
      <c r="J127" s="122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>
      <c r="A128" s="80" t="s">
        <v>105</v>
      </c>
      <c r="B128" s="81" t="s">
        <v>68</v>
      </c>
      <c r="C128" s="77">
        <v>1</v>
      </c>
      <c r="D128" s="79">
        <f>D112</f>
        <v>0</v>
      </c>
      <c r="E128" s="79">
        <f>C128*D128</f>
        <v>0</v>
      </c>
      <c r="F128" s="121"/>
      <c r="G128" s="16"/>
      <c r="H128" s="15"/>
      <c r="I128" s="122"/>
      <c r="J128" s="122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>
      <c r="A129" s="80" t="s">
        <v>106</v>
      </c>
      <c r="B129" s="81" t="s">
        <v>14</v>
      </c>
      <c r="C129" s="120"/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>
      <c r="A130" s="80" t="s">
        <v>107</v>
      </c>
      <c r="B130" s="81" t="s">
        <v>50</v>
      </c>
      <c r="C130" s="79">
        <f>IFERROR(IF(C114&lt;=C113,E112-(C115/(100*C113)*C114)*E112,E112-E115),0)*0.35</f>
        <v>0</v>
      </c>
      <c r="D130" s="79"/>
      <c r="E130" s="79"/>
      <c r="F130" s="121"/>
      <c r="G130" s="16"/>
      <c r="H130" s="15"/>
      <c r="I130" s="122"/>
      <c r="J130" s="122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>
      <c r="A131" s="80" t="s">
        <v>108</v>
      </c>
      <c r="B131" s="81" t="s">
        <v>50</v>
      </c>
      <c r="C131" s="79">
        <f>IFERROR(IF(C114&gt;=C113,C130,((((C130)-(E112-E115))*(((C113-C114)+1)/(2*(C113-C114))))+(E112-E115))),0)</f>
        <v>0</v>
      </c>
      <c r="D131" s="79"/>
      <c r="E131" s="79"/>
      <c r="F131" s="121"/>
      <c r="G131" s="16"/>
      <c r="H131" s="15"/>
      <c r="I131" s="122"/>
      <c r="J131" s="122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123" t="s">
        <v>109</v>
      </c>
      <c r="B132" s="124" t="s">
        <v>50</v>
      </c>
      <c r="C132" s="124"/>
      <c r="D132" s="125">
        <f>C129*C131/12/100</f>
        <v>0</v>
      </c>
      <c r="E132" s="125">
        <f>D132</f>
        <v>0</v>
      </c>
      <c r="F132" s="121"/>
      <c r="G132" s="16"/>
      <c r="H132" s="15"/>
      <c r="I132" s="122"/>
      <c r="J132" s="122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hidden="1" customHeight="1">
      <c r="A133" s="76" t="s">
        <v>100</v>
      </c>
      <c r="B133" s="77" t="s">
        <v>68</v>
      </c>
      <c r="C133" s="77">
        <f>C117</f>
        <v>1</v>
      </c>
      <c r="D133" s="78">
        <f>D117</f>
        <v>0</v>
      </c>
      <c r="E133" s="78">
        <f>C133*D133</f>
        <v>0</v>
      </c>
      <c r="F133" s="121"/>
      <c r="G133" s="16"/>
      <c r="H133" s="15"/>
      <c r="I133" s="122"/>
      <c r="J133" s="122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hidden="1" customHeight="1">
      <c r="A134" s="80" t="s">
        <v>106</v>
      </c>
      <c r="B134" s="81" t="s">
        <v>14</v>
      </c>
      <c r="C134" s="81">
        <f>C129</f>
        <v>0</v>
      </c>
      <c r="D134" s="79"/>
      <c r="E134" s="79"/>
      <c r="F134" s="121"/>
      <c r="G134" s="16"/>
      <c r="H134" s="15"/>
      <c r="I134" s="122"/>
      <c r="J134" s="122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hidden="1" customHeight="1">
      <c r="A135" s="80" t="s">
        <v>110</v>
      </c>
      <c r="B135" s="81" t="s">
        <v>50</v>
      </c>
      <c r="C135" s="79">
        <f>IFERROR(IF(C119&lt;=C118,E117-(C120/(100*C118)*C119)*E117,E117-E120),0)*0.35</f>
        <v>0</v>
      </c>
      <c r="D135" s="79"/>
      <c r="E135" s="79"/>
      <c r="F135" s="121"/>
      <c r="G135" s="16"/>
      <c r="H135" s="15"/>
      <c r="I135" s="122"/>
      <c r="J135" s="122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hidden="1" customHeight="1">
      <c r="A136" s="80" t="s">
        <v>111</v>
      </c>
      <c r="B136" s="81" t="s">
        <v>50</v>
      </c>
      <c r="C136" s="79">
        <f>IFERROR(IF(C119&gt;=C118,C135,((((C135)-(E117-E120))*(((C118-C119)+1)/(2*(C118-C119))))+(E117-E120))),0)</f>
        <v>0</v>
      </c>
      <c r="D136" s="79"/>
      <c r="E136" s="79"/>
      <c r="F136" s="121"/>
      <c r="G136" s="16"/>
      <c r="H136" s="15"/>
      <c r="I136" s="122"/>
      <c r="J136" s="122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hidden="1" customHeight="1">
      <c r="A137" s="128" t="s">
        <v>112</v>
      </c>
      <c r="B137" s="129" t="s">
        <v>50</v>
      </c>
      <c r="C137" s="129"/>
      <c r="D137" s="130">
        <f>C134*C136/12/100</f>
        <v>0</v>
      </c>
      <c r="E137" s="130">
        <f>D137</f>
        <v>0</v>
      </c>
      <c r="F137" s="121"/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8.25" customHeight="1">
      <c r="A138" s="84"/>
      <c r="B138" s="129"/>
      <c r="C138" s="129"/>
      <c r="D138" s="136"/>
      <c r="E138" s="87"/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hidden="1" customHeight="1">
      <c r="A139" s="84" t="s">
        <v>113</v>
      </c>
      <c r="B139" s="129" t="s">
        <v>68</v>
      </c>
      <c r="C139" s="81">
        <f>C123</f>
        <v>1</v>
      </c>
      <c r="D139" s="136">
        <f>E132</f>
        <v>0</v>
      </c>
      <c r="E139" s="87">
        <f>C139*D139</f>
        <v>0</v>
      </c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hidden="1" customHeight="1">
      <c r="A140" s="84" t="s">
        <v>114</v>
      </c>
      <c r="B140" s="129" t="s">
        <v>68</v>
      </c>
      <c r="C140" s="81">
        <v>1</v>
      </c>
      <c r="D140" s="136">
        <f>E137</f>
        <v>0</v>
      </c>
      <c r="E140" s="87">
        <f>C140*D140</f>
        <v>0</v>
      </c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128" t="s">
        <v>115</v>
      </c>
      <c r="B141" s="129" t="s">
        <v>68</v>
      </c>
      <c r="C141" s="81">
        <v>1</v>
      </c>
      <c r="D141" s="130">
        <f>E139+E140</f>
        <v>0</v>
      </c>
      <c r="E141" s="87">
        <f>C141*D141</f>
        <v>0</v>
      </c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5"/>
      <c r="B142" s="15"/>
      <c r="C142" s="137"/>
      <c r="D142" s="90" t="s">
        <v>59</v>
      </c>
      <c r="E142" s="91">
        <f>E124</f>
        <v>1</v>
      </c>
      <c r="F142" s="118">
        <f>E141*E142</f>
        <v>0</v>
      </c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1.25" customHeight="1">
      <c r="A143" s="15"/>
      <c r="B143" s="15"/>
      <c r="C143" s="15"/>
      <c r="D143" s="16"/>
      <c r="E143" s="16"/>
      <c r="F143" s="16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>
      <c r="A144" s="15" t="s">
        <v>116</v>
      </c>
      <c r="B144" s="15"/>
      <c r="C144" s="15"/>
      <c r="D144" s="16"/>
      <c r="E144" s="16"/>
      <c r="F144" s="16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>
      <c r="A145" s="72" t="s">
        <v>29</v>
      </c>
      <c r="B145" s="73" t="s">
        <v>30</v>
      </c>
      <c r="C145" s="73" t="s">
        <v>20</v>
      </c>
      <c r="D145" s="74" t="s">
        <v>31</v>
      </c>
      <c r="E145" s="74" t="s">
        <v>32</v>
      </c>
      <c r="F145" s="75" t="s">
        <v>33</v>
      </c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>
      <c r="A146" s="80" t="s">
        <v>117</v>
      </c>
      <c r="B146" s="81" t="s">
        <v>68</v>
      </c>
      <c r="C146" s="78">
        <f>C123</f>
        <v>1</v>
      </c>
      <c r="D146" s="138">
        <f>1%*D112</f>
        <v>0</v>
      </c>
      <c r="E146" s="79">
        <f>C146*D146</f>
        <v>0</v>
      </c>
      <c r="F146" s="16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>
      <c r="A147" s="128" t="s">
        <v>118</v>
      </c>
      <c r="B147" s="129" t="s">
        <v>35</v>
      </c>
      <c r="C147" s="129">
        <v>12</v>
      </c>
      <c r="D147" s="130">
        <f>SUM(E146)</f>
        <v>0</v>
      </c>
      <c r="E147" s="130">
        <f>D147/C147</f>
        <v>0</v>
      </c>
      <c r="F147" s="16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>
      <c r="A148" s="15"/>
      <c r="B148" s="15"/>
      <c r="C148" s="15"/>
      <c r="D148" s="90" t="s">
        <v>59</v>
      </c>
      <c r="E148" s="91">
        <f>E142</f>
        <v>1</v>
      </c>
      <c r="F148" s="92">
        <f>E147*E148</f>
        <v>0</v>
      </c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>
      <c r="A149" s="15" t="s">
        <v>119</v>
      </c>
      <c r="B149" s="139"/>
      <c r="C149" s="15"/>
      <c r="D149" s="16"/>
      <c r="E149" s="16"/>
      <c r="F149" s="16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>
      <c r="A150" s="15"/>
      <c r="B150" s="139"/>
      <c r="C150" s="15"/>
      <c r="D150" s="16"/>
      <c r="E150" s="16"/>
      <c r="F150" s="16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120</v>
      </c>
      <c r="B151" s="140">
        <v>176</v>
      </c>
      <c r="C151" s="15"/>
      <c r="D151" s="16"/>
      <c r="E151" s="16"/>
      <c r="F151" s="16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39"/>
      <c r="C152" s="15"/>
      <c r="D152" s="16"/>
      <c r="E152" s="16"/>
      <c r="F152" s="16"/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>
      <c r="A153" s="72" t="s">
        <v>29</v>
      </c>
      <c r="B153" s="73" t="s">
        <v>30</v>
      </c>
      <c r="C153" s="73" t="s">
        <v>121</v>
      </c>
      <c r="D153" s="74" t="s">
        <v>31</v>
      </c>
      <c r="E153" s="74" t="s">
        <v>32</v>
      </c>
      <c r="F153" s="75" t="s">
        <v>33</v>
      </c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76" t="s">
        <v>122</v>
      </c>
      <c r="B154" s="77" t="s">
        <v>123</v>
      </c>
      <c r="C154" s="141"/>
      <c r="D154" s="142"/>
      <c r="E154" s="78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6" t="s">
        <v>124</v>
      </c>
      <c r="B155" s="77" t="s">
        <v>123</v>
      </c>
      <c r="C155" s="113"/>
      <c r="D155" s="142"/>
      <c r="E155" s="78"/>
      <c r="F155" s="16"/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>
      <c r="A156" s="80" t="s">
        <v>125</v>
      </c>
      <c r="B156" s="81" t="s">
        <v>126</v>
      </c>
      <c r="C156" s="79">
        <f>B151</f>
        <v>176</v>
      </c>
      <c r="D156" s="143">
        <f>(C154*D154)+(C155*D155)</f>
        <v>0</v>
      </c>
      <c r="E156" s="79">
        <f>IFERROR(C156*D156,"-")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>
      <c r="A157" s="128" t="s">
        <v>127</v>
      </c>
      <c r="B157" s="129"/>
      <c r="C157" s="144"/>
      <c r="D157" s="145"/>
      <c r="E157" s="79"/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15"/>
      <c r="B158" s="15"/>
      <c r="C158" s="15"/>
      <c r="D158" s="16"/>
      <c r="E158" s="16"/>
      <c r="F158" s="118">
        <f>SUM(E154:E156)</f>
        <v>0</v>
      </c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1.25" customHeight="1">
      <c r="A159" s="15"/>
      <c r="B159" s="15"/>
      <c r="C159" s="15"/>
      <c r="D159" s="16"/>
      <c r="E159" s="16"/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 t="s">
        <v>128</v>
      </c>
      <c r="B160" s="15"/>
      <c r="C160" s="15"/>
      <c r="D160" s="16"/>
      <c r="E160" s="16"/>
      <c r="F160" s="16"/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72" t="s">
        <v>29</v>
      </c>
      <c r="B161" s="73" t="s">
        <v>30</v>
      </c>
      <c r="C161" s="73" t="s">
        <v>20</v>
      </c>
      <c r="D161" s="74" t="s">
        <v>31</v>
      </c>
      <c r="E161" s="74" t="s">
        <v>32</v>
      </c>
      <c r="F161" s="75" t="s">
        <v>33</v>
      </c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76" t="s">
        <v>129</v>
      </c>
      <c r="B162" s="77" t="s">
        <v>130</v>
      </c>
      <c r="C162" s="79">
        <f>C156</f>
        <v>176</v>
      </c>
      <c r="D162" s="113"/>
      <c r="E162" s="78">
        <f>C162*D162</f>
        <v>0</v>
      </c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5"/>
      <c r="C163" s="15"/>
      <c r="D163" s="16"/>
      <c r="E163" s="16"/>
      <c r="F163" s="118">
        <f>E162</f>
        <v>0</v>
      </c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1.25" hidden="1" customHeight="1">
      <c r="A164" s="15"/>
      <c r="B164" s="15"/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hidden="1" customHeight="1">
      <c r="A165" s="15" t="s">
        <v>131</v>
      </c>
      <c r="B165" s="15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hidden="1" customHeight="1">
      <c r="A166" s="72" t="s">
        <v>29</v>
      </c>
      <c r="B166" s="73" t="s">
        <v>30</v>
      </c>
      <c r="C166" s="73" t="s">
        <v>20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hidden="1" customHeight="1">
      <c r="A167" s="76" t="s">
        <v>132</v>
      </c>
      <c r="B167" s="77" t="s">
        <v>68</v>
      </c>
      <c r="C167" s="146">
        <v>0</v>
      </c>
      <c r="D167" s="126">
        <v>6000</v>
      </c>
      <c r="E167" s="78">
        <f>C167*D167</f>
        <v>0</v>
      </c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hidden="1" customHeight="1">
      <c r="A168" s="76" t="s">
        <v>133</v>
      </c>
      <c r="B168" s="77" t="s">
        <v>68</v>
      </c>
      <c r="C168" s="146">
        <v>2</v>
      </c>
      <c r="D168" s="78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hidden="1" customHeight="1">
      <c r="A169" s="76" t="s">
        <v>134</v>
      </c>
      <c r="B169" s="77" t="s">
        <v>68</v>
      </c>
      <c r="C169" s="78">
        <f>C167*C168</f>
        <v>0</v>
      </c>
      <c r="D169" s="126">
        <v>3000</v>
      </c>
      <c r="E169" s="78">
        <f>C169*D169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hidden="1" customHeight="1">
      <c r="A170" s="80" t="s">
        <v>135</v>
      </c>
      <c r="B170" s="81" t="s">
        <v>136</v>
      </c>
      <c r="C170" s="147">
        <v>10000</v>
      </c>
      <c r="D170" s="79">
        <f>E167+E169</f>
        <v>0</v>
      </c>
      <c r="E170" s="79">
        <f>IFERROR(D170/C170,"-")</f>
        <v>0</v>
      </c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hidden="1" customHeight="1">
      <c r="A171" s="80" t="s">
        <v>137</v>
      </c>
      <c r="B171" s="81" t="s">
        <v>138</v>
      </c>
      <c r="C171" s="79">
        <f>B151</f>
        <v>176</v>
      </c>
      <c r="D171" s="79">
        <f>E170</f>
        <v>0</v>
      </c>
      <c r="E171" s="79">
        <f>IFERROR(C171*D171,0)</f>
        <v>0</v>
      </c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hidden="1" customHeight="1">
      <c r="A172" s="15"/>
      <c r="B172" s="15"/>
      <c r="C172" s="15"/>
      <c r="D172" s="16"/>
      <c r="E172" s="16"/>
      <c r="F172" s="118">
        <f>E171</f>
        <v>0</v>
      </c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1.25" customHeight="1">
      <c r="A173" s="15"/>
      <c r="B173" s="15"/>
      <c r="C173" s="15"/>
      <c r="D173" s="16"/>
      <c r="E173" s="16"/>
      <c r="F173" s="16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08" t="s">
        <v>139</v>
      </c>
      <c r="B174" s="109"/>
      <c r="C174" s="109"/>
      <c r="D174" s="49"/>
      <c r="E174" s="110"/>
      <c r="F174" s="118">
        <f>+SUM(F112:F173)</f>
        <v>0</v>
      </c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1.25" customHeight="1">
      <c r="A175" s="15"/>
      <c r="B175" s="15"/>
      <c r="C175" s="15"/>
      <c r="D175" s="16"/>
      <c r="E175" s="16"/>
      <c r="F175" s="16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hidden="1" customHeight="1">
      <c r="A176" s="36" t="s">
        <v>140</v>
      </c>
      <c r="B176" s="36"/>
      <c r="C176" s="36"/>
      <c r="D176" s="35"/>
      <c r="E176" s="35"/>
      <c r="F176" s="86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hidden="1" customHeight="1">
      <c r="A177" s="15"/>
      <c r="B177" s="15"/>
      <c r="C177" s="15"/>
      <c r="D177" s="16"/>
      <c r="E177" s="16"/>
      <c r="F177" s="16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72" t="s">
        <v>29</v>
      </c>
      <c r="B178" s="73" t="s">
        <v>30</v>
      </c>
      <c r="C178" s="73" t="s">
        <v>20</v>
      </c>
      <c r="D178" s="74" t="s">
        <v>31</v>
      </c>
      <c r="E178" s="74" t="s">
        <v>32</v>
      </c>
      <c r="F178" s="75" t="s">
        <v>33</v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80" t="s">
        <v>141</v>
      </c>
      <c r="B179" s="81" t="s">
        <v>68</v>
      </c>
      <c r="C179" s="148">
        <v>0</v>
      </c>
      <c r="D179" s="126">
        <v>50</v>
      </c>
      <c r="E179" s="79">
        <f>C179*D179</f>
        <v>0</v>
      </c>
      <c r="F179" s="121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80"/>
      <c r="B180" s="81"/>
      <c r="C180" s="148"/>
      <c r="D180" s="126"/>
      <c r="E180" s="79">
        <f>C180*D180</f>
        <v>0</v>
      </c>
      <c r="F180" s="121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80"/>
      <c r="B181" s="81"/>
      <c r="C181" s="148"/>
      <c r="D181" s="126"/>
      <c r="E181" s="79">
        <f>C181*D181</f>
        <v>0</v>
      </c>
      <c r="F181" s="121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80"/>
      <c r="B182" s="81"/>
      <c r="C182" s="112"/>
      <c r="D182" s="126"/>
      <c r="E182" s="79"/>
      <c r="F182" s="121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/>
      <c r="B183" s="81"/>
      <c r="C183" s="79"/>
      <c r="D183" s="99"/>
      <c r="E183" s="79">
        <f>C183*D183</f>
        <v>0</v>
      </c>
      <c r="F183" s="121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142</v>
      </c>
      <c r="B184" s="81" t="s">
        <v>143</v>
      </c>
      <c r="C184" s="148"/>
      <c r="D184" s="126"/>
      <c r="E184" s="79">
        <f>C184*D184</f>
        <v>0</v>
      </c>
      <c r="F184" s="121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36"/>
      <c r="B185" s="36"/>
      <c r="C185" s="36"/>
      <c r="D185" s="36"/>
      <c r="E185" s="35"/>
      <c r="F185" s="118">
        <f>SUM(E179:E184)</f>
        <v>0</v>
      </c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hidden="1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hidden="1" customHeight="1">
      <c r="A187" s="108" t="s">
        <v>144</v>
      </c>
      <c r="B187" s="109"/>
      <c r="C187" s="109"/>
      <c r="D187" s="49"/>
      <c r="E187" s="110"/>
      <c r="F187" s="118">
        <f>+F185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hidden="1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145</v>
      </c>
      <c r="B189" s="36"/>
      <c r="C189" s="36"/>
      <c r="D189" s="35"/>
      <c r="E189" s="35"/>
      <c r="F189" s="86"/>
      <c r="G189" s="16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6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6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146</v>
      </c>
      <c r="B192" s="149" t="s">
        <v>143</v>
      </c>
      <c r="C192" s="102">
        <v>0</v>
      </c>
      <c r="D192" s="99">
        <v>600</v>
      </c>
      <c r="E192" s="79">
        <f>+D192*C192</f>
        <v>0</v>
      </c>
      <c r="F192" s="121"/>
      <c r="G192" s="16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 t="s">
        <v>147</v>
      </c>
      <c r="B193" s="149" t="s">
        <v>35</v>
      </c>
      <c r="C193" s="81">
        <v>60</v>
      </c>
      <c r="D193" s="150">
        <f>SUM(E192)</f>
        <v>0</v>
      </c>
      <c r="E193" s="150">
        <f>+D193/C193</f>
        <v>0</v>
      </c>
      <c r="F193" s="121"/>
      <c r="G193" s="16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 t="s">
        <v>148</v>
      </c>
      <c r="B194" s="149" t="s">
        <v>35</v>
      </c>
      <c r="C194" s="81">
        <v>1</v>
      </c>
      <c r="D194" s="99">
        <v>100</v>
      </c>
      <c r="E194" s="79">
        <f>C194*D194</f>
        <v>100</v>
      </c>
      <c r="F194" s="121"/>
      <c r="G194" s="16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 t="s">
        <v>148</v>
      </c>
      <c r="B195" s="149" t="s">
        <v>149</v>
      </c>
      <c r="C195" s="81">
        <v>0</v>
      </c>
      <c r="D195" s="150">
        <f>+E194</f>
        <v>100</v>
      </c>
      <c r="E195" s="150">
        <f>C195*D195</f>
        <v>0</v>
      </c>
      <c r="F195" s="121"/>
      <c r="G195" s="16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101"/>
      <c r="B196" s="101"/>
      <c r="C196" s="15"/>
      <c r="D196" s="90" t="s">
        <v>59</v>
      </c>
      <c r="E196" s="91">
        <f>E142</f>
        <v>1</v>
      </c>
      <c r="F196" s="118">
        <f>(E195+E193)*E196</f>
        <v>0</v>
      </c>
      <c r="G196" s="16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1.25" hidden="1" customHeight="1">
      <c r="A197" s="15"/>
      <c r="B197" s="15"/>
      <c r="C197" s="15"/>
      <c r="D197" s="16"/>
      <c r="E197" s="16"/>
      <c r="F197" s="16"/>
      <c r="G197" s="151"/>
      <c r="H197" s="152"/>
      <c r="I197" s="152"/>
      <c r="J197" s="152"/>
      <c r="K197" s="152"/>
      <c r="L197" s="152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2"/>
      <c r="Z197" s="152"/>
    </row>
    <row r="198" spans="1:26" ht="12.75" hidden="1" customHeight="1">
      <c r="A198" s="108" t="s">
        <v>150</v>
      </c>
      <c r="B198" s="109"/>
      <c r="C198" s="109"/>
      <c r="D198" s="49"/>
      <c r="E198" s="110"/>
      <c r="F198" s="118">
        <f>+F196</f>
        <v>0</v>
      </c>
      <c r="G198" s="16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customHeight="1">
      <c r="A199" s="15"/>
      <c r="B199" s="15"/>
      <c r="C199" s="15"/>
      <c r="D199" s="16"/>
      <c r="E199" s="16"/>
      <c r="F199" s="16"/>
      <c r="G199" s="16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7.25" customHeight="1">
      <c r="A200" s="108" t="s">
        <v>151</v>
      </c>
      <c r="B200" s="115"/>
      <c r="C200" s="115"/>
      <c r="D200" s="116"/>
      <c r="E200" s="117"/>
      <c r="F200" s="98">
        <f>+F83+F104+F174+F187+F198</f>
        <v>0</v>
      </c>
      <c r="G200" s="16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customHeight="1">
      <c r="A201" s="15"/>
      <c r="B201" s="15"/>
      <c r="C201" s="15"/>
      <c r="D201" s="16"/>
      <c r="E201" s="16"/>
      <c r="F201" s="16"/>
      <c r="G201" s="16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>
      <c r="A202" s="36" t="s">
        <v>152</v>
      </c>
      <c r="B202" s="15"/>
      <c r="C202" s="15"/>
      <c r="D202" s="16"/>
      <c r="E202" s="16"/>
      <c r="F202" s="1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>
      <c r="A205" s="76" t="s">
        <v>153</v>
      </c>
      <c r="B205" s="77" t="s">
        <v>14</v>
      </c>
      <c r="C205" s="88">
        <f>'26.BDI'!C21*100</f>
        <v>18.96</v>
      </c>
      <c r="D205" s="78">
        <f>+F200</f>
        <v>0</v>
      </c>
      <c r="E205" s="78">
        <f>C205*D205/100</f>
        <v>0</v>
      </c>
      <c r="F205" s="16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>
      <c r="A206" s="15"/>
      <c r="B206" s="15"/>
      <c r="C206" s="15"/>
      <c r="D206" s="16"/>
      <c r="E206" s="16"/>
      <c r="F206" s="118">
        <f>+E205</f>
        <v>0</v>
      </c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1.25" customHeight="1">
      <c r="A207" s="15"/>
      <c r="B207" s="15"/>
      <c r="C207" s="15"/>
      <c r="D207" s="16"/>
      <c r="E207" s="16"/>
      <c r="F207" s="16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>
      <c r="A208" s="108" t="s">
        <v>154</v>
      </c>
      <c r="B208" s="115"/>
      <c r="C208" s="115"/>
      <c r="D208" s="116"/>
      <c r="E208" s="117"/>
      <c r="F208" s="98">
        <f>F206</f>
        <v>0</v>
      </c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>
      <c r="A209" s="36"/>
      <c r="B209" s="36"/>
      <c r="C209" s="36"/>
      <c r="D209" s="35"/>
      <c r="E209" s="35"/>
      <c r="F209" s="86"/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customHeight="1">
      <c r="A210" s="15"/>
      <c r="B210" s="15"/>
      <c r="C210" s="15"/>
      <c r="D210" s="16"/>
      <c r="E210" s="16"/>
      <c r="F210" s="16"/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24.75" customHeight="1">
      <c r="A211" s="108" t="s">
        <v>155</v>
      </c>
      <c r="B211" s="115"/>
      <c r="C211" s="115"/>
      <c r="D211" s="116"/>
      <c r="E211" s="117"/>
      <c r="F211" s="98">
        <f>F200+F208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" customHeight="1">
      <c r="A212" s="14"/>
      <c r="B212" s="14"/>
      <c r="C212" s="14"/>
      <c r="D212" s="153"/>
      <c r="E212" s="153"/>
      <c r="F212" s="153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>
      <c r="A213" s="23"/>
      <c r="B213" s="23"/>
      <c r="C213" s="23"/>
      <c r="D213" s="22"/>
      <c r="E213" s="22"/>
      <c r="F213" s="16"/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>
      <c r="A214" s="154" t="s">
        <v>156</v>
      </c>
      <c r="B214" s="53"/>
      <c r="C214" s="53"/>
      <c r="D214" s="155">
        <v>176</v>
      </c>
      <c r="E214" s="156" t="s">
        <v>157</v>
      </c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15"/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25.5" customHeight="1">
      <c r="A216" s="108" t="s">
        <v>158</v>
      </c>
      <c r="B216" s="109"/>
      <c r="C216" s="109"/>
      <c r="D216" s="49"/>
      <c r="E216" s="157" t="s">
        <v>159</v>
      </c>
      <c r="F216" s="158">
        <f>F211/D214</f>
        <v>0</v>
      </c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" customHeight="1"/>
    <row r="218" spans="1:26" ht="13.5" customHeight="1"/>
    <row r="219" spans="1:26" ht="9.75" customHeight="1"/>
    <row r="220" spans="1:26" ht="9.75" customHeight="1"/>
    <row r="221" spans="1:26" ht="12.75" customHeight="1"/>
    <row r="222" spans="1:26" ht="12.75" customHeight="1"/>
    <row r="223" spans="1:26" ht="12.75" customHeight="1"/>
    <row r="224" spans="1:26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9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</sheetData>
  <mergeCells count="7">
    <mergeCell ref="A27:D27"/>
    <mergeCell ref="A33:D33"/>
    <mergeCell ref="A1:F1"/>
    <mergeCell ref="A2:F2"/>
    <mergeCell ref="A4:F4"/>
    <mergeCell ref="A11:C11"/>
    <mergeCell ref="A26:E26"/>
  </mergeCells>
  <hyperlinks>
    <hyperlink ref="A14" location="Google_Sheet_Link_1352214653" display="3.1.1. Depreciação"/>
    <hyperlink ref="A15" location="Google_Sheet_Link_1085399715" display="3.1.2. Remuneração do Capital"/>
    <hyperlink ref="A110" location="Google_Sheet_Link_1352214653" display="3.1.1. Depreciação"/>
    <hyperlink ref="A126" location="Google_Sheet_Link_1085399715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B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162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Motorista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+F189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F162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A164</f>
        <v>3.1.4. Consumos de óleo diesel</v>
      </c>
      <c r="B27" s="44"/>
      <c r="C27" s="38"/>
      <c r="D27" s="38"/>
      <c r="E27" s="39">
        <f>F173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A175</f>
        <v xml:space="preserve">3.1.5. Manutenção/Consumos </v>
      </c>
      <c r="B28" s="44"/>
      <c r="C28" s="38"/>
      <c r="D28" s="38"/>
      <c r="E28" s="39">
        <f>F178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A180</f>
        <v>3.1.6. Pneus</v>
      </c>
      <c r="B29" s="44"/>
      <c r="C29" s="38"/>
      <c r="D29" s="38"/>
      <c r="E29" s="39">
        <f>F187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A191</f>
        <v xml:space="preserve">4. Ferramentas e materiais </v>
      </c>
      <c r="B30" s="42"/>
      <c r="C30" s="32"/>
      <c r="D30" s="32"/>
      <c r="E30" s="33">
        <f>+F202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A204</f>
        <v xml:space="preserve">5. Monitoramento da frota  </v>
      </c>
      <c r="B31" s="42"/>
      <c r="C31" s="32"/>
      <c r="D31" s="32"/>
      <c r="E31" s="33">
        <f>+F213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A217</f>
        <v>4. Benefícios e Despesas Indiretas - BDI</v>
      </c>
      <c r="B32" s="42"/>
      <c r="C32" s="32"/>
      <c r="D32" s="32"/>
      <c r="E32" s="46">
        <f>+F223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Motorista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37" t="s">
        <v>163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164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163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Motorista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>
        <v>0</v>
      </c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76" t="s">
        <v>166</v>
      </c>
      <c r="B158" s="77" t="s">
        <v>68</v>
      </c>
      <c r="C158" s="78">
        <f>C135</f>
        <v>0</v>
      </c>
      <c r="D158" s="113">
        <v>0</v>
      </c>
      <c r="E158" s="78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80" t="s">
        <v>117</v>
      </c>
      <c r="B159" s="81" t="s">
        <v>68</v>
      </c>
      <c r="C159" s="78">
        <f>C135</f>
        <v>0</v>
      </c>
      <c r="D159" s="138">
        <v>0</v>
      </c>
      <c r="E159" s="79">
        <f>C159*D159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80" t="s">
        <v>167</v>
      </c>
      <c r="B160" s="81" t="s">
        <v>68</v>
      </c>
      <c r="C160" s="78">
        <f>C133</f>
        <v>1</v>
      </c>
      <c r="D160" s="138"/>
      <c r="E160" s="79">
        <f>C160*D160</f>
        <v>0</v>
      </c>
      <c r="F160" s="86"/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128" t="s">
        <v>118</v>
      </c>
      <c r="B161" s="129" t="s">
        <v>35</v>
      </c>
      <c r="C161" s="129">
        <v>12</v>
      </c>
      <c r="D161" s="130">
        <f>SUM(E156:E160)</f>
        <v>0</v>
      </c>
      <c r="E161" s="130">
        <f>D161/C161</f>
        <v>0</v>
      </c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/>
      <c r="B162" s="15"/>
      <c r="C162" s="15"/>
      <c r="D162" s="90" t="s">
        <v>59</v>
      </c>
      <c r="E162" s="91">
        <f>E152</f>
        <v>1</v>
      </c>
      <c r="F162" s="92">
        <f>E161*E162</f>
        <v>0</v>
      </c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1.25" customHeight="1">
      <c r="A163" s="15"/>
      <c r="B163" s="15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5" t="s">
        <v>168</v>
      </c>
      <c r="B164" s="139"/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128" t="s">
        <v>120</v>
      </c>
      <c r="B166" s="140">
        <v>176</v>
      </c>
      <c r="C166" s="15"/>
      <c r="D166" s="16"/>
      <c r="E166" s="16"/>
      <c r="F166" s="16"/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15"/>
      <c r="B167" s="139"/>
      <c r="C167" s="15"/>
      <c r="D167" s="16"/>
      <c r="E167" s="16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2" t="s">
        <v>29</v>
      </c>
      <c r="B168" s="73" t="s">
        <v>30</v>
      </c>
      <c r="C168" s="73" t="s">
        <v>121</v>
      </c>
      <c r="D168" s="74" t="s">
        <v>31</v>
      </c>
      <c r="E168" s="74" t="s">
        <v>32</v>
      </c>
      <c r="F168" s="75" t="s">
        <v>33</v>
      </c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76" t="s">
        <v>122</v>
      </c>
      <c r="B169" s="77" t="s">
        <v>123</v>
      </c>
      <c r="C169" s="141"/>
      <c r="D169" s="142"/>
      <c r="E169" s="78"/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76" t="s">
        <v>124</v>
      </c>
      <c r="B170" s="77" t="s">
        <v>123</v>
      </c>
      <c r="C170" s="113"/>
      <c r="D170" s="142"/>
      <c r="E170" s="78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80" t="s">
        <v>125</v>
      </c>
      <c r="B171" s="81" t="s">
        <v>126</v>
      </c>
      <c r="C171" s="79">
        <f>B166</f>
        <v>176</v>
      </c>
      <c r="D171" s="143">
        <f>(C169*D169)+(C170*D170)</f>
        <v>0</v>
      </c>
      <c r="E171" s="79">
        <f>IFERROR(C171*D171,"-")</f>
        <v>0</v>
      </c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>
      <c r="A172" s="128" t="s">
        <v>127</v>
      </c>
      <c r="B172" s="129"/>
      <c r="C172" s="144"/>
      <c r="D172" s="145"/>
      <c r="E172" s="79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/>
      <c r="B173" s="15"/>
      <c r="C173" s="15"/>
      <c r="D173" s="16"/>
      <c r="E173" s="16"/>
      <c r="F173" s="118">
        <f>SUM(E169:E171)</f>
        <v>0</v>
      </c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1.25" customHeight="1">
      <c r="A174" s="15"/>
      <c r="B174" s="15"/>
      <c r="C174" s="15"/>
      <c r="D174" s="16"/>
      <c r="E174" s="16"/>
      <c r="F174" s="16"/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15" t="s">
        <v>128</v>
      </c>
      <c r="B175" s="15"/>
      <c r="C175" s="15"/>
      <c r="D175" s="16"/>
      <c r="E175" s="16"/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72" t="s">
        <v>29</v>
      </c>
      <c r="B176" s="73" t="s">
        <v>30</v>
      </c>
      <c r="C176" s="73" t="s">
        <v>20</v>
      </c>
      <c r="D176" s="74" t="s">
        <v>31</v>
      </c>
      <c r="E176" s="74" t="s">
        <v>32</v>
      </c>
      <c r="F176" s="75" t="s">
        <v>33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>
      <c r="A177" s="76" t="s">
        <v>169</v>
      </c>
      <c r="B177" s="77" t="s">
        <v>130</v>
      </c>
      <c r="C177" s="79">
        <f>C171</f>
        <v>176</v>
      </c>
      <c r="D177" s="113"/>
      <c r="E177" s="78">
        <f>C177*D177</f>
        <v>0</v>
      </c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>
      <c r="A178" s="15"/>
      <c r="B178" s="15"/>
      <c r="C178" s="15"/>
      <c r="D178" s="16"/>
      <c r="E178" s="16"/>
      <c r="F178" s="118">
        <f>E177</f>
        <v>0</v>
      </c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1.25" customHeight="1">
      <c r="A179" s="15"/>
      <c r="B179" s="15"/>
      <c r="C179" s="15"/>
      <c r="D179" s="16"/>
      <c r="E179" s="16"/>
      <c r="F179" s="16"/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15" t="s">
        <v>131</v>
      </c>
      <c r="B180" s="15"/>
      <c r="C180" s="15"/>
      <c r="D180" s="16"/>
      <c r="E180" s="16"/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2" t="s">
        <v>29</v>
      </c>
      <c r="B181" s="73" t="s">
        <v>30</v>
      </c>
      <c r="C181" s="73" t="s">
        <v>20</v>
      </c>
      <c r="D181" s="74" t="s">
        <v>31</v>
      </c>
      <c r="E181" s="74" t="s">
        <v>32</v>
      </c>
      <c r="F181" s="75" t="s">
        <v>33</v>
      </c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132</v>
      </c>
      <c r="B182" s="77" t="s">
        <v>68</v>
      </c>
      <c r="C182" s="146">
        <v>0</v>
      </c>
      <c r="D182" s="126">
        <v>6000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76" t="s">
        <v>133</v>
      </c>
      <c r="B183" s="77" t="s">
        <v>68</v>
      </c>
      <c r="C183" s="146">
        <v>2</v>
      </c>
      <c r="D183" s="78"/>
      <c r="E183" s="78"/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76" t="s">
        <v>134</v>
      </c>
      <c r="B184" s="77" t="s">
        <v>68</v>
      </c>
      <c r="C184" s="78">
        <f>C182*C183</f>
        <v>0</v>
      </c>
      <c r="D184" s="126">
        <v>3000</v>
      </c>
      <c r="E184" s="78">
        <f>C184*D184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80" t="s">
        <v>135</v>
      </c>
      <c r="B185" s="81" t="s">
        <v>136</v>
      </c>
      <c r="C185" s="147">
        <v>10000</v>
      </c>
      <c r="D185" s="79">
        <f>E182+E184</f>
        <v>0</v>
      </c>
      <c r="E185" s="79">
        <f>IFERROR(D185/C185,"-")</f>
        <v>0</v>
      </c>
      <c r="F185" s="16"/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hidden="1" customHeight="1">
      <c r="A186" s="80" t="s">
        <v>137</v>
      </c>
      <c r="B186" s="81" t="s">
        <v>138</v>
      </c>
      <c r="C186" s="79">
        <f>B166</f>
        <v>176</v>
      </c>
      <c r="D186" s="79">
        <f>E185</f>
        <v>0</v>
      </c>
      <c r="E186" s="79">
        <f>IFERROR(C186*D186,0)</f>
        <v>0</v>
      </c>
      <c r="F186" s="16"/>
      <c r="G186" s="16"/>
      <c r="H186" s="15"/>
      <c r="I186" s="122"/>
      <c r="J186" s="122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hidden="1" customHeight="1">
      <c r="A187" s="15"/>
      <c r="B187" s="15"/>
      <c r="C187" s="15"/>
      <c r="D187" s="16"/>
      <c r="E187" s="16"/>
      <c r="F187" s="118">
        <f>E186</f>
        <v>0</v>
      </c>
      <c r="G187" s="16"/>
      <c r="H187" s="15"/>
      <c r="I187" s="122"/>
      <c r="J187" s="122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customHeight="1">
      <c r="A189" s="108" t="s">
        <v>139</v>
      </c>
      <c r="B189" s="109"/>
      <c r="C189" s="109"/>
      <c r="D189" s="49"/>
      <c r="E189" s="110"/>
      <c r="F189" s="118">
        <f>+SUM(F122:F188)</f>
        <v>0</v>
      </c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36" t="s">
        <v>140</v>
      </c>
      <c r="B191" s="36"/>
      <c r="C191" s="36"/>
      <c r="D191" s="35"/>
      <c r="E191" s="35"/>
      <c r="F191" s="86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1.25" hidden="1" customHeight="1">
      <c r="A192" s="15"/>
      <c r="B192" s="15"/>
      <c r="C192" s="15"/>
      <c r="D192" s="16"/>
      <c r="E192" s="16"/>
      <c r="F192" s="16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72" t="s">
        <v>29</v>
      </c>
      <c r="B193" s="73" t="s">
        <v>30</v>
      </c>
      <c r="C193" s="73" t="s">
        <v>20</v>
      </c>
      <c r="D193" s="74" t="s">
        <v>31</v>
      </c>
      <c r="E193" s="74" t="s">
        <v>32</v>
      </c>
      <c r="F193" s="75" t="s">
        <v>33</v>
      </c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 t="s">
        <v>141</v>
      </c>
      <c r="B194" s="81" t="s">
        <v>68</v>
      </c>
      <c r="C194" s="148">
        <v>0</v>
      </c>
      <c r="D194" s="126">
        <v>50</v>
      </c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48"/>
      <c r="D195" s="126"/>
      <c r="E195" s="79">
        <f>C195*D195</f>
        <v>0</v>
      </c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148"/>
      <c r="D196" s="126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/>
      <c r="B197" s="81"/>
      <c r="C197" s="112"/>
      <c r="D197" s="126"/>
      <c r="E197" s="79"/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80"/>
      <c r="B198" s="81"/>
      <c r="C198" s="79"/>
      <c r="D198" s="99"/>
      <c r="E198" s="79">
        <f>C198*D198</f>
        <v>0</v>
      </c>
      <c r="F198" s="121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hidden="1" customHeight="1">
      <c r="A199" s="80" t="s">
        <v>142</v>
      </c>
      <c r="B199" s="81" t="s">
        <v>143</v>
      </c>
      <c r="C199" s="148"/>
      <c r="D199" s="126"/>
      <c r="E199" s="79">
        <f>C199*D199</f>
        <v>0</v>
      </c>
      <c r="F199" s="121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36"/>
      <c r="B200" s="36"/>
      <c r="C200" s="36"/>
      <c r="D200" s="36"/>
      <c r="E200" s="35"/>
      <c r="F200" s="118">
        <f>SUM(E194:E199)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108" t="s">
        <v>144</v>
      </c>
      <c r="B202" s="109"/>
      <c r="C202" s="109"/>
      <c r="D202" s="49"/>
      <c r="E202" s="110"/>
      <c r="F202" s="118">
        <f>+F200</f>
        <v>0</v>
      </c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36" t="s">
        <v>145</v>
      </c>
      <c r="B204" s="36"/>
      <c r="C204" s="36"/>
      <c r="D204" s="35"/>
      <c r="E204" s="35"/>
      <c r="F204" s="86"/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1.25" hidden="1" customHeight="1">
      <c r="A205" s="15"/>
      <c r="B205" s="15"/>
      <c r="C205" s="15"/>
      <c r="D205" s="16"/>
      <c r="E205" s="16"/>
      <c r="F205" s="16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72" t="s">
        <v>29</v>
      </c>
      <c r="B206" s="73" t="s">
        <v>30</v>
      </c>
      <c r="C206" s="73" t="s">
        <v>20</v>
      </c>
      <c r="D206" s="74" t="s">
        <v>31</v>
      </c>
      <c r="E206" s="74" t="s">
        <v>32</v>
      </c>
      <c r="F206" s="75" t="s">
        <v>33</v>
      </c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146</v>
      </c>
      <c r="B207" s="149" t="s">
        <v>143</v>
      </c>
      <c r="C207" s="102">
        <v>0</v>
      </c>
      <c r="D207" s="99">
        <v>600</v>
      </c>
      <c r="E207" s="79">
        <f>+D207*C207</f>
        <v>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147</v>
      </c>
      <c r="B208" s="149" t="s">
        <v>35</v>
      </c>
      <c r="C208" s="81">
        <v>60</v>
      </c>
      <c r="D208" s="150">
        <f>SUM(E207)</f>
        <v>0</v>
      </c>
      <c r="E208" s="150">
        <f>+D208/C208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80" t="s">
        <v>148</v>
      </c>
      <c r="B209" s="149" t="s">
        <v>35</v>
      </c>
      <c r="C209" s="81">
        <v>1</v>
      </c>
      <c r="D209" s="99">
        <v>100</v>
      </c>
      <c r="E209" s="79">
        <f>C209*D209</f>
        <v>100</v>
      </c>
      <c r="F209" s="121"/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hidden="1" customHeight="1">
      <c r="A210" s="80" t="s">
        <v>148</v>
      </c>
      <c r="B210" s="149" t="s">
        <v>149</v>
      </c>
      <c r="C210" s="81">
        <v>0</v>
      </c>
      <c r="D210" s="150">
        <f>+E209</f>
        <v>100</v>
      </c>
      <c r="E210" s="150">
        <f>C210*D210</f>
        <v>0</v>
      </c>
      <c r="F210" s="121"/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2.75" hidden="1" customHeight="1">
      <c r="A211" s="101"/>
      <c r="B211" s="101"/>
      <c r="C211" s="15"/>
      <c r="D211" s="90" t="s">
        <v>59</v>
      </c>
      <c r="E211" s="91">
        <f>E152</f>
        <v>1</v>
      </c>
      <c r="F211" s="118">
        <f>(E210+E208)*E211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hidden="1" customHeight="1">
      <c r="A212" s="15"/>
      <c r="B212" s="15"/>
      <c r="C212" s="15"/>
      <c r="D212" s="16"/>
      <c r="E212" s="16"/>
      <c r="F212" s="16"/>
      <c r="G212" s="151"/>
      <c r="H212" s="152"/>
      <c r="I212" s="152"/>
      <c r="J212" s="152"/>
      <c r="K212" s="152"/>
      <c r="L212" s="152"/>
      <c r="M212" s="152"/>
      <c r="N212" s="152"/>
      <c r="O212" s="152"/>
      <c r="P212" s="152"/>
      <c r="Q212" s="152"/>
      <c r="R212" s="152"/>
      <c r="S212" s="152"/>
      <c r="T212" s="152"/>
      <c r="U212" s="152"/>
      <c r="V212" s="152"/>
      <c r="W212" s="152"/>
      <c r="X212" s="152"/>
      <c r="Y212" s="152"/>
      <c r="Z212" s="152"/>
    </row>
    <row r="213" spans="1:26" ht="12.75" hidden="1" customHeight="1">
      <c r="A213" s="108" t="s">
        <v>150</v>
      </c>
      <c r="B213" s="109"/>
      <c r="C213" s="109"/>
      <c r="D213" s="49"/>
      <c r="E213" s="110"/>
      <c r="F213" s="118">
        <f>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7.25" customHeight="1">
      <c r="A215" s="108" t="s">
        <v>151</v>
      </c>
      <c r="B215" s="115"/>
      <c r="C215" s="115"/>
      <c r="D215" s="116"/>
      <c r="E215" s="117"/>
      <c r="F215" s="98">
        <f>+F93+F114+F189+F202+F213</f>
        <v>0</v>
      </c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36" t="s">
        <v>152</v>
      </c>
      <c r="B217" s="15"/>
      <c r="C217" s="15"/>
      <c r="D217" s="16"/>
      <c r="E217" s="16"/>
      <c r="F217" s="16"/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1.25" customHeight="1">
      <c r="A218" s="15"/>
      <c r="B218" s="15"/>
      <c r="C218" s="15"/>
      <c r="D218" s="16"/>
      <c r="E218" s="16"/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72" t="s">
        <v>29</v>
      </c>
      <c r="B219" s="73" t="s">
        <v>30</v>
      </c>
      <c r="C219" s="73" t="s">
        <v>20</v>
      </c>
      <c r="D219" s="74" t="s">
        <v>31</v>
      </c>
      <c r="E219" s="74" t="s">
        <v>32</v>
      </c>
      <c r="F219" s="75" t="s">
        <v>33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>
      <c r="A220" s="76" t="s">
        <v>153</v>
      </c>
      <c r="B220" s="77" t="s">
        <v>14</v>
      </c>
      <c r="C220" s="88">
        <f>'26.BDI'!C21*100</f>
        <v>18.96</v>
      </c>
      <c r="D220" s="78">
        <f>+F215</f>
        <v>0</v>
      </c>
      <c r="E220" s="78">
        <f>C220*D220/100</f>
        <v>0</v>
      </c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5"/>
      <c r="B221" s="15"/>
      <c r="C221" s="15"/>
      <c r="D221" s="16"/>
      <c r="E221" s="16"/>
      <c r="F221" s="118">
        <f>+E220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1.25" customHeight="1">
      <c r="A222" s="15"/>
      <c r="B222" s="15"/>
      <c r="C222" s="15"/>
      <c r="D222" s="16"/>
      <c r="E222" s="16"/>
      <c r="F222" s="1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>
      <c r="A223" s="108" t="s">
        <v>154</v>
      </c>
      <c r="B223" s="115"/>
      <c r="C223" s="115"/>
      <c r="D223" s="116"/>
      <c r="E223" s="117"/>
      <c r="F223" s="98">
        <f>F221</f>
        <v>0</v>
      </c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2.75" customHeight="1">
      <c r="A224" s="36"/>
      <c r="B224" s="36"/>
      <c r="C224" s="36"/>
      <c r="D224" s="35"/>
      <c r="E224" s="35"/>
      <c r="F224" s="86"/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1.25" customHeight="1">
      <c r="A225" s="15"/>
      <c r="B225" s="15"/>
      <c r="C225" s="15"/>
      <c r="D225" s="16"/>
      <c r="E225" s="16"/>
      <c r="F225" s="16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24.75" customHeight="1">
      <c r="A226" s="108" t="s">
        <v>155</v>
      </c>
      <c r="B226" s="115"/>
      <c r="C226" s="115"/>
      <c r="D226" s="116"/>
      <c r="E226" s="117"/>
      <c r="F226" s="98">
        <f>F215+F223</f>
        <v>0</v>
      </c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" customHeight="1">
      <c r="A227" s="14"/>
      <c r="B227" s="14"/>
      <c r="C227" s="14"/>
      <c r="D227" s="153"/>
      <c r="E227" s="153"/>
      <c r="F227" s="153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23"/>
      <c r="B228" s="23"/>
      <c r="C228" s="23"/>
      <c r="D228" s="22"/>
      <c r="E228" s="22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customHeight="1">
      <c r="A229" s="154" t="s">
        <v>156</v>
      </c>
      <c r="B229" s="53"/>
      <c r="C229" s="53"/>
      <c r="D229" s="155">
        <v>176</v>
      </c>
      <c r="E229" s="156" t="s">
        <v>157</v>
      </c>
      <c r="F229" s="16"/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.75" customHeight="1">
      <c r="A230" s="15"/>
      <c r="B230" s="15"/>
      <c r="C230" s="15"/>
      <c r="D230" s="16"/>
      <c r="E230" s="16"/>
      <c r="F230" s="16"/>
      <c r="G230" s="16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25.5" customHeight="1">
      <c r="A231" s="108" t="s">
        <v>158</v>
      </c>
      <c r="B231" s="109"/>
      <c r="C231" s="109"/>
      <c r="D231" s="49"/>
      <c r="E231" s="157" t="s">
        <v>159</v>
      </c>
      <c r="F231" s="158">
        <f>F226/D229</f>
        <v>0</v>
      </c>
      <c r="G231" s="16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2" customHeight="1"/>
    <row r="233" spans="1:26" ht="13.5" customHeight="1"/>
    <row r="234" spans="1:26" ht="9.75" customHeight="1"/>
    <row r="235" spans="1:26" ht="9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9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F43" sqref="F43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170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Motorista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Motorista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37" t="s">
        <v>22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164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163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Motorista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4.5%*D122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171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Motorista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Motorista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163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164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>
        <v>0</v>
      </c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3.5%*D122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D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173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 xml:space="preserve">1.1. Operador de Máquinas 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 xml:space="preserve">1.1. Operador de Máquinas 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174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28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1%*D122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175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 xml:space="preserve">1.1. Operador de Máquinas 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 xml:space="preserve">1.1. Operador de Máquinas 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174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28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1%*D122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176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177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Operador de Máquinas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Operador de Máquinas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174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178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1%*D122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D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179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 xml:space="preserve">1.1. Operador de Máquinas 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 xml:space="preserve">1.1. Operador de Máquinas 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174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28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1%*D122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180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Operador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Operador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163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181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4.5%*D122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182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Operador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Operador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163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181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v>70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IFERROR(VLOOKUP(C123,'[6]19.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IFERROR(VLOOKUP(C128,'[6]19.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4.5%*D122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78749999999999998" right="0.78749999999999998" top="1.05277777777778" bottom="1.05277777777778" header="0.78749999999999998" footer="0.78749999999999998"/>
  <pageSetup paperSize="9" firstPageNumber="0" fitToHeight="2" orientation="portrait" horizontalDpi="300" verticalDpi="300"/>
  <headerFooter>
    <oddHeader>&amp;C&amp;"Times New Roman,Normal"&amp;12&amp;A</oddHeader>
    <oddFooter>&amp;C&amp;"Times New Roman,Normal"&amp;12Página &amp;P</oddFooter>
  </headerFooter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183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Motorista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Motorista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163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164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>
        <v>0</v>
      </c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3.5%*D122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B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184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Operador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Operador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163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181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4.5%*D122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185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Operador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Operador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163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181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1%*D122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99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186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 xml:space="preserve">1.1. Operador de Máquinas 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+F188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F162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A164</f>
        <v>3.1.4. Consumos de óleo diesel</v>
      </c>
      <c r="B27" s="44"/>
      <c r="C27" s="38"/>
      <c r="D27" s="38"/>
      <c r="E27" s="39">
        <f>F172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A174</f>
        <v xml:space="preserve">3.1.5. Manutenção/Consumos </v>
      </c>
      <c r="B28" s="44"/>
      <c r="C28" s="38"/>
      <c r="D28" s="38"/>
      <c r="E28" s="39">
        <f>F177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A179</f>
        <v>3.1.6. Pneus</v>
      </c>
      <c r="B29" s="44"/>
      <c r="C29" s="38"/>
      <c r="D29" s="38"/>
      <c r="E29" s="39">
        <f>F186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A190</f>
        <v xml:space="preserve">4. Ferramentas e materiais </v>
      </c>
      <c r="B30" s="42"/>
      <c r="C30" s="32"/>
      <c r="D30" s="32"/>
      <c r="E30" s="33">
        <f>+F201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A203</f>
        <v xml:space="preserve">5. Monitoramento da frota  </v>
      </c>
      <c r="B31" s="42"/>
      <c r="C31" s="32"/>
      <c r="D31" s="32"/>
      <c r="E31" s="33">
        <f>+F212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A216</f>
        <v>4. Benefícios e Despesas Indiretas - BDI</v>
      </c>
      <c r="B32" s="42"/>
      <c r="C32" s="32"/>
      <c r="D32" s="32"/>
      <c r="E32" s="46">
        <f>+F222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 xml:space="preserve">1.1. Operador de Máquinas 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174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28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174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 xml:space="preserve">Operador de Máquinas 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>
        <v>0</v>
      </c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76" t="s">
        <v>166</v>
      </c>
      <c r="B158" s="77" t="s">
        <v>68</v>
      </c>
      <c r="C158" s="78">
        <f>C135</f>
        <v>0</v>
      </c>
      <c r="D158" s="113">
        <v>0</v>
      </c>
      <c r="E158" s="78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80" t="s">
        <v>117</v>
      </c>
      <c r="B159" s="81" t="s">
        <v>68</v>
      </c>
      <c r="C159" s="78">
        <f>C135</f>
        <v>0</v>
      </c>
      <c r="D159" s="138">
        <v>0</v>
      </c>
      <c r="E159" s="79">
        <f>C159*D159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80" t="s">
        <v>167</v>
      </c>
      <c r="B160" s="81" t="s">
        <v>68</v>
      </c>
      <c r="C160" s="78">
        <f>C133</f>
        <v>1</v>
      </c>
      <c r="D160" s="138"/>
      <c r="E160" s="79">
        <f>C160*D160</f>
        <v>0</v>
      </c>
      <c r="F160" s="86"/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128" t="s">
        <v>118</v>
      </c>
      <c r="B161" s="129" t="s">
        <v>35</v>
      </c>
      <c r="C161" s="129">
        <v>12</v>
      </c>
      <c r="D161" s="130">
        <f>SUM(E156:E160)</f>
        <v>0</v>
      </c>
      <c r="E161" s="130">
        <f>D161/C161</f>
        <v>0</v>
      </c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/>
      <c r="B162" s="15"/>
      <c r="C162" s="15"/>
      <c r="D162" s="90" t="s">
        <v>59</v>
      </c>
      <c r="E162" s="91">
        <f>E152</f>
        <v>1</v>
      </c>
      <c r="F162" s="92">
        <f>E161*E162</f>
        <v>0</v>
      </c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1.25" customHeight="1">
      <c r="A163" s="15"/>
      <c r="B163" s="15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5" t="s">
        <v>168</v>
      </c>
      <c r="B164" s="139"/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128" t="s">
        <v>120</v>
      </c>
      <c r="B166" s="140">
        <v>176</v>
      </c>
      <c r="C166" s="15"/>
      <c r="D166" s="16"/>
      <c r="E166" s="16"/>
      <c r="F166" s="16"/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15"/>
      <c r="B167" s="139"/>
      <c r="C167" s="15"/>
      <c r="D167" s="16"/>
      <c r="E167" s="16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2" t="s">
        <v>29</v>
      </c>
      <c r="B168" s="73" t="s">
        <v>30</v>
      </c>
      <c r="C168" s="73" t="s">
        <v>121</v>
      </c>
      <c r="D168" s="74" t="s">
        <v>31</v>
      </c>
      <c r="E168" s="74" t="s">
        <v>32</v>
      </c>
      <c r="F168" s="75" t="s">
        <v>33</v>
      </c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76" t="s">
        <v>122</v>
      </c>
      <c r="B169" s="77" t="s">
        <v>123</v>
      </c>
      <c r="C169" s="141"/>
      <c r="D169" s="142"/>
      <c r="E169" s="78"/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80" t="s">
        <v>125</v>
      </c>
      <c r="B170" s="81" t="s">
        <v>126</v>
      </c>
      <c r="C170" s="79">
        <f>B166</f>
        <v>176</v>
      </c>
      <c r="D170" s="143">
        <f>C169*D169</f>
        <v>0</v>
      </c>
      <c r="E170" s="79">
        <f>IFERROR(C170*D170,"-")</f>
        <v>0</v>
      </c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28" t="s">
        <v>127</v>
      </c>
      <c r="B171" s="129"/>
      <c r="C171" s="144"/>
      <c r="D171" s="145"/>
      <c r="E171" s="79"/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>
      <c r="A172" s="15"/>
      <c r="B172" s="15"/>
      <c r="C172" s="15"/>
      <c r="D172" s="16"/>
      <c r="E172" s="16"/>
      <c r="F172" s="118">
        <f>SUM(E169:E170)</f>
        <v>0</v>
      </c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1.25" customHeight="1">
      <c r="A173" s="15"/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5" t="s">
        <v>128</v>
      </c>
      <c r="B174" s="15"/>
      <c r="C174" s="15"/>
      <c r="D174" s="16"/>
      <c r="E174" s="16"/>
      <c r="F174" s="16"/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2" t="s">
        <v>29</v>
      </c>
      <c r="B175" s="73" t="s">
        <v>30</v>
      </c>
      <c r="C175" s="73" t="s">
        <v>20</v>
      </c>
      <c r="D175" s="74" t="s">
        <v>31</v>
      </c>
      <c r="E175" s="74" t="s">
        <v>32</v>
      </c>
      <c r="F175" s="75" t="s">
        <v>33</v>
      </c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76" t="s">
        <v>169</v>
      </c>
      <c r="B176" s="77" t="s">
        <v>130</v>
      </c>
      <c r="C176" s="79">
        <f>C170</f>
        <v>176</v>
      </c>
      <c r="D176" s="113"/>
      <c r="E176" s="78">
        <f>C176*D176</f>
        <v>0</v>
      </c>
      <c r="F176" s="16"/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>
      <c r="A177" s="15"/>
      <c r="B177" s="15"/>
      <c r="C177" s="15"/>
      <c r="D177" s="16"/>
      <c r="E177" s="16"/>
      <c r="F177" s="118">
        <f>E176</f>
        <v>0</v>
      </c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1.25" customHeight="1">
      <c r="A178" s="15"/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15" t="s">
        <v>131</v>
      </c>
      <c r="B179" s="15"/>
      <c r="C179" s="15"/>
      <c r="D179" s="16"/>
      <c r="E179" s="16"/>
      <c r="F179" s="16"/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2" t="s">
        <v>29</v>
      </c>
      <c r="B180" s="73" t="s">
        <v>30</v>
      </c>
      <c r="C180" s="73" t="s">
        <v>20</v>
      </c>
      <c r="D180" s="74" t="s">
        <v>31</v>
      </c>
      <c r="E180" s="74" t="s">
        <v>32</v>
      </c>
      <c r="F180" s="75" t="s">
        <v>33</v>
      </c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132</v>
      </c>
      <c r="B181" s="77" t="s">
        <v>68</v>
      </c>
      <c r="C181" s="146">
        <v>0</v>
      </c>
      <c r="D181" s="126">
        <v>6000</v>
      </c>
      <c r="E181" s="78">
        <f>C181*D181</f>
        <v>0</v>
      </c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133</v>
      </c>
      <c r="B182" s="77" t="s">
        <v>68</v>
      </c>
      <c r="C182" s="146">
        <v>2</v>
      </c>
      <c r="D182" s="78"/>
      <c r="E182" s="78"/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76" t="s">
        <v>134</v>
      </c>
      <c r="B183" s="77" t="s">
        <v>68</v>
      </c>
      <c r="C183" s="78">
        <f>C181*C182</f>
        <v>0</v>
      </c>
      <c r="D183" s="126">
        <v>3000</v>
      </c>
      <c r="E183" s="78">
        <f>C183*D183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135</v>
      </c>
      <c r="B184" s="81" t="s">
        <v>136</v>
      </c>
      <c r="C184" s="147">
        <v>10000</v>
      </c>
      <c r="D184" s="79">
        <f>E181+E183</f>
        <v>0</v>
      </c>
      <c r="E184" s="79">
        <f>IFERROR(D184/C184,"-")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80" t="s">
        <v>137</v>
      </c>
      <c r="B185" s="81" t="s">
        <v>138</v>
      </c>
      <c r="C185" s="79">
        <f>B166</f>
        <v>176</v>
      </c>
      <c r="D185" s="79">
        <f>E184</f>
        <v>0</v>
      </c>
      <c r="E185" s="79">
        <f>IFERROR(C185*D185,0)</f>
        <v>0</v>
      </c>
      <c r="F185" s="16"/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hidden="1" customHeight="1">
      <c r="A186" s="15"/>
      <c r="B186" s="15"/>
      <c r="C186" s="15"/>
      <c r="D186" s="16"/>
      <c r="E186" s="16"/>
      <c r="F186" s="118">
        <f>E185</f>
        <v>0</v>
      </c>
      <c r="G186" s="16"/>
      <c r="H186" s="15"/>
      <c r="I186" s="122"/>
      <c r="J186" s="122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1.25" customHeight="1">
      <c r="A187" s="15"/>
      <c r="B187" s="1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customHeight="1">
      <c r="A188" s="108" t="s">
        <v>139</v>
      </c>
      <c r="B188" s="109"/>
      <c r="C188" s="109"/>
      <c r="D188" s="49"/>
      <c r="E188" s="110"/>
      <c r="F188" s="118">
        <f>+SUM(F122:F187)</f>
        <v>0</v>
      </c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1.25" customHeight="1">
      <c r="A189" s="15"/>
      <c r="B189" s="1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hidden="1" customHeight="1">
      <c r="A190" s="36" t="s">
        <v>140</v>
      </c>
      <c r="B190" s="36"/>
      <c r="C190" s="36"/>
      <c r="D190" s="35"/>
      <c r="E190" s="35"/>
      <c r="F190" s="8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1.25" hidden="1" customHeight="1">
      <c r="A191" s="15"/>
      <c r="B191" s="15"/>
      <c r="C191" s="15"/>
      <c r="D191" s="16"/>
      <c r="E191" s="16"/>
      <c r="F191" s="16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72" t="s">
        <v>29</v>
      </c>
      <c r="B192" s="73" t="s">
        <v>30</v>
      </c>
      <c r="C192" s="73" t="s">
        <v>20</v>
      </c>
      <c r="D192" s="74" t="s">
        <v>31</v>
      </c>
      <c r="E192" s="74" t="s">
        <v>32</v>
      </c>
      <c r="F192" s="75" t="s">
        <v>33</v>
      </c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 t="s">
        <v>141</v>
      </c>
      <c r="B193" s="81" t="s">
        <v>68</v>
      </c>
      <c r="C193" s="148">
        <v>0</v>
      </c>
      <c r="D193" s="126">
        <v>50</v>
      </c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48"/>
      <c r="D195" s="126"/>
      <c r="E195" s="79">
        <f>C195*D195</f>
        <v>0</v>
      </c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112"/>
      <c r="D196" s="126"/>
      <c r="E196" s="79"/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/>
      <c r="B197" s="81"/>
      <c r="C197" s="79"/>
      <c r="D197" s="99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80" t="s">
        <v>142</v>
      </c>
      <c r="B198" s="81" t="s">
        <v>143</v>
      </c>
      <c r="C198" s="148"/>
      <c r="D198" s="126"/>
      <c r="E198" s="79">
        <f>C198*D198</f>
        <v>0</v>
      </c>
      <c r="F198" s="121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hidden="1" customHeight="1">
      <c r="A199" s="36"/>
      <c r="B199" s="36"/>
      <c r="C199" s="36"/>
      <c r="D199" s="36"/>
      <c r="E199" s="35"/>
      <c r="F199" s="118">
        <f>SUM(E193:E198)</f>
        <v>0</v>
      </c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1.25" hidden="1" customHeight="1">
      <c r="A200" s="15"/>
      <c r="B200" s="15"/>
      <c r="C200" s="15"/>
      <c r="D200" s="16"/>
      <c r="E200" s="16"/>
      <c r="F200" s="16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hidden="1" customHeight="1">
      <c r="A201" s="108" t="s">
        <v>144</v>
      </c>
      <c r="B201" s="109"/>
      <c r="C201" s="109"/>
      <c r="D201" s="49"/>
      <c r="E201" s="110"/>
      <c r="F201" s="118">
        <f>+F199</f>
        <v>0</v>
      </c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1.25" hidden="1" customHeight="1">
      <c r="A202" s="15"/>
      <c r="B202" s="15"/>
      <c r="C202" s="15"/>
      <c r="D202" s="16"/>
      <c r="E202" s="16"/>
      <c r="F202" s="16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hidden="1" customHeight="1">
      <c r="A203" s="36" t="s">
        <v>145</v>
      </c>
      <c r="B203" s="36"/>
      <c r="C203" s="36"/>
      <c r="D203" s="35"/>
      <c r="E203" s="35"/>
      <c r="F203" s="8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1.25" hidden="1" customHeight="1">
      <c r="A204" s="15"/>
      <c r="B204" s="15"/>
      <c r="C204" s="15"/>
      <c r="D204" s="16"/>
      <c r="E204" s="16"/>
      <c r="F204" s="16"/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72" t="s">
        <v>29</v>
      </c>
      <c r="B205" s="73" t="s">
        <v>30</v>
      </c>
      <c r="C205" s="73" t="s">
        <v>20</v>
      </c>
      <c r="D205" s="74" t="s">
        <v>31</v>
      </c>
      <c r="E205" s="74" t="s">
        <v>32</v>
      </c>
      <c r="F205" s="75" t="s">
        <v>33</v>
      </c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146</v>
      </c>
      <c r="B206" s="149" t="s">
        <v>143</v>
      </c>
      <c r="C206" s="102">
        <v>0</v>
      </c>
      <c r="D206" s="99">
        <v>600</v>
      </c>
      <c r="E206" s="79">
        <f>+D206*C206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147</v>
      </c>
      <c r="B207" s="149" t="s">
        <v>35</v>
      </c>
      <c r="C207" s="81">
        <v>60</v>
      </c>
      <c r="D207" s="150">
        <f>SUM(E206)</f>
        <v>0</v>
      </c>
      <c r="E207" s="150">
        <f>+D207/C207</f>
        <v>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35</v>
      </c>
      <c r="C208" s="81">
        <v>1</v>
      </c>
      <c r="D208" s="99">
        <v>100</v>
      </c>
      <c r="E208" s="79">
        <f>C208*D208</f>
        <v>100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80" t="s">
        <v>148</v>
      </c>
      <c r="B209" s="149" t="s">
        <v>149</v>
      </c>
      <c r="C209" s="81">
        <v>0</v>
      </c>
      <c r="D209" s="150">
        <f>+E208</f>
        <v>100</v>
      </c>
      <c r="E209" s="150">
        <f>C209*D209</f>
        <v>0</v>
      </c>
      <c r="F209" s="121"/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hidden="1" customHeight="1">
      <c r="A210" s="101"/>
      <c r="B210" s="101"/>
      <c r="C210" s="15"/>
      <c r="D210" s="90" t="s">
        <v>59</v>
      </c>
      <c r="E210" s="91">
        <f>E152</f>
        <v>1</v>
      </c>
      <c r="F210" s="118">
        <f>(E209+E207)*E210</f>
        <v>0</v>
      </c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1.25" hidden="1" customHeight="1">
      <c r="A211" s="15"/>
      <c r="B211" s="15"/>
      <c r="C211" s="15"/>
      <c r="D211" s="16"/>
      <c r="E211" s="16"/>
      <c r="F211" s="16"/>
      <c r="G211" s="151"/>
      <c r="H211" s="152"/>
      <c r="I211" s="152"/>
      <c r="J211" s="152"/>
      <c r="K211" s="152"/>
      <c r="L211" s="152"/>
      <c r="M211" s="152"/>
      <c r="N211" s="152"/>
      <c r="O211" s="152"/>
      <c r="P211" s="152"/>
      <c r="Q211" s="152"/>
      <c r="R211" s="152"/>
      <c r="S211" s="152"/>
      <c r="T211" s="152"/>
      <c r="U211" s="152"/>
      <c r="V211" s="152"/>
      <c r="W211" s="152"/>
      <c r="X211" s="152"/>
      <c r="Y211" s="152"/>
      <c r="Z211" s="152"/>
    </row>
    <row r="212" spans="1:26" ht="12.75" hidden="1" customHeight="1">
      <c r="A212" s="108" t="s">
        <v>150</v>
      </c>
      <c r="B212" s="109"/>
      <c r="C212" s="109"/>
      <c r="D212" s="49"/>
      <c r="E212" s="110"/>
      <c r="F212" s="118">
        <f>+F210</f>
        <v>0</v>
      </c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1.25" customHeight="1">
      <c r="A213" s="15"/>
      <c r="B213" s="15"/>
      <c r="C213" s="15"/>
      <c r="D213" s="16"/>
      <c r="E213" s="16"/>
      <c r="F213" s="16"/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7.25" customHeight="1">
      <c r="A214" s="108" t="s">
        <v>151</v>
      </c>
      <c r="B214" s="115"/>
      <c r="C214" s="115"/>
      <c r="D214" s="116"/>
      <c r="E214" s="117"/>
      <c r="F214" s="98">
        <f>+F93+F114+F188+F201+F212</f>
        <v>0</v>
      </c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1.25" customHeight="1">
      <c r="A215" s="15"/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>
      <c r="A216" s="36" t="s">
        <v>152</v>
      </c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1.25" customHeight="1">
      <c r="A217" s="15"/>
      <c r="B217" s="15"/>
      <c r="C217" s="15"/>
      <c r="D217" s="16"/>
      <c r="E217" s="16"/>
      <c r="F217" s="16"/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2" t="s">
        <v>29</v>
      </c>
      <c r="B218" s="73" t="s">
        <v>30</v>
      </c>
      <c r="C218" s="73" t="s">
        <v>20</v>
      </c>
      <c r="D218" s="74" t="s">
        <v>31</v>
      </c>
      <c r="E218" s="74" t="s">
        <v>32</v>
      </c>
      <c r="F218" s="75" t="s">
        <v>33</v>
      </c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76" t="s">
        <v>153</v>
      </c>
      <c r="B219" s="77" t="s">
        <v>14</v>
      </c>
      <c r="C219" s="88">
        <f>'26.BDI'!C21*100</f>
        <v>18.96</v>
      </c>
      <c r="D219" s="78">
        <f>+F214</f>
        <v>0</v>
      </c>
      <c r="E219" s="78">
        <f>C219*D219/100</f>
        <v>0</v>
      </c>
      <c r="F219" s="16"/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>
      <c r="A220" s="15"/>
      <c r="B220" s="15"/>
      <c r="C220" s="15"/>
      <c r="D220" s="16"/>
      <c r="E220" s="16"/>
      <c r="F220" s="118">
        <f>+E219</f>
        <v>0</v>
      </c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1.25" customHeight="1">
      <c r="A221" s="15"/>
      <c r="B221" s="15"/>
      <c r="C221" s="15"/>
      <c r="D221" s="16"/>
      <c r="E221" s="16"/>
      <c r="F221" s="16"/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108" t="s">
        <v>154</v>
      </c>
      <c r="B222" s="115"/>
      <c r="C222" s="115"/>
      <c r="D222" s="116"/>
      <c r="E222" s="117"/>
      <c r="F222" s="98">
        <f>F220</f>
        <v>0</v>
      </c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>
      <c r="A223" s="36"/>
      <c r="B223" s="36"/>
      <c r="C223" s="36"/>
      <c r="D223" s="35"/>
      <c r="E223" s="35"/>
      <c r="F223" s="8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1.25" customHeight="1">
      <c r="A224" s="15"/>
      <c r="B224" s="15"/>
      <c r="C224" s="15"/>
      <c r="D224" s="16"/>
      <c r="E224" s="16"/>
      <c r="F224" s="16"/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24.75" customHeight="1">
      <c r="A225" s="108" t="s">
        <v>155</v>
      </c>
      <c r="B225" s="115"/>
      <c r="C225" s="115"/>
      <c r="D225" s="116"/>
      <c r="E225" s="117"/>
      <c r="F225" s="98">
        <f>F214+F222</f>
        <v>0</v>
      </c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" customHeight="1">
      <c r="A226" s="14"/>
      <c r="B226" s="14"/>
      <c r="C226" s="14"/>
      <c r="D226" s="153"/>
      <c r="E226" s="153"/>
      <c r="F226" s="153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>
      <c r="A227" s="23"/>
      <c r="B227" s="23"/>
      <c r="C227" s="23"/>
      <c r="D227" s="22"/>
      <c r="E227" s="22"/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customHeight="1">
      <c r="A228" s="154" t="s">
        <v>156</v>
      </c>
      <c r="B228" s="53"/>
      <c r="C228" s="53"/>
      <c r="D228" s="155">
        <v>176</v>
      </c>
      <c r="E228" s="156" t="s">
        <v>157</v>
      </c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.75" customHeight="1">
      <c r="A229" s="15"/>
      <c r="B229" s="15"/>
      <c r="C229" s="15"/>
      <c r="D229" s="16"/>
      <c r="E229" s="16"/>
      <c r="F229" s="16"/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25.5" customHeight="1">
      <c r="A230" s="108" t="s">
        <v>158</v>
      </c>
      <c r="B230" s="109"/>
      <c r="C230" s="109"/>
      <c r="D230" s="49"/>
      <c r="E230" s="157" t="s">
        <v>159</v>
      </c>
      <c r="F230" s="158">
        <f>F225/D228</f>
        <v>0</v>
      </c>
      <c r="G230" s="16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2" customHeight="1"/>
    <row r="232" spans="1:26" ht="13.5" customHeight="1"/>
    <row r="233" spans="1:26" ht="9.75" customHeight="1"/>
    <row r="234" spans="1:26" ht="9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9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99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187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 xml:space="preserve">1.1. Operador de Máquinas 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+F186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F170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A172</f>
        <v xml:space="preserve">3.1.5. Manutenção/Consumos </v>
      </c>
      <c r="B28" s="44"/>
      <c r="C28" s="38"/>
      <c r="D28" s="38"/>
      <c r="E28" s="39">
        <f>F175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A177</f>
        <v>3.1.6. Pneus</v>
      </c>
      <c r="B29" s="44"/>
      <c r="C29" s="38"/>
      <c r="D29" s="38"/>
      <c r="E29" s="39">
        <f>F184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A188</f>
        <v xml:space="preserve">4. Ferramentas e materiais </v>
      </c>
      <c r="B30" s="42"/>
      <c r="C30" s="32"/>
      <c r="D30" s="32"/>
      <c r="E30" s="33">
        <f>+F199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A201</f>
        <v xml:space="preserve">5. Monitoramento da frota  </v>
      </c>
      <c r="B31" s="42"/>
      <c r="C31" s="32"/>
      <c r="D31" s="32"/>
      <c r="E31" s="33">
        <f>+F210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A214</f>
        <v>4. Benefícios e Despesas Indiretas - BDI</v>
      </c>
      <c r="B32" s="42"/>
      <c r="C32" s="32"/>
      <c r="D32" s="32"/>
      <c r="E32" s="46">
        <f>+F220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 xml:space="preserve">1.1. Operador de Máquinas 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174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28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163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Motorista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1%*D122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80" t="s">
        <v>125</v>
      </c>
      <c r="B168" s="81" t="s">
        <v>126</v>
      </c>
      <c r="C168" s="79">
        <f>B164</f>
        <v>176</v>
      </c>
      <c r="D168" s="143">
        <f>C167*D167</f>
        <v>0</v>
      </c>
      <c r="E168" s="79">
        <f>IFERROR(C168*D168,"-")</f>
        <v>0</v>
      </c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128" t="s">
        <v>127</v>
      </c>
      <c r="B169" s="129"/>
      <c r="C169" s="144"/>
      <c r="D169" s="145"/>
      <c r="E169" s="79"/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5"/>
      <c r="B170" s="15"/>
      <c r="C170" s="15"/>
      <c r="D170" s="16"/>
      <c r="E170" s="16"/>
      <c r="F170" s="118">
        <f>SUM(E167:E168)</f>
        <v>0</v>
      </c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1.25" customHeight="1">
      <c r="A171" s="15"/>
      <c r="B171" s="15"/>
      <c r="C171" s="15"/>
      <c r="D171" s="16"/>
      <c r="E171" s="16"/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>
      <c r="A172" s="15" t="s">
        <v>128</v>
      </c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72" t="s">
        <v>29</v>
      </c>
      <c r="B173" s="73" t="s">
        <v>30</v>
      </c>
      <c r="C173" s="73" t="s">
        <v>20</v>
      </c>
      <c r="D173" s="74" t="s">
        <v>31</v>
      </c>
      <c r="E173" s="74" t="s">
        <v>32</v>
      </c>
      <c r="F173" s="75" t="s">
        <v>33</v>
      </c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6" t="s">
        <v>169</v>
      </c>
      <c r="B174" s="77" t="s">
        <v>130</v>
      </c>
      <c r="C174" s="79">
        <f>C168</f>
        <v>176</v>
      </c>
      <c r="D174" s="113"/>
      <c r="E174" s="78">
        <f>C174*D174</f>
        <v>0</v>
      </c>
      <c r="F174" s="16"/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15"/>
      <c r="B175" s="15"/>
      <c r="C175" s="15"/>
      <c r="D175" s="16"/>
      <c r="E175" s="16"/>
      <c r="F175" s="118">
        <f>E174</f>
        <v>0</v>
      </c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1.25" customHeight="1">
      <c r="A176" s="15"/>
      <c r="B176" s="15"/>
      <c r="C176" s="15"/>
      <c r="D176" s="16"/>
      <c r="E176" s="16"/>
      <c r="F176" s="16"/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hidden="1" customHeight="1">
      <c r="A177" s="15" t="s">
        <v>131</v>
      </c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72" t="s">
        <v>29</v>
      </c>
      <c r="B178" s="73" t="s">
        <v>30</v>
      </c>
      <c r="C178" s="73" t="s">
        <v>20</v>
      </c>
      <c r="D178" s="74" t="s">
        <v>31</v>
      </c>
      <c r="E178" s="74" t="s">
        <v>32</v>
      </c>
      <c r="F178" s="75" t="s">
        <v>33</v>
      </c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6" t="s">
        <v>132</v>
      </c>
      <c r="B179" s="77" t="s">
        <v>68</v>
      </c>
      <c r="C179" s="146">
        <v>0</v>
      </c>
      <c r="D179" s="126">
        <v>6000</v>
      </c>
      <c r="E179" s="78">
        <f>C179*D179</f>
        <v>0</v>
      </c>
      <c r="F179" s="16"/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133</v>
      </c>
      <c r="B180" s="77" t="s">
        <v>68</v>
      </c>
      <c r="C180" s="146">
        <v>2</v>
      </c>
      <c r="D180" s="78"/>
      <c r="E180" s="78"/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134</v>
      </c>
      <c r="B181" s="77" t="s">
        <v>68</v>
      </c>
      <c r="C181" s="78">
        <f>C179*C180</f>
        <v>0</v>
      </c>
      <c r="D181" s="126">
        <v>3000</v>
      </c>
      <c r="E181" s="78">
        <f>C181*D181</f>
        <v>0</v>
      </c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80" t="s">
        <v>135</v>
      </c>
      <c r="B182" s="81" t="s">
        <v>136</v>
      </c>
      <c r="C182" s="147">
        <v>10000</v>
      </c>
      <c r="D182" s="79">
        <f>E179+E181</f>
        <v>0</v>
      </c>
      <c r="E182" s="79">
        <f>IFERROR(D182/C182,"-")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137</v>
      </c>
      <c r="B183" s="81" t="s">
        <v>138</v>
      </c>
      <c r="C183" s="79">
        <f>B164</f>
        <v>176</v>
      </c>
      <c r="D183" s="79">
        <f>E182</f>
        <v>0</v>
      </c>
      <c r="E183" s="79">
        <f>IFERROR(C183*D183,0)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15"/>
      <c r="B184" s="15"/>
      <c r="C184" s="15"/>
      <c r="D184" s="16"/>
      <c r="E184" s="16"/>
      <c r="F184" s="118">
        <f>E183</f>
        <v>0</v>
      </c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1.25" customHeight="1">
      <c r="A185" s="15"/>
      <c r="B185" s="1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>
      <c r="A186" s="108" t="s">
        <v>139</v>
      </c>
      <c r="B186" s="109"/>
      <c r="C186" s="109"/>
      <c r="D186" s="49"/>
      <c r="E186" s="110"/>
      <c r="F186" s="118">
        <f>+SUM(F122:F185)</f>
        <v>0</v>
      </c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1.25" customHeight="1">
      <c r="A187" s="15"/>
      <c r="B187" s="1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hidden="1" customHeight="1">
      <c r="A188" s="36" t="s">
        <v>140</v>
      </c>
      <c r="B188" s="36"/>
      <c r="C188" s="36"/>
      <c r="D188" s="35"/>
      <c r="E188" s="35"/>
      <c r="F188" s="8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1.25" hidden="1" customHeight="1">
      <c r="A189" s="15"/>
      <c r="B189" s="1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hidden="1" customHeight="1">
      <c r="A190" s="72" t="s">
        <v>29</v>
      </c>
      <c r="B190" s="73" t="s">
        <v>30</v>
      </c>
      <c r="C190" s="73" t="s">
        <v>20</v>
      </c>
      <c r="D190" s="74" t="s">
        <v>31</v>
      </c>
      <c r="E190" s="74" t="s">
        <v>32</v>
      </c>
      <c r="F190" s="75" t="s">
        <v>33</v>
      </c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80" t="s">
        <v>141</v>
      </c>
      <c r="B191" s="81" t="s">
        <v>68</v>
      </c>
      <c r="C191" s="148">
        <v>0</v>
      </c>
      <c r="D191" s="126">
        <v>50</v>
      </c>
      <c r="E191" s="79">
        <f>C191*D191</f>
        <v>0</v>
      </c>
      <c r="F191" s="121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/>
      <c r="B192" s="81"/>
      <c r="C192" s="148"/>
      <c r="D192" s="126"/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12"/>
      <c r="D194" s="126"/>
      <c r="E194" s="79"/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79"/>
      <c r="D195" s="99"/>
      <c r="E195" s="79">
        <f>C195*D195</f>
        <v>0</v>
      </c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 t="s">
        <v>142</v>
      </c>
      <c r="B196" s="81" t="s">
        <v>143</v>
      </c>
      <c r="C196" s="148"/>
      <c r="D196" s="126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36"/>
      <c r="B197" s="36"/>
      <c r="C197" s="36"/>
      <c r="D197" s="36"/>
      <c r="E197" s="35"/>
      <c r="F197" s="118">
        <f>SUM(E191:E196)</f>
        <v>0</v>
      </c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1.25" hidden="1" customHeight="1">
      <c r="A198" s="15"/>
      <c r="B198" s="15"/>
      <c r="C198" s="15"/>
      <c r="D198" s="16"/>
      <c r="E198" s="16"/>
      <c r="F198" s="16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hidden="1" customHeight="1">
      <c r="A199" s="108" t="s">
        <v>144</v>
      </c>
      <c r="B199" s="109"/>
      <c r="C199" s="109"/>
      <c r="D199" s="49"/>
      <c r="E199" s="110"/>
      <c r="F199" s="118">
        <f>+F197</f>
        <v>0</v>
      </c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1.25" hidden="1" customHeight="1">
      <c r="A200" s="15"/>
      <c r="B200" s="15"/>
      <c r="C200" s="15"/>
      <c r="D200" s="16"/>
      <c r="E200" s="16"/>
      <c r="F200" s="16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hidden="1" customHeight="1">
      <c r="A201" s="36" t="s">
        <v>145</v>
      </c>
      <c r="B201" s="36"/>
      <c r="C201" s="36"/>
      <c r="D201" s="35"/>
      <c r="E201" s="35"/>
      <c r="F201" s="86"/>
      <c r="G201" s="16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1.25" hidden="1" customHeight="1">
      <c r="A202" s="15"/>
      <c r="B202" s="15"/>
      <c r="C202" s="15"/>
      <c r="D202" s="16"/>
      <c r="E202" s="16"/>
      <c r="F202" s="1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hidden="1" customHeight="1">
      <c r="A203" s="72" t="s">
        <v>29</v>
      </c>
      <c r="B203" s="73" t="s">
        <v>30</v>
      </c>
      <c r="C203" s="73" t="s">
        <v>20</v>
      </c>
      <c r="D203" s="74" t="s">
        <v>31</v>
      </c>
      <c r="E203" s="74" t="s">
        <v>32</v>
      </c>
      <c r="F203" s="75" t="s">
        <v>33</v>
      </c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80" t="s">
        <v>146</v>
      </c>
      <c r="B204" s="149" t="s">
        <v>143</v>
      </c>
      <c r="C204" s="102">
        <v>0</v>
      </c>
      <c r="D204" s="99">
        <v>600</v>
      </c>
      <c r="E204" s="79">
        <f>+D204*C204</f>
        <v>0</v>
      </c>
      <c r="F204" s="121"/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147</v>
      </c>
      <c r="B205" s="149" t="s">
        <v>35</v>
      </c>
      <c r="C205" s="81">
        <v>60</v>
      </c>
      <c r="D205" s="150">
        <f>SUM(E204)</f>
        <v>0</v>
      </c>
      <c r="E205" s="150">
        <f>+D205/C205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148</v>
      </c>
      <c r="B206" s="149" t="s">
        <v>35</v>
      </c>
      <c r="C206" s="81">
        <v>1</v>
      </c>
      <c r="D206" s="99">
        <v>100</v>
      </c>
      <c r="E206" s="79">
        <f>C206*D206</f>
        <v>100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149</v>
      </c>
      <c r="C207" s="81">
        <v>0</v>
      </c>
      <c r="D207" s="150">
        <f>+E206</f>
        <v>100</v>
      </c>
      <c r="E207" s="150">
        <f>C207*D207</f>
        <v>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101"/>
      <c r="B208" s="101"/>
      <c r="C208" s="15"/>
      <c r="D208" s="90" t="s">
        <v>59</v>
      </c>
      <c r="E208" s="91">
        <f>E152</f>
        <v>1</v>
      </c>
      <c r="F208" s="118">
        <f>(E207+E205)*E208</f>
        <v>0</v>
      </c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1.25" hidden="1" customHeight="1">
      <c r="A209" s="15"/>
      <c r="B209" s="15"/>
      <c r="C209" s="15"/>
      <c r="D209" s="16"/>
      <c r="E209" s="16"/>
      <c r="F209" s="16"/>
      <c r="G209" s="151"/>
      <c r="H209" s="152"/>
      <c r="I209" s="152"/>
      <c r="J209" s="152"/>
      <c r="K209" s="152"/>
      <c r="L209" s="152"/>
      <c r="M209" s="152"/>
      <c r="N209" s="152"/>
      <c r="O209" s="152"/>
      <c r="P209" s="152"/>
      <c r="Q209" s="152"/>
      <c r="R209" s="152"/>
      <c r="S209" s="152"/>
      <c r="T209" s="152"/>
      <c r="U209" s="152"/>
      <c r="V209" s="152"/>
      <c r="W209" s="152"/>
      <c r="X209" s="152"/>
      <c r="Y209" s="152"/>
      <c r="Z209" s="152"/>
    </row>
    <row r="210" spans="1:26" ht="12.75" hidden="1" customHeight="1">
      <c r="A210" s="108" t="s">
        <v>150</v>
      </c>
      <c r="B210" s="109"/>
      <c r="C210" s="109"/>
      <c r="D210" s="49"/>
      <c r="E210" s="110"/>
      <c r="F210" s="118">
        <f>+F208</f>
        <v>0</v>
      </c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1.25" customHeight="1">
      <c r="A211" s="15"/>
      <c r="B211" s="15"/>
      <c r="C211" s="15"/>
      <c r="D211" s="16"/>
      <c r="E211" s="16"/>
      <c r="F211" s="16"/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7.25" customHeight="1">
      <c r="A212" s="108" t="s">
        <v>151</v>
      </c>
      <c r="B212" s="115"/>
      <c r="C212" s="115"/>
      <c r="D212" s="116"/>
      <c r="E212" s="117"/>
      <c r="F212" s="98">
        <f>+F93+F114+F186+F199+F210</f>
        <v>0</v>
      </c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1.25" customHeight="1">
      <c r="A213" s="15"/>
      <c r="B213" s="15"/>
      <c r="C213" s="15"/>
      <c r="D213" s="16"/>
      <c r="E213" s="16"/>
      <c r="F213" s="16"/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>
      <c r="A214" s="36" t="s">
        <v>152</v>
      </c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1.25" customHeight="1">
      <c r="A215" s="15"/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>
      <c r="A216" s="72" t="s">
        <v>29</v>
      </c>
      <c r="B216" s="73" t="s">
        <v>30</v>
      </c>
      <c r="C216" s="73" t="s">
        <v>20</v>
      </c>
      <c r="D216" s="74" t="s">
        <v>31</v>
      </c>
      <c r="E216" s="74" t="s">
        <v>32</v>
      </c>
      <c r="F216" s="75" t="s">
        <v>33</v>
      </c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6" t="s">
        <v>153</v>
      </c>
      <c r="B217" s="77" t="s">
        <v>14</v>
      </c>
      <c r="C217" s="88">
        <f>'26.BDI'!C21*100</f>
        <v>18.96</v>
      </c>
      <c r="D217" s="78">
        <f>+F212</f>
        <v>0</v>
      </c>
      <c r="E217" s="78">
        <f>C217*D217/100</f>
        <v>0</v>
      </c>
      <c r="F217" s="16"/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15"/>
      <c r="B218" s="15"/>
      <c r="C218" s="15"/>
      <c r="D218" s="16"/>
      <c r="E218" s="16"/>
      <c r="F218" s="118">
        <f>+E217</f>
        <v>0</v>
      </c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1.25" customHeight="1">
      <c r="A219" s="15"/>
      <c r="B219" s="15"/>
      <c r="C219" s="15"/>
      <c r="D219" s="16"/>
      <c r="E219" s="16"/>
      <c r="F219" s="16"/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>
      <c r="A220" s="108" t="s">
        <v>154</v>
      </c>
      <c r="B220" s="115"/>
      <c r="C220" s="115"/>
      <c r="D220" s="116"/>
      <c r="E220" s="117"/>
      <c r="F220" s="98">
        <f>F218</f>
        <v>0</v>
      </c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36"/>
      <c r="B221" s="36"/>
      <c r="C221" s="36"/>
      <c r="D221" s="35"/>
      <c r="E221" s="35"/>
      <c r="F221" s="86"/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1.25" customHeight="1">
      <c r="A222" s="15"/>
      <c r="B222" s="15"/>
      <c r="C222" s="15"/>
      <c r="D222" s="16"/>
      <c r="E222" s="16"/>
      <c r="F222" s="1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24.75" customHeight="1">
      <c r="A223" s="108" t="s">
        <v>155</v>
      </c>
      <c r="B223" s="115"/>
      <c r="C223" s="115"/>
      <c r="D223" s="116"/>
      <c r="E223" s="117"/>
      <c r="F223" s="98">
        <f>F212+F220</f>
        <v>0</v>
      </c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2" customHeight="1">
      <c r="A224" s="14"/>
      <c r="B224" s="14"/>
      <c r="C224" s="14"/>
      <c r="D224" s="153"/>
      <c r="E224" s="153"/>
      <c r="F224" s="153"/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>
      <c r="A225" s="23"/>
      <c r="B225" s="23"/>
      <c r="C225" s="23"/>
      <c r="D225" s="22"/>
      <c r="E225" s="22"/>
      <c r="F225" s="16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>
      <c r="A226" s="154" t="s">
        <v>156</v>
      </c>
      <c r="B226" s="53"/>
      <c r="C226" s="53"/>
      <c r="D226" s="155">
        <v>176</v>
      </c>
      <c r="E226" s="156" t="s">
        <v>157</v>
      </c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>
      <c r="A227" s="15"/>
      <c r="B227" s="15"/>
      <c r="C227" s="15"/>
      <c r="D227" s="16"/>
      <c r="E227" s="16"/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25.5" customHeight="1">
      <c r="A228" s="108" t="s">
        <v>158</v>
      </c>
      <c r="B228" s="109"/>
      <c r="C228" s="109"/>
      <c r="D228" s="49"/>
      <c r="E228" s="157" t="s">
        <v>159</v>
      </c>
      <c r="F228" s="158">
        <f>F223/D226</f>
        <v>0</v>
      </c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" customHeight="1"/>
    <row r="230" spans="1:26" ht="13.5" customHeight="1"/>
    <row r="231" spans="1:26" ht="9.75" customHeight="1"/>
    <row r="232" spans="1:26" ht="9.75" customHeight="1"/>
    <row r="233" spans="1:26" ht="12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9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B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188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Motorista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Motorista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37" t="s">
        <v>22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164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163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Motorista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4.5%*D122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99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189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 xml:space="preserve">1.1. Operador de Máquinas 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+F186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F170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A172</f>
        <v xml:space="preserve">3.1.5. Manutenção/Consumos </v>
      </c>
      <c r="B28" s="44"/>
      <c r="C28" s="38"/>
      <c r="D28" s="38"/>
      <c r="E28" s="39">
        <f>F175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A177</f>
        <v>3.1.6. Pneus</v>
      </c>
      <c r="B29" s="44"/>
      <c r="C29" s="38"/>
      <c r="D29" s="38"/>
      <c r="E29" s="39">
        <f>F184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A188</f>
        <v xml:space="preserve">4. Ferramentas e materiais </v>
      </c>
      <c r="B30" s="42"/>
      <c r="C30" s="32"/>
      <c r="D30" s="32"/>
      <c r="E30" s="33">
        <f>+F199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A201</f>
        <v xml:space="preserve">5. Monitoramento da frota  </v>
      </c>
      <c r="B31" s="42"/>
      <c r="C31" s="32"/>
      <c r="D31" s="32"/>
      <c r="E31" s="33">
        <f>+F210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A214</f>
        <v>4. Benefícios e Despesas Indiretas - BDI</v>
      </c>
      <c r="B32" s="42"/>
      <c r="C32" s="32"/>
      <c r="D32" s="32"/>
      <c r="E32" s="46">
        <f>+F220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 xml:space="preserve">1.1. Operador de Máquinas 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174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28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163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Motorista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1%*D122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80" t="s">
        <v>125</v>
      </c>
      <c r="B168" s="81" t="s">
        <v>126</v>
      </c>
      <c r="C168" s="79">
        <f>B164</f>
        <v>176</v>
      </c>
      <c r="D168" s="143">
        <f>C167*D167</f>
        <v>0</v>
      </c>
      <c r="E168" s="79">
        <f>IFERROR(C168*D168,"-")</f>
        <v>0</v>
      </c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128" t="s">
        <v>127</v>
      </c>
      <c r="B169" s="129"/>
      <c r="C169" s="144"/>
      <c r="D169" s="145"/>
      <c r="E169" s="79"/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5"/>
      <c r="B170" s="15"/>
      <c r="C170" s="15"/>
      <c r="D170" s="16"/>
      <c r="E170" s="16"/>
      <c r="F170" s="118">
        <f>SUM(E167:E168)</f>
        <v>0</v>
      </c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1.25" customHeight="1">
      <c r="A171" s="15"/>
      <c r="B171" s="15"/>
      <c r="C171" s="15"/>
      <c r="D171" s="16"/>
      <c r="E171" s="16"/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>
      <c r="A172" s="15" t="s">
        <v>128</v>
      </c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72" t="s">
        <v>29</v>
      </c>
      <c r="B173" s="73" t="s">
        <v>30</v>
      </c>
      <c r="C173" s="73" t="s">
        <v>20</v>
      </c>
      <c r="D173" s="74" t="s">
        <v>31</v>
      </c>
      <c r="E173" s="74" t="s">
        <v>32</v>
      </c>
      <c r="F173" s="75" t="s">
        <v>33</v>
      </c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6" t="s">
        <v>169</v>
      </c>
      <c r="B174" s="77" t="s">
        <v>130</v>
      </c>
      <c r="C174" s="79">
        <f>C168</f>
        <v>176</v>
      </c>
      <c r="D174" s="113"/>
      <c r="E174" s="78">
        <f>C174*D174</f>
        <v>0</v>
      </c>
      <c r="F174" s="16"/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15"/>
      <c r="B175" s="15"/>
      <c r="C175" s="15"/>
      <c r="D175" s="16"/>
      <c r="E175" s="16"/>
      <c r="F175" s="118">
        <f>E174</f>
        <v>0</v>
      </c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1.25" customHeight="1">
      <c r="A176" s="15"/>
      <c r="B176" s="15"/>
      <c r="C176" s="15"/>
      <c r="D176" s="16"/>
      <c r="E176" s="16"/>
      <c r="F176" s="16"/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hidden="1" customHeight="1">
      <c r="A177" s="15" t="s">
        <v>131</v>
      </c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72" t="s">
        <v>29</v>
      </c>
      <c r="B178" s="73" t="s">
        <v>30</v>
      </c>
      <c r="C178" s="73" t="s">
        <v>20</v>
      </c>
      <c r="D178" s="74" t="s">
        <v>31</v>
      </c>
      <c r="E178" s="74" t="s">
        <v>32</v>
      </c>
      <c r="F178" s="75" t="s">
        <v>33</v>
      </c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6" t="s">
        <v>132</v>
      </c>
      <c r="B179" s="77" t="s">
        <v>68</v>
      </c>
      <c r="C179" s="146">
        <v>0</v>
      </c>
      <c r="D179" s="126">
        <v>6000</v>
      </c>
      <c r="E179" s="78">
        <f>C179*D179</f>
        <v>0</v>
      </c>
      <c r="F179" s="16"/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133</v>
      </c>
      <c r="B180" s="77" t="s">
        <v>68</v>
      </c>
      <c r="C180" s="146">
        <v>2</v>
      </c>
      <c r="D180" s="78"/>
      <c r="E180" s="78"/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134</v>
      </c>
      <c r="B181" s="77" t="s">
        <v>68</v>
      </c>
      <c r="C181" s="78">
        <f>C179*C180</f>
        <v>0</v>
      </c>
      <c r="D181" s="126">
        <v>3000</v>
      </c>
      <c r="E181" s="78">
        <f>C181*D181</f>
        <v>0</v>
      </c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80" t="s">
        <v>135</v>
      </c>
      <c r="B182" s="81" t="s">
        <v>136</v>
      </c>
      <c r="C182" s="147">
        <v>10000</v>
      </c>
      <c r="D182" s="79">
        <f>E179+E181</f>
        <v>0</v>
      </c>
      <c r="E182" s="79">
        <f>IFERROR(D182/C182,"-")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137</v>
      </c>
      <c r="B183" s="81" t="s">
        <v>138</v>
      </c>
      <c r="C183" s="79">
        <f>B164</f>
        <v>176</v>
      </c>
      <c r="D183" s="79">
        <f>E182</f>
        <v>0</v>
      </c>
      <c r="E183" s="79">
        <f>IFERROR(C183*D183,0)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15"/>
      <c r="B184" s="15"/>
      <c r="C184" s="15"/>
      <c r="D184" s="16"/>
      <c r="E184" s="16"/>
      <c r="F184" s="118">
        <f>E183</f>
        <v>0</v>
      </c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1.25" customHeight="1">
      <c r="A185" s="15"/>
      <c r="B185" s="1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>
      <c r="A186" s="108" t="s">
        <v>139</v>
      </c>
      <c r="B186" s="109"/>
      <c r="C186" s="109"/>
      <c r="D186" s="49"/>
      <c r="E186" s="110"/>
      <c r="F186" s="118">
        <f>+SUM(F122:F185)</f>
        <v>0</v>
      </c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1.25" customHeight="1">
      <c r="A187" s="15"/>
      <c r="B187" s="1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hidden="1" customHeight="1">
      <c r="A188" s="36" t="s">
        <v>140</v>
      </c>
      <c r="B188" s="36"/>
      <c r="C188" s="36"/>
      <c r="D188" s="35"/>
      <c r="E188" s="35"/>
      <c r="F188" s="8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1.25" hidden="1" customHeight="1">
      <c r="A189" s="15"/>
      <c r="B189" s="1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hidden="1" customHeight="1">
      <c r="A190" s="72" t="s">
        <v>29</v>
      </c>
      <c r="B190" s="73" t="s">
        <v>30</v>
      </c>
      <c r="C190" s="73" t="s">
        <v>20</v>
      </c>
      <c r="D190" s="74" t="s">
        <v>31</v>
      </c>
      <c r="E190" s="74" t="s">
        <v>32</v>
      </c>
      <c r="F190" s="75" t="s">
        <v>33</v>
      </c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80" t="s">
        <v>141</v>
      </c>
      <c r="B191" s="81" t="s">
        <v>68</v>
      </c>
      <c r="C191" s="148">
        <v>0</v>
      </c>
      <c r="D191" s="126">
        <v>50</v>
      </c>
      <c r="E191" s="79">
        <f>C191*D191</f>
        <v>0</v>
      </c>
      <c r="F191" s="121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/>
      <c r="B192" s="81"/>
      <c r="C192" s="148"/>
      <c r="D192" s="126"/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12"/>
      <c r="D194" s="126"/>
      <c r="E194" s="79"/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79"/>
      <c r="D195" s="99"/>
      <c r="E195" s="79">
        <f>C195*D195</f>
        <v>0</v>
      </c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 t="s">
        <v>142</v>
      </c>
      <c r="B196" s="81" t="s">
        <v>143</v>
      </c>
      <c r="C196" s="148"/>
      <c r="D196" s="126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36"/>
      <c r="B197" s="36"/>
      <c r="C197" s="36"/>
      <c r="D197" s="36"/>
      <c r="E197" s="35"/>
      <c r="F197" s="118">
        <f>SUM(E191:E196)</f>
        <v>0</v>
      </c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1.25" hidden="1" customHeight="1">
      <c r="A198" s="15"/>
      <c r="B198" s="15"/>
      <c r="C198" s="15"/>
      <c r="D198" s="16"/>
      <c r="E198" s="16"/>
      <c r="F198" s="16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hidden="1" customHeight="1">
      <c r="A199" s="108" t="s">
        <v>144</v>
      </c>
      <c r="B199" s="109"/>
      <c r="C199" s="109"/>
      <c r="D199" s="49"/>
      <c r="E199" s="110"/>
      <c r="F199" s="118">
        <f>+F197</f>
        <v>0</v>
      </c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1.25" hidden="1" customHeight="1">
      <c r="A200" s="15"/>
      <c r="B200" s="15"/>
      <c r="C200" s="15"/>
      <c r="D200" s="16"/>
      <c r="E200" s="16"/>
      <c r="F200" s="16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hidden="1" customHeight="1">
      <c r="A201" s="36" t="s">
        <v>145</v>
      </c>
      <c r="B201" s="36"/>
      <c r="C201" s="36"/>
      <c r="D201" s="35"/>
      <c r="E201" s="35"/>
      <c r="F201" s="86"/>
      <c r="G201" s="16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1.25" hidden="1" customHeight="1">
      <c r="A202" s="15"/>
      <c r="B202" s="15"/>
      <c r="C202" s="15"/>
      <c r="D202" s="16"/>
      <c r="E202" s="16"/>
      <c r="F202" s="1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hidden="1" customHeight="1">
      <c r="A203" s="72" t="s">
        <v>29</v>
      </c>
      <c r="B203" s="73" t="s">
        <v>30</v>
      </c>
      <c r="C203" s="73" t="s">
        <v>20</v>
      </c>
      <c r="D203" s="74" t="s">
        <v>31</v>
      </c>
      <c r="E203" s="74" t="s">
        <v>32</v>
      </c>
      <c r="F203" s="75" t="s">
        <v>33</v>
      </c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80" t="s">
        <v>146</v>
      </c>
      <c r="B204" s="149" t="s">
        <v>143</v>
      </c>
      <c r="C204" s="102">
        <v>0</v>
      </c>
      <c r="D204" s="99">
        <v>600</v>
      </c>
      <c r="E204" s="79">
        <f>+D204*C204</f>
        <v>0</v>
      </c>
      <c r="F204" s="121"/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147</v>
      </c>
      <c r="B205" s="149" t="s">
        <v>35</v>
      </c>
      <c r="C205" s="81">
        <v>60</v>
      </c>
      <c r="D205" s="150">
        <f>SUM(E204)</f>
        <v>0</v>
      </c>
      <c r="E205" s="150">
        <f>+D205/C205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148</v>
      </c>
      <c r="B206" s="149" t="s">
        <v>35</v>
      </c>
      <c r="C206" s="81">
        <v>1</v>
      </c>
      <c r="D206" s="99">
        <v>100</v>
      </c>
      <c r="E206" s="79">
        <f>C206*D206</f>
        <v>100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149</v>
      </c>
      <c r="C207" s="81">
        <v>0</v>
      </c>
      <c r="D207" s="150">
        <f>+E206</f>
        <v>100</v>
      </c>
      <c r="E207" s="150">
        <f>C207*D207</f>
        <v>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101"/>
      <c r="B208" s="101"/>
      <c r="C208" s="15"/>
      <c r="D208" s="90" t="s">
        <v>59</v>
      </c>
      <c r="E208" s="91">
        <f>E152</f>
        <v>1</v>
      </c>
      <c r="F208" s="118">
        <f>(E207+E205)*E208</f>
        <v>0</v>
      </c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1.25" hidden="1" customHeight="1">
      <c r="A209" s="15"/>
      <c r="B209" s="15"/>
      <c r="C209" s="15"/>
      <c r="D209" s="16"/>
      <c r="E209" s="16"/>
      <c r="F209" s="16"/>
      <c r="G209" s="151"/>
      <c r="H209" s="152"/>
      <c r="I209" s="152"/>
      <c r="J209" s="152"/>
      <c r="K209" s="152"/>
      <c r="L209" s="152"/>
      <c r="M209" s="152"/>
      <c r="N209" s="152"/>
      <c r="O209" s="152"/>
      <c r="P209" s="152"/>
      <c r="Q209" s="152"/>
      <c r="R209" s="152"/>
      <c r="S209" s="152"/>
      <c r="T209" s="152"/>
      <c r="U209" s="152"/>
      <c r="V209" s="152"/>
      <c r="W209" s="152"/>
      <c r="X209" s="152"/>
      <c r="Y209" s="152"/>
      <c r="Z209" s="152"/>
    </row>
    <row r="210" spans="1:26" ht="12.75" hidden="1" customHeight="1">
      <c r="A210" s="108" t="s">
        <v>150</v>
      </c>
      <c r="B210" s="109"/>
      <c r="C210" s="109"/>
      <c r="D210" s="49"/>
      <c r="E210" s="110"/>
      <c r="F210" s="118">
        <f>+F208</f>
        <v>0</v>
      </c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1.25" customHeight="1">
      <c r="A211" s="15"/>
      <c r="B211" s="15"/>
      <c r="C211" s="15"/>
      <c r="D211" s="16"/>
      <c r="E211" s="16"/>
      <c r="F211" s="16"/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7.25" customHeight="1">
      <c r="A212" s="108" t="s">
        <v>151</v>
      </c>
      <c r="B212" s="115"/>
      <c r="C212" s="115"/>
      <c r="D212" s="116"/>
      <c r="E212" s="117"/>
      <c r="F212" s="98">
        <f>+F93+F114+F186+F199+F210</f>
        <v>0</v>
      </c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1.25" customHeight="1">
      <c r="A213" s="15"/>
      <c r="B213" s="15"/>
      <c r="C213" s="15"/>
      <c r="D213" s="16"/>
      <c r="E213" s="16"/>
      <c r="F213" s="16"/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>
      <c r="A214" s="36" t="s">
        <v>152</v>
      </c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1.25" customHeight="1">
      <c r="A215" s="15"/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>
      <c r="A216" s="72" t="s">
        <v>29</v>
      </c>
      <c r="B216" s="73" t="s">
        <v>30</v>
      </c>
      <c r="C216" s="73" t="s">
        <v>20</v>
      </c>
      <c r="D216" s="74" t="s">
        <v>31</v>
      </c>
      <c r="E216" s="74" t="s">
        <v>32</v>
      </c>
      <c r="F216" s="75" t="s">
        <v>33</v>
      </c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6" t="s">
        <v>153</v>
      </c>
      <c r="B217" s="77" t="s">
        <v>14</v>
      </c>
      <c r="C217" s="88">
        <f>'26.BDI'!C21*100</f>
        <v>18.96</v>
      </c>
      <c r="D217" s="78">
        <f>+F212</f>
        <v>0</v>
      </c>
      <c r="E217" s="78">
        <f>C217*D217/100</f>
        <v>0</v>
      </c>
      <c r="F217" s="16"/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15"/>
      <c r="B218" s="15"/>
      <c r="C218" s="15"/>
      <c r="D218" s="16"/>
      <c r="E218" s="16"/>
      <c r="F218" s="118">
        <f>+E217</f>
        <v>0</v>
      </c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1.25" customHeight="1">
      <c r="A219" s="15"/>
      <c r="B219" s="15"/>
      <c r="C219" s="15"/>
      <c r="D219" s="16"/>
      <c r="E219" s="16"/>
      <c r="F219" s="16"/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>
      <c r="A220" s="108" t="s">
        <v>154</v>
      </c>
      <c r="B220" s="115"/>
      <c r="C220" s="115"/>
      <c r="D220" s="116"/>
      <c r="E220" s="117"/>
      <c r="F220" s="98">
        <f>F218</f>
        <v>0</v>
      </c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36"/>
      <c r="B221" s="36"/>
      <c r="C221" s="36"/>
      <c r="D221" s="35"/>
      <c r="E221" s="35"/>
      <c r="F221" s="86"/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1.25" customHeight="1">
      <c r="A222" s="15"/>
      <c r="B222" s="15"/>
      <c r="C222" s="15"/>
      <c r="D222" s="16"/>
      <c r="E222" s="16"/>
      <c r="F222" s="1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24.75" customHeight="1">
      <c r="A223" s="108" t="s">
        <v>155</v>
      </c>
      <c r="B223" s="115"/>
      <c r="C223" s="115"/>
      <c r="D223" s="116"/>
      <c r="E223" s="117"/>
      <c r="F223" s="98">
        <f>F212+F220</f>
        <v>0</v>
      </c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2" customHeight="1">
      <c r="A224" s="14"/>
      <c r="B224" s="14"/>
      <c r="C224" s="14"/>
      <c r="D224" s="153"/>
      <c r="E224" s="153"/>
      <c r="F224" s="153"/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>
      <c r="A225" s="23"/>
      <c r="B225" s="23"/>
      <c r="C225" s="23"/>
      <c r="D225" s="22"/>
      <c r="E225" s="22"/>
      <c r="F225" s="16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>
      <c r="A226" s="154" t="s">
        <v>156</v>
      </c>
      <c r="B226" s="53"/>
      <c r="C226" s="53"/>
      <c r="D226" s="155">
        <v>176</v>
      </c>
      <c r="E226" s="156" t="s">
        <v>157</v>
      </c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>
      <c r="A227" s="15"/>
      <c r="B227" s="15"/>
      <c r="C227" s="15"/>
      <c r="D227" s="16"/>
      <c r="E227" s="16"/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25.5" customHeight="1">
      <c r="A228" s="108" t="s">
        <v>158</v>
      </c>
      <c r="B228" s="109"/>
      <c r="C228" s="109"/>
      <c r="D228" s="49"/>
      <c r="E228" s="157" t="s">
        <v>159</v>
      </c>
      <c r="F228" s="158">
        <f>F223/D226</f>
        <v>0</v>
      </c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" customHeight="1"/>
    <row r="230" spans="1:26" ht="13.5" customHeight="1"/>
    <row r="231" spans="1:26" ht="9.75" customHeight="1"/>
    <row r="232" spans="1:26" ht="9.75" customHeight="1"/>
    <row r="233" spans="1:26" ht="12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9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190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>1.1. Operador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>1.1. Operador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163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181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4.5%*D122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opLeftCell="A11" workbookViewId="0">
      <selection activeCell="A11" sqref="A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hidden="1" customHeight="1">
      <c r="A1" s="14" t="s">
        <v>0</v>
      </c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hidden="1" customHeight="1">
      <c r="A2" s="17" t="s">
        <v>1</v>
      </c>
      <c r="B2" s="15"/>
      <c r="C2" s="15"/>
      <c r="D2" s="16"/>
      <c r="E2" s="16"/>
      <c r="F2" s="16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hidden="1" customHeight="1">
      <c r="A3" s="17" t="s">
        <v>2</v>
      </c>
      <c r="B3" s="15"/>
      <c r="C3" s="15"/>
      <c r="D3" s="16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hidden="1" customHeight="1">
      <c r="A4" s="17" t="s">
        <v>3</v>
      </c>
      <c r="B4" s="15"/>
      <c r="C4" s="15"/>
      <c r="D4" s="16"/>
      <c r="E4" s="16"/>
      <c r="F4" s="16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hidden="1" customHeight="1">
      <c r="A5" s="14" t="s">
        <v>4</v>
      </c>
      <c r="B5" s="15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hidden="1" customHeight="1">
      <c r="A6" s="19" t="s">
        <v>5</v>
      </c>
      <c r="B6" s="18"/>
      <c r="C6" s="18"/>
      <c r="D6" s="18"/>
      <c r="E6" s="18"/>
      <c r="F6" s="18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hidden="1" customHeight="1">
      <c r="A7" s="15"/>
      <c r="B7" s="18"/>
      <c r="C7" s="18"/>
      <c r="D7" s="18"/>
      <c r="E7" s="18"/>
      <c r="F7" s="18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hidden="1" customHeight="1">
      <c r="A8" s="20" t="s">
        <v>6</v>
      </c>
      <c r="B8" s="18"/>
      <c r="C8" s="18"/>
      <c r="D8" s="18"/>
      <c r="E8" s="18"/>
      <c r="F8" s="18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hidden="1" customHeight="1">
      <c r="A9" s="17" t="s">
        <v>7</v>
      </c>
      <c r="B9" s="18"/>
      <c r="C9" s="18"/>
      <c r="D9" s="18"/>
      <c r="E9" s="18"/>
      <c r="F9" s="18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hidden="1" customHeight="1">
      <c r="A10" s="15"/>
      <c r="B10" s="18"/>
      <c r="C10" s="18"/>
      <c r="D10" s="16"/>
      <c r="E10" s="1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3" t="s">
        <v>191</v>
      </c>
      <c r="B11" s="13"/>
      <c r="C11" s="13"/>
      <c r="D11" s="13"/>
      <c r="E11" s="13"/>
      <c r="F11" s="1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.75" customHeight="1">
      <c r="A12" s="12" t="s">
        <v>10</v>
      </c>
      <c r="B12" s="12"/>
      <c r="C12" s="12"/>
      <c r="D12" s="12"/>
      <c r="E12" s="12"/>
      <c r="F12" s="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0.5" customHeight="1">
      <c r="A13" s="24"/>
      <c r="B13" s="18"/>
      <c r="C13" s="18"/>
      <c r="D13" s="16"/>
      <c r="E13" s="16"/>
      <c r="F13" s="2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11" t="s">
        <v>11</v>
      </c>
      <c r="B14" s="11"/>
      <c r="C14" s="11"/>
      <c r="D14" s="11"/>
      <c r="E14" s="11"/>
      <c r="F14" s="11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26" t="s">
        <v>12</v>
      </c>
      <c r="B15" s="27"/>
      <c r="C15" s="27"/>
      <c r="D15" s="28"/>
      <c r="E15" s="29" t="s">
        <v>13</v>
      </c>
      <c r="F15" s="30" t="s">
        <v>14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31" t="str">
        <f>A49</f>
        <v>1. Mão-de-obra</v>
      </c>
      <c r="B16" s="32"/>
      <c r="C16" s="32"/>
      <c r="D16" s="32"/>
      <c r="E16" s="33">
        <f>+F93</f>
        <v>0</v>
      </c>
      <c r="F16" s="34">
        <f t="shared" ref="F16:F32" si="0">IFERROR(E16/$E$33,0)</f>
        <v>0</v>
      </c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customHeight="1">
      <c r="A17" s="37" t="str">
        <f>A51</f>
        <v xml:space="preserve">1.1. Operador de Máquinas </v>
      </c>
      <c r="B17" s="38"/>
      <c r="C17" s="38"/>
      <c r="D17" s="38"/>
      <c r="E17" s="39">
        <f>F70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37" t="str">
        <f>A72</f>
        <v>1.2. Vale Transporte</v>
      </c>
      <c r="B18" s="38"/>
      <c r="C18" s="38"/>
      <c r="D18" s="38"/>
      <c r="E18" s="39">
        <f>F78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>
      <c r="A19" s="37" t="str">
        <f>A80</f>
        <v>1.3. Vale-refeição (mensal)</v>
      </c>
      <c r="B19" s="38"/>
      <c r="C19" s="38"/>
      <c r="D19" s="38"/>
      <c r="E19" s="39">
        <f>F85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>
      <c r="A20" s="37" t="str">
        <f>A87</f>
        <v>1.4. Plano de Benefício Social  (Seguro de vida) e (Manutenção e Capacitação Profissional )</v>
      </c>
      <c r="B20" s="38"/>
      <c r="C20" s="38"/>
      <c r="D20" s="38"/>
      <c r="E20" s="39">
        <f>F91</f>
        <v>0</v>
      </c>
      <c r="F20" s="40">
        <f t="shared" si="0"/>
        <v>0</v>
      </c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10" t="str">
        <f>A95</f>
        <v>2. Uniformes e Equipamentos de Proteção Individual</v>
      </c>
      <c r="B21" s="10"/>
      <c r="C21" s="10"/>
      <c r="D21" s="32"/>
      <c r="E21" s="33">
        <f>+F114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A116</f>
        <v xml:space="preserve">3. Veículos e Máquinas </v>
      </c>
      <c r="B22" s="42"/>
      <c r="C22" s="32"/>
      <c r="D22" s="32"/>
      <c r="E22" s="33">
        <f>+F187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3" t="str">
        <f>A118</f>
        <v xml:space="preserve">3.1. Veículo/Máquina </v>
      </c>
      <c r="B23" s="44"/>
      <c r="C23" s="38"/>
      <c r="D23" s="38"/>
      <c r="E23" s="39">
        <f>SUM(E24:E29)</f>
        <v>0</v>
      </c>
      <c r="F23" s="40">
        <f t="shared" si="0"/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5" t="s">
        <v>15</v>
      </c>
      <c r="B24" s="44"/>
      <c r="C24" s="38"/>
      <c r="D24" s="38"/>
      <c r="E24" s="39">
        <f>F134</f>
        <v>0</v>
      </c>
      <c r="F24" s="40">
        <f t="shared" si="0"/>
        <v>0</v>
      </c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5" t="s">
        <v>16</v>
      </c>
      <c r="B25" s="44"/>
      <c r="C25" s="38"/>
      <c r="D25" s="38"/>
      <c r="E25" s="39">
        <f>F152</f>
        <v>0</v>
      </c>
      <c r="F25" s="40">
        <f t="shared" si="0"/>
        <v>0</v>
      </c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3" t="str">
        <f>A154</f>
        <v>3.1.3. Impostos e Seguros</v>
      </c>
      <c r="B26" s="44"/>
      <c r="C26" s="38"/>
      <c r="D26" s="38"/>
      <c r="E26" s="39">
        <f>F160</f>
        <v>0</v>
      </c>
      <c r="F26" s="40">
        <f t="shared" si="0"/>
        <v>0</v>
      </c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43" t="str">
        <f>A162</f>
        <v>3.1.4. Consumos de óleo diesel</v>
      </c>
      <c r="B27" s="44"/>
      <c r="C27" s="38"/>
      <c r="D27" s="38"/>
      <c r="E27" s="39">
        <f>F171</f>
        <v>0</v>
      </c>
      <c r="F27" s="40">
        <f t="shared" si="0"/>
        <v>0</v>
      </c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43" t="str">
        <f>A173</f>
        <v xml:space="preserve">3.1.5. Manutenção/Consumos </v>
      </c>
      <c r="B28" s="44"/>
      <c r="C28" s="38"/>
      <c r="D28" s="38"/>
      <c r="E28" s="39">
        <f>F176</f>
        <v>0</v>
      </c>
      <c r="F28" s="40">
        <f t="shared" si="0"/>
        <v>0</v>
      </c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hidden="1" customHeight="1">
      <c r="A29" s="43" t="str">
        <f>A178</f>
        <v>3.1.6. Pneus</v>
      </c>
      <c r="B29" s="44"/>
      <c r="C29" s="38"/>
      <c r="D29" s="38"/>
      <c r="E29" s="39">
        <f>F185</f>
        <v>0</v>
      </c>
      <c r="F29" s="40">
        <f t="shared" si="0"/>
        <v>0</v>
      </c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hidden="1" customHeight="1">
      <c r="A30" s="41" t="str">
        <f>A189</f>
        <v xml:space="preserve">4. Ferramentas e materiais </v>
      </c>
      <c r="B30" s="42"/>
      <c r="C30" s="32"/>
      <c r="D30" s="32"/>
      <c r="E30" s="33">
        <f>+F200</f>
        <v>0</v>
      </c>
      <c r="F30" s="34">
        <f t="shared" si="0"/>
        <v>0</v>
      </c>
      <c r="G30" s="35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15.75" hidden="1" customHeight="1">
      <c r="A31" s="41" t="str">
        <f>A202</f>
        <v xml:space="preserve">5. Monitoramento da frota  </v>
      </c>
      <c r="B31" s="42"/>
      <c r="C31" s="32"/>
      <c r="D31" s="32"/>
      <c r="E31" s="33">
        <f>+F211</f>
        <v>0</v>
      </c>
      <c r="F31" s="34">
        <f t="shared" si="0"/>
        <v>0</v>
      </c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5.75" customHeight="1">
      <c r="A32" s="41" t="str">
        <f>A215</f>
        <v>4. Benefícios e Despesas Indiretas - BDI</v>
      </c>
      <c r="B32" s="42"/>
      <c r="C32" s="32"/>
      <c r="D32" s="32"/>
      <c r="E32" s="46">
        <f>+F221</f>
        <v>0</v>
      </c>
      <c r="F32" s="34">
        <f t="shared" si="0"/>
        <v>0</v>
      </c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15.75" customHeight="1">
      <c r="A33" s="47" t="s">
        <v>17</v>
      </c>
      <c r="B33" s="48"/>
      <c r="C33" s="49"/>
      <c r="D33" s="49"/>
      <c r="E33" s="50">
        <f>E16+E21+E22+E30+E31+E32</f>
        <v>0</v>
      </c>
      <c r="F33" s="51">
        <f>F16+F21+F22+F30+F31+F32</f>
        <v>0</v>
      </c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5"/>
      <c r="B34" s="15"/>
      <c r="C34" s="15"/>
      <c r="D34" s="16"/>
      <c r="E34" s="16"/>
      <c r="F34" s="16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5"/>
      <c r="B35" s="15"/>
      <c r="C35" s="15"/>
      <c r="D35" s="16"/>
      <c r="E35" s="16"/>
      <c r="F35" s="16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" customHeight="1">
      <c r="A36" s="11" t="s">
        <v>18</v>
      </c>
      <c r="B36" s="11"/>
      <c r="C36" s="11"/>
      <c r="D36" s="11"/>
      <c r="E36" s="11"/>
      <c r="F36" s="16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" customHeight="1">
      <c r="A37" s="9" t="s">
        <v>19</v>
      </c>
      <c r="B37" s="9"/>
      <c r="C37" s="9"/>
      <c r="D37" s="9"/>
      <c r="E37" s="52" t="s">
        <v>20</v>
      </c>
      <c r="F37" s="16"/>
      <c r="G37" s="16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>
      <c r="A38" s="37" t="str">
        <f>+A51</f>
        <v xml:space="preserve">1.1. Operador de Máquinas </v>
      </c>
      <c r="B38" s="38"/>
      <c r="C38" s="38"/>
      <c r="D38" s="53"/>
      <c r="E38" s="54">
        <f>C69</f>
        <v>1</v>
      </c>
      <c r="F38" s="16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>
      <c r="A39" s="15" t="s">
        <v>174</v>
      </c>
      <c r="B39" s="38"/>
      <c r="C39" s="38"/>
      <c r="D39" s="53"/>
      <c r="E39" s="55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>
      <c r="A40" s="37" t="s">
        <v>23</v>
      </c>
      <c r="B40" s="38"/>
      <c r="C40" s="38"/>
      <c r="D40" s="53"/>
      <c r="E40" s="56">
        <v>0</v>
      </c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>
      <c r="A41" s="57" t="s">
        <v>24</v>
      </c>
      <c r="B41" s="58"/>
      <c r="C41" s="58"/>
      <c r="D41" s="59"/>
      <c r="E41" s="60">
        <f>SUM(E38)</f>
        <v>1</v>
      </c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>
      <c r="A42" s="61"/>
      <c r="B42" s="62"/>
      <c r="C42" s="16"/>
      <c r="D42" s="16"/>
      <c r="E42" s="25"/>
      <c r="F42" s="16"/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>
      <c r="A43" s="8" t="s">
        <v>25</v>
      </c>
      <c r="B43" s="8"/>
      <c r="C43" s="8"/>
      <c r="D43" s="8"/>
      <c r="E43" s="52" t="s">
        <v>20</v>
      </c>
      <c r="F43" s="15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>
      <c r="A44" s="63" t="str">
        <f>+A118</f>
        <v xml:space="preserve">3.1. Veículo/Máquina </v>
      </c>
      <c r="B44" s="64"/>
      <c r="C44" s="64"/>
      <c r="D44" s="65"/>
      <c r="E44" s="66">
        <f>C133</f>
        <v>1</v>
      </c>
      <c r="F44" s="15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>
      <c r="A45" s="16"/>
      <c r="B45" s="16"/>
      <c r="C45" s="16"/>
      <c r="D45" s="15"/>
      <c r="E45" s="67"/>
      <c r="F45" s="15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6"/>
      <c r="B46" s="16"/>
      <c r="C46" s="16"/>
      <c r="D46" s="15"/>
      <c r="E46" s="68"/>
      <c r="F46" s="15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69" t="s">
        <v>26</v>
      </c>
      <c r="B47" s="70">
        <f>'27.Horários'!F17/'27.Horários'!F18</f>
        <v>1</v>
      </c>
      <c r="C47" s="35"/>
      <c r="D47" s="36"/>
      <c r="E47" s="71"/>
      <c r="F47" s="36"/>
      <c r="G47" s="35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ht="15.75" customHeight="1">
      <c r="A48" s="16"/>
      <c r="B48" s="16"/>
      <c r="C48" s="16"/>
      <c r="D48" s="15"/>
      <c r="E48" s="68"/>
      <c r="F48" s="15"/>
      <c r="G48" s="1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36" t="s">
        <v>27</v>
      </c>
      <c r="B49" s="15"/>
      <c r="C49" s="15"/>
      <c r="D49" s="16"/>
      <c r="E49" s="16"/>
      <c r="F49" s="16"/>
      <c r="G49" s="1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1.25" customHeight="1">
      <c r="A50" s="15"/>
      <c r="B50" s="15"/>
      <c r="C50" s="15"/>
      <c r="D50" s="16"/>
      <c r="E50" s="16"/>
      <c r="F50" s="16"/>
      <c r="G50" s="1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 t="s">
        <v>28</v>
      </c>
      <c r="B51" s="15"/>
      <c r="C51" s="15"/>
      <c r="D51" s="16"/>
      <c r="E51" s="16"/>
      <c r="F51" s="16"/>
      <c r="G51" s="1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72" t="s">
        <v>29</v>
      </c>
      <c r="B52" s="73" t="s">
        <v>30</v>
      </c>
      <c r="C52" s="73" t="s">
        <v>20</v>
      </c>
      <c r="D52" s="74" t="s">
        <v>31</v>
      </c>
      <c r="E52" s="74" t="s">
        <v>32</v>
      </c>
      <c r="F52" s="75" t="s">
        <v>33</v>
      </c>
      <c r="G52" s="1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76" t="s">
        <v>34</v>
      </c>
      <c r="B53" s="77" t="s">
        <v>35</v>
      </c>
      <c r="C53" s="77">
        <v>1</v>
      </c>
      <c r="D53" s="78">
        <f>ROUND((E39*E40)+E39,2)</f>
        <v>0</v>
      </c>
      <c r="E53" s="78">
        <f>C53*D53</f>
        <v>0</v>
      </c>
      <c r="F53" s="16"/>
      <c r="G53" s="1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76" t="s">
        <v>36</v>
      </c>
      <c r="B54" s="77" t="s">
        <v>35</v>
      </c>
      <c r="C54" s="77">
        <v>1</v>
      </c>
      <c r="D54" s="79">
        <v>1100</v>
      </c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37</v>
      </c>
      <c r="B55" s="81" t="s">
        <v>38</v>
      </c>
      <c r="C55" s="82"/>
      <c r="D55" s="80"/>
      <c r="E55" s="80"/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hidden="1" customHeight="1">
      <c r="A56" s="80"/>
      <c r="B56" s="81" t="s">
        <v>39</v>
      </c>
      <c r="C56" s="79">
        <f>C55*8/7</f>
        <v>0</v>
      </c>
      <c r="D56" s="79">
        <f>D53/220*0.2</f>
        <v>0</v>
      </c>
      <c r="E56" s="79">
        <f>C55*D56</f>
        <v>0</v>
      </c>
      <c r="F56" s="16"/>
      <c r="G56" s="16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hidden="1" customHeight="1">
      <c r="A57" s="80" t="s">
        <v>40</v>
      </c>
      <c r="B57" s="81" t="s">
        <v>41</v>
      </c>
      <c r="C57" s="82"/>
      <c r="D57" s="79">
        <f>D53/220*2</f>
        <v>0</v>
      </c>
      <c r="E57" s="79">
        <f>C57*D57</f>
        <v>0</v>
      </c>
      <c r="F57" s="16"/>
      <c r="G57" s="16" t="s">
        <v>42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hidden="1" customHeight="1">
      <c r="A58" s="80" t="s">
        <v>43</v>
      </c>
      <c r="B58" s="81" t="s">
        <v>38</v>
      </c>
      <c r="C58" s="82"/>
      <c r="D58" s="79"/>
      <c r="E58" s="79"/>
      <c r="F58" s="16"/>
      <c r="G58" s="16" t="s">
        <v>44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hidden="1" customHeight="1">
      <c r="A59" s="80"/>
      <c r="B59" s="81" t="s">
        <v>39</v>
      </c>
      <c r="C59" s="79">
        <f>C58*8/7</f>
        <v>0</v>
      </c>
      <c r="D59" s="79">
        <f>D53/220*2*1.2</f>
        <v>0</v>
      </c>
      <c r="E59" s="79">
        <f>C59*D59</f>
        <v>0</v>
      </c>
      <c r="F59" s="16"/>
      <c r="G59" s="16" t="s">
        <v>44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hidden="1" customHeight="1">
      <c r="A60" s="80" t="s">
        <v>45</v>
      </c>
      <c r="B60" s="81" t="s">
        <v>41</v>
      </c>
      <c r="C60" s="82"/>
      <c r="D60" s="79">
        <f>D53/220*1.5</f>
        <v>0</v>
      </c>
      <c r="E60" s="79">
        <f>C60*D60</f>
        <v>0</v>
      </c>
      <c r="F60" s="16"/>
      <c r="G60" s="16" t="s">
        <v>46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hidden="1" customHeight="1">
      <c r="A61" s="80" t="s">
        <v>47</v>
      </c>
      <c r="B61" s="81" t="s">
        <v>38</v>
      </c>
      <c r="C61" s="82"/>
      <c r="D61" s="79"/>
      <c r="E61" s="79"/>
      <c r="F61" s="16"/>
      <c r="G61" s="16" t="s">
        <v>48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hidden="1" customHeight="1">
      <c r="A62" s="80"/>
      <c r="B62" s="81" t="s">
        <v>39</v>
      </c>
      <c r="C62" s="79">
        <f>C61*8/7</f>
        <v>0</v>
      </c>
      <c r="D62" s="79">
        <f>D53/220*1.5*1.2</f>
        <v>0</v>
      </c>
      <c r="E62" s="79">
        <f>C62*D62</f>
        <v>0</v>
      </c>
      <c r="F62" s="16"/>
      <c r="G62" s="16" t="s">
        <v>48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hidden="1" customHeight="1">
      <c r="A63" s="80" t="s">
        <v>49</v>
      </c>
      <c r="B63" s="81" t="s">
        <v>50</v>
      </c>
      <c r="C63" s="15"/>
      <c r="D63" s="79">
        <f>63/302*(SUM(E57:E62))</f>
        <v>0</v>
      </c>
      <c r="E63" s="79">
        <f>D63</f>
        <v>0</v>
      </c>
      <c r="F63" s="16"/>
      <c r="G63" s="16" t="s">
        <v>51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hidden="1" customHeight="1">
      <c r="A64" s="80" t="s">
        <v>52</v>
      </c>
      <c r="B64" s="81"/>
      <c r="C64" s="83">
        <v>0</v>
      </c>
      <c r="D64" s="79"/>
      <c r="E64" s="79"/>
      <c r="F64" s="16"/>
      <c r="G64" s="16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hidden="1" customHeight="1">
      <c r="A65" s="80" t="s">
        <v>53</v>
      </c>
      <c r="B65" s="81" t="s">
        <v>14</v>
      </c>
      <c r="C65" s="79">
        <v>0</v>
      </c>
      <c r="D65" s="79">
        <f>IF(C64=2,SUM(E53:E63),IF(C64=1,SUM(E53:E63)*D54/D53,0))</f>
        <v>0</v>
      </c>
      <c r="E65" s="79">
        <f>C65*D65/100</f>
        <v>0</v>
      </c>
      <c r="F65" s="16"/>
      <c r="G65" s="16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84" t="s">
        <v>54</v>
      </c>
      <c r="B66" s="85"/>
      <c r="C66" s="85"/>
      <c r="D66" s="86"/>
      <c r="E66" s="87">
        <f>SUM(E53:E65)</f>
        <v>0</v>
      </c>
      <c r="F66" s="35"/>
      <c r="G66" s="35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12.75" customHeight="1">
      <c r="A67" s="80" t="s">
        <v>55</v>
      </c>
      <c r="B67" s="81" t="s">
        <v>14</v>
      </c>
      <c r="C67" s="88">
        <f>'24.Encargos Sociais'!$C$38*100</f>
        <v>0</v>
      </c>
      <c r="D67" s="79">
        <f>E66</f>
        <v>0</v>
      </c>
      <c r="E67" s="79">
        <f>D67*C67/100</f>
        <v>0</v>
      </c>
      <c r="F67" s="16"/>
      <c r="G67" s="1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84" t="s">
        <v>56</v>
      </c>
      <c r="B68" s="85"/>
      <c r="C68" s="85"/>
      <c r="D68" s="86"/>
      <c r="E68" s="87">
        <f>E66+E67</f>
        <v>0</v>
      </c>
      <c r="F68" s="35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12.75" customHeight="1">
      <c r="A69" s="80" t="s">
        <v>57</v>
      </c>
      <c r="B69" s="81" t="s">
        <v>58</v>
      </c>
      <c r="C69" s="89">
        <v>1</v>
      </c>
      <c r="D69" s="79">
        <f>E68</f>
        <v>0</v>
      </c>
      <c r="E69" s="79">
        <f>C69*D69</f>
        <v>0</v>
      </c>
      <c r="F69" s="16"/>
      <c r="G69" s="1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01" t="s">
        <v>165</v>
      </c>
      <c r="B70" s="15"/>
      <c r="C70" s="15"/>
      <c r="D70" s="90" t="s">
        <v>59</v>
      </c>
      <c r="E70" s="91">
        <f>B47</f>
        <v>1</v>
      </c>
      <c r="F70" s="92">
        <f>E69*E70</f>
        <v>0</v>
      </c>
      <c r="G70" s="1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>
      <c r="A71" s="15"/>
      <c r="B71" s="15"/>
      <c r="C71" s="15"/>
      <c r="D71" s="16"/>
      <c r="E71" s="16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 t="s">
        <v>60</v>
      </c>
      <c r="B72" s="93"/>
      <c r="C72" s="15"/>
      <c r="D72" s="15"/>
      <c r="E72" s="16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72" t="s">
        <v>29</v>
      </c>
      <c r="B73" s="73" t="s">
        <v>30</v>
      </c>
      <c r="C73" s="73" t="s">
        <v>20</v>
      </c>
      <c r="D73" s="74" t="s">
        <v>31</v>
      </c>
      <c r="E73" s="74" t="s">
        <v>32</v>
      </c>
      <c r="F73" s="75" t="s">
        <v>33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80" t="s">
        <v>61</v>
      </c>
      <c r="B74" s="81" t="s">
        <v>50</v>
      </c>
      <c r="C74" s="94">
        <v>1</v>
      </c>
      <c r="D74" s="95"/>
      <c r="E74" s="79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80" t="s">
        <v>62</v>
      </c>
      <c r="B75" s="81" t="s">
        <v>63</v>
      </c>
      <c r="C75" s="96">
        <v>21</v>
      </c>
      <c r="D75" s="79"/>
      <c r="E75" s="79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hidden="1" customHeight="1">
      <c r="A76" s="80" t="s">
        <v>64</v>
      </c>
      <c r="B76" s="81" t="s">
        <v>65</v>
      </c>
      <c r="C76" s="97" t="e">
        <f>$C$75*2*(#REF!)</f>
        <v>#REF!</v>
      </c>
      <c r="D76" s="78" t="str">
        <f>IFERROR((($C$75*2*$D$74)-(#REF!*0.06*C75/26))/($C$75*2),"-")</f>
        <v>-</v>
      </c>
      <c r="E76" s="79" t="str">
        <f>IFERROR(C76*D76,"-")</f>
        <v>-</v>
      </c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76" t="s">
        <v>172</v>
      </c>
      <c r="B77" s="77" t="s">
        <v>65</v>
      </c>
      <c r="C77" s="97">
        <f>$C$75*2*(C69)</f>
        <v>42</v>
      </c>
      <c r="D77" s="78"/>
      <c r="E77" s="78">
        <f>D74*C77</f>
        <v>0</v>
      </c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6"/>
      <c r="E78" s="16"/>
      <c r="F78" s="98">
        <f>E77-(6%*E66)</f>
        <v>0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>
      <c r="A79" s="15"/>
      <c r="B79" s="15"/>
      <c r="C79" s="15"/>
      <c r="D79" s="16"/>
      <c r="E79" s="16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 t="s">
        <v>67</v>
      </c>
      <c r="B80" s="15"/>
      <c r="C80" s="15"/>
      <c r="D80" s="16"/>
      <c r="E80" s="16"/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72" t="s">
        <v>29</v>
      </c>
      <c r="B81" s="73" t="s">
        <v>30</v>
      </c>
      <c r="C81" s="73" t="s">
        <v>20</v>
      </c>
      <c r="D81" s="74" t="s">
        <v>31</v>
      </c>
      <c r="E81" s="74" t="s">
        <v>32</v>
      </c>
      <c r="F81" s="75" t="s">
        <v>33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hidden="1" customHeight="1">
      <c r="A82" s="80" t="str">
        <f>+A76</f>
        <v>Coletor</v>
      </c>
      <c r="B82" s="81" t="s">
        <v>68</v>
      </c>
      <c r="C82" s="97"/>
      <c r="D82" s="99">
        <v>0</v>
      </c>
      <c r="E82" s="100">
        <f>C82*D82</f>
        <v>0</v>
      </c>
      <c r="F82" s="3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80" t="str">
        <f>+A77</f>
        <v>Operador</v>
      </c>
      <c r="B83" s="81" t="s">
        <v>68</v>
      </c>
      <c r="C83" s="97">
        <v>1</v>
      </c>
      <c r="D83" s="99"/>
      <c r="E83" s="100">
        <f>C83*D83</f>
        <v>0</v>
      </c>
      <c r="F83" s="3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hidden="1" customHeight="1">
      <c r="A84" s="80" t="s">
        <v>69</v>
      </c>
      <c r="B84" s="81" t="s">
        <v>68</v>
      </c>
      <c r="C84" s="97">
        <v>0</v>
      </c>
      <c r="D84" s="99">
        <v>13.55</v>
      </c>
      <c r="E84" s="100">
        <f>C84*D84</f>
        <v>0</v>
      </c>
      <c r="F84" s="3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01"/>
      <c r="B85" s="15"/>
      <c r="C85" s="15"/>
      <c r="D85" s="16"/>
      <c r="E85" s="16"/>
      <c r="F85" s="98">
        <f>SUM(E82:E84)</f>
        <v>0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 t="s">
        <v>70</v>
      </c>
      <c r="B87" s="15"/>
      <c r="C87" s="15"/>
      <c r="D87" s="16"/>
      <c r="E87" s="16"/>
      <c r="F87" s="3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72" t="s">
        <v>29</v>
      </c>
      <c r="B88" s="73" t="s">
        <v>30</v>
      </c>
      <c r="C88" s="73" t="s">
        <v>20</v>
      </c>
      <c r="D88" s="74" t="s">
        <v>31</v>
      </c>
      <c r="E88" s="74" t="s">
        <v>32</v>
      </c>
      <c r="F88" s="75" t="s">
        <v>33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80" t="s">
        <v>71</v>
      </c>
      <c r="B89" s="81" t="s">
        <v>68</v>
      </c>
      <c r="C89" s="102">
        <v>1</v>
      </c>
      <c r="D89" s="99"/>
      <c r="E89" s="103">
        <f>C89*D89</f>
        <v>0</v>
      </c>
      <c r="F89" s="3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80" t="s">
        <v>72</v>
      </c>
      <c r="B90" s="81" t="s">
        <v>68</v>
      </c>
      <c r="C90" s="102">
        <v>1</v>
      </c>
      <c r="D90" s="104"/>
      <c r="E90" s="103">
        <f>C90*D90</f>
        <v>0</v>
      </c>
      <c r="F90" s="3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05"/>
      <c r="B91" s="105"/>
      <c r="C91" s="15"/>
      <c r="D91" s="90" t="s">
        <v>73</v>
      </c>
      <c r="E91" s="100">
        <v>1</v>
      </c>
      <c r="F91" s="106">
        <f>SUM(E89:E90)*E91</f>
        <v>0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90"/>
      <c r="E92" s="107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08" t="s">
        <v>74</v>
      </c>
      <c r="B93" s="109"/>
      <c r="C93" s="109"/>
      <c r="D93" s="49"/>
      <c r="E93" s="110"/>
      <c r="F93" s="98">
        <f>F70+F78+F85+F91</f>
        <v>0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6"/>
      <c r="E94" s="16"/>
      <c r="F94" s="16"/>
      <c r="G94" s="16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36" t="s">
        <v>75</v>
      </c>
      <c r="B95" s="15"/>
      <c r="C95" s="15"/>
      <c r="D95" s="16"/>
      <c r="E95" s="16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>
      <c r="A96" s="15"/>
      <c r="B96" s="15"/>
      <c r="C96" s="15"/>
      <c r="D96" s="16"/>
      <c r="E96" s="16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 t="s">
        <v>76</v>
      </c>
      <c r="B97" s="15"/>
      <c r="C97" s="15"/>
      <c r="D97" s="16"/>
      <c r="E97" s="16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>
      <c r="A98" s="15"/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7.75" customHeight="1">
      <c r="A99" s="72" t="s">
        <v>29</v>
      </c>
      <c r="B99" s="73" t="s">
        <v>30</v>
      </c>
      <c r="C99" s="111" t="s">
        <v>77</v>
      </c>
      <c r="D99" s="74" t="s">
        <v>31</v>
      </c>
      <c r="E99" s="74" t="s">
        <v>32</v>
      </c>
      <c r="F99" s="75" t="s">
        <v>33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76" t="s">
        <v>78</v>
      </c>
      <c r="B100" s="77" t="s">
        <v>68</v>
      </c>
      <c r="C100" s="112"/>
      <c r="D100" s="113"/>
      <c r="E100" s="78">
        <f t="shared" ref="E100:E109" si="1">IFERROR(D100/C100,0)</f>
        <v>0</v>
      </c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80" t="s">
        <v>79</v>
      </c>
      <c r="B101" s="81" t="s">
        <v>68</v>
      </c>
      <c r="C101" s="112"/>
      <c r="D101" s="114"/>
      <c r="E101" s="78">
        <f t="shared" si="1"/>
        <v>0</v>
      </c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80" t="s">
        <v>80</v>
      </c>
      <c r="B102" s="81" t="s">
        <v>68</v>
      </c>
      <c r="C102" s="112"/>
      <c r="D102" s="114"/>
      <c r="E102" s="78">
        <f t="shared" si="1"/>
        <v>0</v>
      </c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80" t="s">
        <v>81</v>
      </c>
      <c r="B103" s="81" t="s">
        <v>68</v>
      </c>
      <c r="C103" s="112"/>
      <c r="D103" s="114"/>
      <c r="E103" s="78">
        <f t="shared" si="1"/>
        <v>0</v>
      </c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80" t="s">
        <v>82</v>
      </c>
      <c r="B104" s="81" t="s">
        <v>83</v>
      </c>
      <c r="C104" s="112"/>
      <c r="D104" s="114"/>
      <c r="E104" s="78">
        <f t="shared" si="1"/>
        <v>0</v>
      </c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80" t="s">
        <v>84</v>
      </c>
      <c r="B105" s="81" t="s">
        <v>83</v>
      </c>
      <c r="C105" s="112"/>
      <c r="D105" s="114"/>
      <c r="E105" s="78">
        <f t="shared" si="1"/>
        <v>0</v>
      </c>
      <c r="F105" s="16"/>
      <c r="G105" s="16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80" t="s">
        <v>85</v>
      </c>
      <c r="B106" s="81" t="s">
        <v>68</v>
      </c>
      <c r="C106" s="112"/>
      <c r="D106" s="114"/>
      <c r="E106" s="78">
        <f t="shared" si="1"/>
        <v>0</v>
      </c>
      <c r="F106" s="16"/>
      <c r="G106" s="16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80" t="s">
        <v>86</v>
      </c>
      <c r="B107" s="81" t="s">
        <v>83</v>
      </c>
      <c r="C107" s="112"/>
      <c r="D107" s="114"/>
      <c r="E107" s="78">
        <f t="shared" si="1"/>
        <v>0</v>
      </c>
      <c r="F107" s="16"/>
      <c r="G107" s="16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80" t="s">
        <v>87</v>
      </c>
      <c r="B108" s="81" t="s">
        <v>88</v>
      </c>
      <c r="C108" s="112"/>
      <c r="D108" s="114"/>
      <c r="E108" s="78">
        <f t="shared" si="1"/>
        <v>0</v>
      </c>
      <c r="F108" s="16"/>
      <c r="G108" s="16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80" t="s">
        <v>89</v>
      </c>
      <c r="B109" s="81" t="s">
        <v>90</v>
      </c>
      <c r="C109" s="112"/>
      <c r="D109" s="114"/>
      <c r="E109" s="78">
        <f t="shared" si="1"/>
        <v>0</v>
      </c>
      <c r="F109" s="16"/>
      <c r="G109" s="16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80" t="s">
        <v>57</v>
      </c>
      <c r="B110" s="81" t="s">
        <v>58</v>
      </c>
      <c r="C110" s="102">
        <f>E38</f>
        <v>1</v>
      </c>
      <c r="D110" s="79">
        <f>+SUM(E100:E109)</f>
        <v>0</v>
      </c>
      <c r="E110" s="79">
        <f>C110*D110</f>
        <v>0</v>
      </c>
      <c r="F110" s="16"/>
      <c r="G110" s="16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90" t="s">
        <v>59</v>
      </c>
      <c r="E111" s="91">
        <f>$B$47</f>
        <v>1</v>
      </c>
      <c r="F111" s="92">
        <f>E110*E111</f>
        <v>0</v>
      </c>
      <c r="G111" s="16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>
      <c r="A112" s="15"/>
      <c r="B112" s="15"/>
      <c r="C112" s="15"/>
      <c r="D112" s="16"/>
      <c r="E112" s="16"/>
      <c r="F112" s="16"/>
      <c r="G112" s="16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>
      <c r="A113" s="15"/>
      <c r="B113" s="15"/>
      <c r="C113" s="15"/>
      <c r="D113" s="16"/>
      <c r="E113" s="16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08" t="s">
        <v>91</v>
      </c>
      <c r="B114" s="115"/>
      <c r="C114" s="115"/>
      <c r="D114" s="116"/>
      <c r="E114" s="117"/>
      <c r="F114" s="118">
        <f>+F111</f>
        <v>0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>
      <c r="A115" s="15"/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36" t="s">
        <v>92</v>
      </c>
      <c r="B116" s="15"/>
      <c r="C116" s="15"/>
      <c r="D116" s="16"/>
      <c r="E116" s="16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>
      <c r="A117" s="15"/>
      <c r="B117" s="119"/>
      <c r="C117" s="15"/>
      <c r="D117" s="16"/>
      <c r="E117" s="16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 t="s">
        <v>93</v>
      </c>
      <c r="B118" s="15"/>
      <c r="C118" s="15"/>
      <c r="D118" s="16"/>
      <c r="E118" s="16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>
      <c r="A119" s="15"/>
      <c r="B119" s="15"/>
      <c r="C119" s="15"/>
      <c r="D119" s="16"/>
      <c r="E119" s="16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19" t="s">
        <v>15</v>
      </c>
      <c r="B120" s="15"/>
      <c r="C120" s="15"/>
      <c r="D120" s="16"/>
      <c r="E120" s="16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72" t="s">
        <v>29</v>
      </c>
      <c r="B121" s="73" t="s">
        <v>30</v>
      </c>
      <c r="C121" s="73" t="s">
        <v>20</v>
      </c>
      <c r="D121" s="74" t="s">
        <v>31</v>
      </c>
      <c r="E121" s="74" t="s">
        <v>32</v>
      </c>
      <c r="F121" s="75" t="s">
        <v>33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76" t="s">
        <v>94</v>
      </c>
      <c r="B122" s="77" t="s">
        <v>68</v>
      </c>
      <c r="C122" s="77">
        <v>1</v>
      </c>
      <c r="D122" s="113"/>
      <c r="E122" s="78">
        <f>C122*D122</f>
        <v>0</v>
      </c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80" t="s">
        <v>95</v>
      </c>
      <c r="B123" s="81" t="s">
        <v>96</v>
      </c>
      <c r="C123" s="120"/>
      <c r="D123" s="79"/>
      <c r="E123" s="79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80" t="s">
        <v>97</v>
      </c>
      <c r="B124" s="81" t="s">
        <v>96</v>
      </c>
      <c r="C124" s="120"/>
      <c r="D124" s="79"/>
      <c r="E124" s="79"/>
      <c r="F124" s="121"/>
      <c r="G124" s="16"/>
      <c r="H124" s="15"/>
      <c r="I124" s="122"/>
      <c r="J124" s="122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80" t="s">
        <v>98</v>
      </c>
      <c r="B125" s="81" t="s">
        <v>14</v>
      </c>
      <c r="C125" s="88">
        <f>IFERROR(VLOOKUP(C123,'28. Depreciação'!A3:B17,2,0),0)</f>
        <v>0</v>
      </c>
      <c r="D125" s="79">
        <f>E122</f>
        <v>0</v>
      </c>
      <c r="E125" s="79">
        <f>C125*D125/100</f>
        <v>0</v>
      </c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23" t="s">
        <v>99</v>
      </c>
      <c r="B126" s="124" t="s">
        <v>35</v>
      </c>
      <c r="C126" s="124">
        <f>C123*12</f>
        <v>0</v>
      </c>
      <c r="D126" s="125">
        <f>IF(C124&lt;=C123,E125,0)</f>
        <v>0</v>
      </c>
      <c r="E126" s="125">
        <f>IFERROR(D126/C126,0)</f>
        <v>0</v>
      </c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hidden="1" customHeight="1">
      <c r="A127" s="76" t="s">
        <v>100</v>
      </c>
      <c r="B127" s="77" t="s">
        <v>68</v>
      </c>
      <c r="C127" s="77">
        <f>C122</f>
        <v>1</v>
      </c>
      <c r="D127" s="126">
        <v>0</v>
      </c>
      <c r="E127" s="78">
        <f>C127*D127</f>
        <v>0</v>
      </c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hidden="1" customHeight="1">
      <c r="A128" s="80" t="s">
        <v>95</v>
      </c>
      <c r="B128" s="81" t="s">
        <v>96</v>
      </c>
      <c r="C128" s="89">
        <v>16</v>
      </c>
      <c r="D128" s="79"/>
      <c r="E128" s="79"/>
      <c r="F128" s="16"/>
      <c r="G128" s="16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hidden="1" customHeight="1">
      <c r="A129" s="80" t="s">
        <v>101</v>
      </c>
      <c r="B129" s="81" t="s">
        <v>96</v>
      </c>
      <c r="C129" s="89">
        <v>16</v>
      </c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hidden="1" customHeight="1">
      <c r="A130" s="80" t="s">
        <v>98</v>
      </c>
      <c r="B130" s="81" t="s">
        <v>14</v>
      </c>
      <c r="C130" s="127">
        <f>IFERROR(VLOOKUP(C128,'28. Depreciação'!A3:B17,2,0),0)</f>
        <v>0</v>
      </c>
      <c r="D130" s="79">
        <f>E127</f>
        <v>0</v>
      </c>
      <c r="E130" s="79">
        <f>C130*D130/100</f>
        <v>0</v>
      </c>
      <c r="F130" s="16"/>
      <c r="G130" s="16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hidden="1" customHeight="1">
      <c r="A131" s="128" t="s">
        <v>102</v>
      </c>
      <c r="B131" s="129" t="s">
        <v>35</v>
      </c>
      <c r="C131" s="129">
        <f>C128*12</f>
        <v>192</v>
      </c>
      <c r="D131" s="130">
        <f>IF(C129&lt;=C128,E130,0)</f>
        <v>0</v>
      </c>
      <c r="E131" s="130">
        <f>IFERROR(D131/C131,0)</f>
        <v>0</v>
      </c>
      <c r="F131" s="16"/>
      <c r="G131" s="16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84" t="s">
        <v>103</v>
      </c>
      <c r="B132" s="85"/>
      <c r="C132" s="85"/>
      <c r="D132" s="86"/>
      <c r="E132" s="87">
        <f>E126+E131</f>
        <v>0</v>
      </c>
      <c r="F132" s="16"/>
      <c r="G132" s="16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8" t="s">
        <v>104</v>
      </c>
      <c r="B133" s="129" t="s">
        <v>68</v>
      </c>
      <c r="C133" s="89">
        <v>1</v>
      </c>
      <c r="D133" s="130">
        <f>E132</f>
        <v>0</v>
      </c>
      <c r="E133" s="87">
        <f>C133*D133</f>
        <v>0</v>
      </c>
      <c r="F133" s="16"/>
      <c r="G133" s="16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1"/>
      <c r="B134" s="131"/>
      <c r="C134" s="131"/>
      <c r="D134" s="90" t="s">
        <v>59</v>
      </c>
      <c r="E134" s="91">
        <f>B47</f>
        <v>1</v>
      </c>
      <c r="F134" s="118">
        <f>E133*E134</f>
        <v>0</v>
      </c>
      <c r="G134" s="16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>
      <c r="A135" s="15"/>
      <c r="B135" s="15"/>
      <c r="C135" s="15"/>
      <c r="D135" s="16"/>
      <c r="E135" s="16"/>
      <c r="F135" s="16"/>
      <c r="G135" s="16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19" t="s">
        <v>16</v>
      </c>
      <c r="B136" s="15"/>
      <c r="C136" s="15"/>
      <c r="D136" s="16"/>
      <c r="E136" s="16"/>
      <c r="F136" s="16"/>
      <c r="G136" s="16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32" t="s">
        <v>29</v>
      </c>
      <c r="B137" s="133" t="s">
        <v>30</v>
      </c>
      <c r="C137" s="133" t="s">
        <v>20</v>
      </c>
      <c r="D137" s="74" t="s">
        <v>31</v>
      </c>
      <c r="E137" s="134" t="s">
        <v>32</v>
      </c>
      <c r="F137" s="75" t="s">
        <v>33</v>
      </c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80" t="s">
        <v>105</v>
      </c>
      <c r="B138" s="81" t="s">
        <v>68</v>
      </c>
      <c r="C138" s="77">
        <v>1</v>
      </c>
      <c r="D138" s="79">
        <f>D122</f>
        <v>0</v>
      </c>
      <c r="E138" s="79">
        <f>C138*D138</f>
        <v>0</v>
      </c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80" t="s">
        <v>106</v>
      </c>
      <c r="B139" s="81" t="s">
        <v>14</v>
      </c>
      <c r="C139" s="120"/>
      <c r="D139" s="79"/>
      <c r="E139" s="79"/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80" t="s">
        <v>107</v>
      </c>
      <c r="B140" s="81" t="s">
        <v>50</v>
      </c>
      <c r="C140" s="79">
        <f>IFERROR(IF(C124&lt;=C123,E122-(C125/(100*C123)*C124)*E122,E122-E125),0)*0.35</f>
        <v>0</v>
      </c>
      <c r="D140" s="79"/>
      <c r="E140" s="79"/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80" t="s">
        <v>108</v>
      </c>
      <c r="B141" s="81" t="s">
        <v>50</v>
      </c>
      <c r="C141" s="79">
        <f>IFERROR(IF(C124&gt;=C123,C140,((((C140)-(E122-E125))*(((C123-C124)+1)/(2*(C123-C124))))+(E122-E125))),0)</f>
        <v>0</v>
      </c>
      <c r="D141" s="79"/>
      <c r="E141" s="79"/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3" t="s">
        <v>109</v>
      </c>
      <c r="B142" s="124" t="s">
        <v>50</v>
      </c>
      <c r="C142" s="124"/>
      <c r="D142" s="125">
        <f>C139*C141/12/100</f>
        <v>0</v>
      </c>
      <c r="E142" s="125">
        <f>D142</f>
        <v>0</v>
      </c>
      <c r="F142" s="121"/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hidden="1" customHeight="1">
      <c r="A143" s="76" t="s">
        <v>100</v>
      </c>
      <c r="B143" s="77" t="s">
        <v>68</v>
      </c>
      <c r="C143" s="77">
        <f>C127</f>
        <v>1</v>
      </c>
      <c r="D143" s="78">
        <f>D127</f>
        <v>0</v>
      </c>
      <c r="E143" s="78">
        <f>C143*D143</f>
        <v>0</v>
      </c>
      <c r="F143" s="121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hidden="1" customHeight="1">
      <c r="A144" s="80" t="s">
        <v>106</v>
      </c>
      <c r="B144" s="81" t="s">
        <v>14</v>
      </c>
      <c r="C144" s="81">
        <f>C139</f>
        <v>0</v>
      </c>
      <c r="D144" s="79"/>
      <c r="E144" s="79"/>
      <c r="F144" s="121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hidden="1" customHeight="1">
      <c r="A145" s="80" t="s">
        <v>110</v>
      </c>
      <c r="B145" s="81" t="s">
        <v>50</v>
      </c>
      <c r="C145" s="79">
        <f>IFERROR(IF(C129&lt;=C128,E127-(C130/(100*C128)*C129)*E127,E127-E130),0)*0.35</f>
        <v>0</v>
      </c>
      <c r="D145" s="79"/>
      <c r="E145" s="79"/>
      <c r="F145" s="121"/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hidden="1" customHeight="1">
      <c r="A146" s="80" t="s">
        <v>111</v>
      </c>
      <c r="B146" s="81" t="s">
        <v>50</v>
      </c>
      <c r="C146" s="79">
        <f>IFERROR(IF(C129&gt;=C128,C145,((((C145)-(E127-E130))*(((C128-C129)+1)/(2*(C128-C129))))+(E127-E130))),0)</f>
        <v>0</v>
      </c>
      <c r="D146" s="79"/>
      <c r="E146" s="79"/>
      <c r="F146" s="121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hidden="1" customHeight="1">
      <c r="A147" s="128" t="s">
        <v>112</v>
      </c>
      <c r="B147" s="129" t="s">
        <v>50</v>
      </c>
      <c r="C147" s="129"/>
      <c r="D147" s="130">
        <f>C144*C146/12/100</f>
        <v>0</v>
      </c>
      <c r="E147" s="130">
        <f>D147</f>
        <v>0</v>
      </c>
      <c r="F147" s="121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8.25" customHeight="1">
      <c r="A148" s="84"/>
      <c r="B148" s="129"/>
      <c r="C148" s="129"/>
      <c r="D148" s="136"/>
      <c r="E148" s="87"/>
      <c r="F148" s="121"/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hidden="1" customHeight="1">
      <c r="A149" s="84" t="s">
        <v>113</v>
      </c>
      <c r="B149" s="129" t="s">
        <v>68</v>
      </c>
      <c r="C149" s="81">
        <f>C133</f>
        <v>1</v>
      </c>
      <c r="D149" s="136">
        <f>E142</f>
        <v>0</v>
      </c>
      <c r="E149" s="87">
        <f>C149*D149</f>
        <v>0</v>
      </c>
      <c r="F149" s="121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hidden="1" customHeight="1">
      <c r="A150" s="84" t="s">
        <v>114</v>
      </c>
      <c r="B150" s="129" t="s">
        <v>68</v>
      </c>
      <c r="C150" s="81">
        <v>1</v>
      </c>
      <c r="D150" s="136">
        <f>E147</f>
        <v>0</v>
      </c>
      <c r="E150" s="87">
        <f>C150*D150</f>
        <v>0</v>
      </c>
      <c r="F150" s="121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115</v>
      </c>
      <c r="B151" s="129" t="s">
        <v>68</v>
      </c>
      <c r="C151" s="81">
        <v>1</v>
      </c>
      <c r="D151" s="130">
        <f>E149+E150</f>
        <v>0</v>
      </c>
      <c r="E151" s="87">
        <f>C151*D151</f>
        <v>0</v>
      </c>
      <c r="F151" s="121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37"/>
      <c r="D152" s="90" t="s">
        <v>59</v>
      </c>
      <c r="E152" s="91">
        <f>E134</f>
        <v>1</v>
      </c>
      <c r="F152" s="118">
        <f>E151*E152</f>
        <v>0</v>
      </c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>
      <c r="A153" s="15"/>
      <c r="B153" s="15"/>
      <c r="C153" s="15"/>
      <c r="D153" s="16"/>
      <c r="E153" s="16"/>
      <c r="F153" s="16"/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 t="s">
        <v>116</v>
      </c>
      <c r="B154" s="15"/>
      <c r="C154" s="15"/>
      <c r="D154" s="16"/>
      <c r="E154" s="16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2" t="s">
        <v>29</v>
      </c>
      <c r="B155" s="73" t="s">
        <v>30</v>
      </c>
      <c r="C155" s="73" t="s">
        <v>20</v>
      </c>
      <c r="D155" s="74" t="s">
        <v>31</v>
      </c>
      <c r="E155" s="74" t="s">
        <v>32</v>
      </c>
      <c r="F155" s="75" t="s">
        <v>33</v>
      </c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hidden="1" customHeight="1">
      <c r="A156" s="76" t="s">
        <v>166</v>
      </c>
      <c r="B156" s="77" t="s">
        <v>68</v>
      </c>
      <c r="C156" s="78">
        <f>C133</f>
        <v>1</v>
      </c>
      <c r="D156" s="78">
        <v>0</v>
      </c>
      <c r="E156" s="78">
        <f>C156*D156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hidden="1" customHeight="1">
      <c r="A157" s="80" t="s">
        <v>117</v>
      </c>
      <c r="B157" s="81" t="s">
        <v>68</v>
      </c>
      <c r="C157" s="78">
        <f>C133</f>
        <v>1</v>
      </c>
      <c r="D157" s="99">
        <v>0</v>
      </c>
      <c r="E157" s="79">
        <f>C157*D157</f>
        <v>0</v>
      </c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80" t="s">
        <v>117</v>
      </c>
      <c r="B158" s="81" t="s">
        <v>68</v>
      </c>
      <c r="C158" s="78">
        <v>1</v>
      </c>
      <c r="D158" s="138">
        <f>1%*D122</f>
        <v>0</v>
      </c>
      <c r="E158" s="79">
        <f>C158*D158</f>
        <v>0</v>
      </c>
      <c r="F158" s="16"/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28" t="s">
        <v>118</v>
      </c>
      <c r="B159" s="129" t="s">
        <v>35</v>
      </c>
      <c r="C159" s="129">
        <v>12</v>
      </c>
      <c r="D159" s="130">
        <f>SUM(E156:E158)</f>
        <v>0</v>
      </c>
      <c r="E159" s="130">
        <f>D159/C159</f>
        <v>0</v>
      </c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90" t="s">
        <v>59</v>
      </c>
      <c r="E160" s="91">
        <f>E152</f>
        <v>1</v>
      </c>
      <c r="F160" s="92">
        <f>E159*E160</f>
        <v>0</v>
      </c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>
      <c r="A161" s="15"/>
      <c r="B161" s="15"/>
      <c r="C161" s="15"/>
      <c r="D161" s="16"/>
      <c r="E161" s="16"/>
      <c r="F161" s="16"/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 t="s">
        <v>168</v>
      </c>
      <c r="B162" s="139"/>
      <c r="C162" s="15"/>
      <c r="D162" s="16"/>
      <c r="E162" s="16"/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39"/>
      <c r="C163" s="15"/>
      <c r="D163" s="16"/>
      <c r="E163" s="16"/>
      <c r="F163" s="16"/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8" t="s">
        <v>120</v>
      </c>
      <c r="B164" s="140">
        <v>176</v>
      </c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39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72" t="s">
        <v>29</v>
      </c>
      <c r="B166" s="73" t="s">
        <v>30</v>
      </c>
      <c r="C166" s="73" t="s">
        <v>121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76" t="s">
        <v>122</v>
      </c>
      <c r="B167" s="77" t="s">
        <v>123</v>
      </c>
      <c r="C167" s="141"/>
      <c r="D167" s="142"/>
      <c r="E167" s="78"/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76" t="s">
        <v>124</v>
      </c>
      <c r="B168" s="77" t="s">
        <v>123</v>
      </c>
      <c r="C168" s="113"/>
      <c r="D168" s="142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80" t="s">
        <v>125</v>
      </c>
      <c r="B169" s="81" t="s">
        <v>126</v>
      </c>
      <c r="C169" s="79">
        <f>B164</f>
        <v>176</v>
      </c>
      <c r="D169" s="143">
        <f>(C167*D167)+(C168*D168)</f>
        <v>0</v>
      </c>
      <c r="E169" s="79">
        <f>IFERROR(C169*D169,"-")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" t="s">
        <v>127</v>
      </c>
      <c r="B170" s="129"/>
      <c r="C170" s="144"/>
      <c r="D170" s="145"/>
      <c r="E170" s="79"/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6"/>
      <c r="E171" s="16"/>
      <c r="F171" s="118">
        <f>SUM(E167:E169)</f>
        <v>0</v>
      </c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>
      <c r="A172" s="15"/>
      <c r="B172" s="15"/>
      <c r="C172" s="15"/>
      <c r="D172" s="16"/>
      <c r="E172" s="16"/>
      <c r="F172" s="16"/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 t="s">
        <v>128</v>
      </c>
      <c r="B173" s="15"/>
      <c r="C173" s="15"/>
      <c r="D173" s="16"/>
      <c r="E173" s="16"/>
      <c r="F173" s="16"/>
      <c r="G173" s="16"/>
      <c r="H173" s="15"/>
      <c r="I173" s="122"/>
      <c r="J173" s="122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72" t="s">
        <v>29</v>
      </c>
      <c r="B174" s="73" t="s">
        <v>30</v>
      </c>
      <c r="C174" s="73" t="s">
        <v>20</v>
      </c>
      <c r="D174" s="74" t="s">
        <v>31</v>
      </c>
      <c r="E174" s="74" t="s">
        <v>32</v>
      </c>
      <c r="F174" s="75" t="s">
        <v>33</v>
      </c>
      <c r="G174" s="16"/>
      <c r="H174" s="15"/>
      <c r="I174" s="122"/>
      <c r="J174" s="122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76" t="s">
        <v>169</v>
      </c>
      <c r="B175" s="77" t="s">
        <v>130</v>
      </c>
      <c r="C175" s="79">
        <f>C169</f>
        <v>176</v>
      </c>
      <c r="D175" s="113"/>
      <c r="E175" s="78">
        <f>C175*D175</f>
        <v>0</v>
      </c>
      <c r="F175" s="16"/>
      <c r="G175" s="16"/>
      <c r="H175" s="15"/>
      <c r="I175" s="122"/>
      <c r="J175" s="122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6"/>
      <c r="E176" s="16"/>
      <c r="F176" s="118">
        <f>E175</f>
        <v>0</v>
      </c>
      <c r="G176" s="16"/>
      <c r="H176" s="15"/>
      <c r="I176" s="122"/>
      <c r="J176" s="122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>
      <c r="A177" s="15"/>
      <c r="B177" s="15"/>
      <c r="C177" s="15"/>
      <c r="D177" s="16"/>
      <c r="E177" s="16"/>
      <c r="F177" s="16"/>
      <c r="G177" s="16"/>
      <c r="H177" s="15"/>
      <c r="I177" s="122"/>
      <c r="J177" s="122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15" t="s">
        <v>131</v>
      </c>
      <c r="B178" s="15"/>
      <c r="C178" s="15"/>
      <c r="D178" s="16"/>
      <c r="E178" s="16"/>
      <c r="F178" s="16"/>
      <c r="G178" s="16"/>
      <c r="H178" s="15"/>
      <c r="I178" s="122"/>
      <c r="J178" s="122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72" t="s">
        <v>29</v>
      </c>
      <c r="B179" s="73" t="s">
        <v>30</v>
      </c>
      <c r="C179" s="73" t="s">
        <v>20</v>
      </c>
      <c r="D179" s="74" t="s">
        <v>31</v>
      </c>
      <c r="E179" s="74" t="s">
        <v>32</v>
      </c>
      <c r="F179" s="75" t="s">
        <v>33</v>
      </c>
      <c r="G179" s="16"/>
      <c r="H179" s="15"/>
      <c r="I179" s="122"/>
      <c r="J179" s="122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76" t="s">
        <v>132</v>
      </c>
      <c r="B180" s="77" t="s">
        <v>68</v>
      </c>
      <c r="C180" s="146">
        <v>0</v>
      </c>
      <c r="D180" s="126">
        <v>6000</v>
      </c>
      <c r="E180" s="78">
        <f>C180*D180</f>
        <v>0</v>
      </c>
      <c r="F180" s="16"/>
      <c r="G180" s="16"/>
      <c r="H180" s="15"/>
      <c r="I180" s="122"/>
      <c r="J180" s="122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76" t="s">
        <v>133</v>
      </c>
      <c r="B181" s="77" t="s">
        <v>68</v>
      </c>
      <c r="C181" s="146">
        <v>2</v>
      </c>
      <c r="D181" s="78"/>
      <c r="E181" s="78"/>
      <c r="F181" s="16"/>
      <c r="G181" s="16"/>
      <c r="H181" s="15"/>
      <c r="I181" s="122"/>
      <c r="J181" s="122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76" t="s">
        <v>134</v>
      </c>
      <c r="B182" s="77" t="s">
        <v>68</v>
      </c>
      <c r="C182" s="78">
        <f>C180*C181</f>
        <v>0</v>
      </c>
      <c r="D182" s="126">
        <v>3000</v>
      </c>
      <c r="E182" s="78">
        <f>C182*D182</f>
        <v>0</v>
      </c>
      <c r="F182" s="16"/>
      <c r="G182" s="16"/>
      <c r="H182" s="15"/>
      <c r="I182" s="122"/>
      <c r="J182" s="122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 t="s">
        <v>135</v>
      </c>
      <c r="B183" s="81" t="s">
        <v>136</v>
      </c>
      <c r="C183" s="147">
        <v>10000</v>
      </c>
      <c r="D183" s="79">
        <f>E180+E182</f>
        <v>0</v>
      </c>
      <c r="E183" s="79">
        <f>IFERROR(D183/C183,"-")</f>
        <v>0</v>
      </c>
      <c r="F183" s="16"/>
      <c r="G183" s="16"/>
      <c r="H183" s="15"/>
      <c r="I183" s="122"/>
      <c r="J183" s="122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137</v>
      </c>
      <c r="B184" s="81" t="s">
        <v>138</v>
      </c>
      <c r="C184" s="79">
        <f>B164</f>
        <v>176</v>
      </c>
      <c r="D184" s="79">
        <f>E183</f>
        <v>0</v>
      </c>
      <c r="E184" s="79">
        <f>IFERROR(C184*D184,0)</f>
        <v>0</v>
      </c>
      <c r="F184" s="16"/>
      <c r="G184" s="16"/>
      <c r="H184" s="15"/>
      <c r="I184" s="122"/>
      <c r="J184" s="122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15"/>
      <c r="B185" s="15"/>
      <c r="C185" s="15"/>
      <c r="D185" s="16"/>
      <c r="E185" s="16"/>
      <c r="F185" s="118">
        <f>E184</f>
        <v>0</v>
      </c>
      <c r="G185" s="16"/>
      <c r="H185" s="15"/>
      <c r="I185" s="122"/>
      <c r="J185" s="122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08" t="s">
        <v>139</v>
      </c>
      <c r="B187" s="109"/>
      <c r="C187" s="109"/>
      <c r="D187" s="49"/>
      <c r="E187" s="110"/>
      <c r="F187" s="118">
        <f>+SUM(F122:F186)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140</v>
      </c>
      <c r="B189" s="36"/>
      <c r="C189" s="36"/>
      <c r="D189" s="35"/>
      <c r="E189" s="35"/>
      <c r="F189" s="8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141</v>
      </c>
      <c r="B192" s="81" t="s">
        <v>68</v>
      </c>
      <c r="C192" s="148">
        <v>0</v>
      </c>
      <c r="D192" s="126">
        <v>50</v>
      </c>
      <c r="E192" s="79">
        <f>C192*D192</f>
        <v>0</v>
      </c>
      <c r="F192" s="121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/>
      <c r="B193" s="81"/>
      <c r="C193" s="148"/>
      <c r="D193" s="126"/>
      <c r="E193" s="79">
        <f>C193*D193</f>
        <v>0</v>
      </c>
      <c r="F193" s="121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/>
      <c r="B194" s="81"/>
      <c r="C194" s="148"/>
      <c r="D194" s="126"/>
      <c r="E194" s="79">
        <f>C194*D194</f>
        <v>0</v>
      </c>
      <c r="F194" s="121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/>
      <c r="B195" s="81"/>
      <c r="C195" s="112"/>
      <c r="D195" s="126"/>
      <c r="E195" s="79"/>
      <c r="F195" s="121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80"/>
      <c r="B196" s="81"/>
      <c r="C196" s="79"/>
      <c r="D196" s="99"/>
      <c r="E196" s="79">
        <f>C196*D196</f>
        <v>0</v>
      </c>
      <c r="F196" s="121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hidden="1" customHeight="1">
      <c r="A197" s="80" t="s">
        <v>142</v>
      </c>
      <c r="B197" s="81" t="s">
        <v>143</v>
      </c>
      <c r="C197" s="148"/>
      <c r="D197" s="126"/>
      <c r="E197" s="79">
        <f>C197*D197</f>
        <v>0</v>
      </c>
      <c r="F197" s="121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hidden="1" customHeight="1">
      <c r="A198" s="36"/>
      <c r="B198" s="36"/>
      <c r="C198" s="36"/>
      <c r="D198" s="36"/>
      <c r="E198" s="35"/>
      <c r="F198" s="118">
        <f>SUM(E192:E197)</f>
        <v>0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hidden="1" customHeight="1">
      <c r="A199" s="15"/>
      <c r="B199" s="15"/>
      <c r="C199" s="15"/>
      <c r="D199" s="16"/>
      <c r="E199" s="16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hidden="1" customHeight="1">
      <c r="A200" s="108" t="s">
        <v>144</v>
      </c>
      <c r="B200" s="109"/>
      <c r="C200" s="109"/>
      <c r="D200" s="49"/>
      <c r="E200" s="110"/>
      <c r="F200" s="118">
        <f>+F198</f>
        <v>0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hidden="1" customHeight="1">
      <c r="A201" s="15"/>
      <c r="B201" s="15"/>
      <c r="C201" s="15"/>
      <c r="D201" s="16"/>
      <c r="E201" s="16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hidden="1" customHeight="1">
      <c r="A202" s="36" t="s">
        <v>145</v>
      </c>
      <c r="B202" s="36"/>
      <c r="C202" s="36"/>
      <c r="D202" s="35"/>
      <c r="E202" s="35"/>
      <c r="F202" s="8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hidden="1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hidden="1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hidden="1" customHeight="1">
      <c r="A205" s="80" t="s">
        <v>146</v>
      </c>
      <c r="B205" s="149" t="s">
        <v>143</v>
      </c>
      <c r="C205" s="102">
        <v>0</v>
      </c>
      <c r="D205" s="99">
        <v>600</v>
      </c>
      <c r="E205" s="79">
        <f>+D205*C205</f>
        <v>0</v>
      </c>
      <c r="F205" s="121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hidden="1" customHeight="1">
      <c r="A206" s="80" t="s">
        <v>147</v>
      </c>
      <c r="B206" s="149" t="s">
        <v>35</v>
      </c>
      <c r="C206" s="81">
        <v>60</v>
      </c>
      <c r="D206" s="150">
        <f>SUM(E205)</f>
        <v>0</v>
      </c>
      <c r="E206" s="150">
        <f>+D206/C206</f>
        <v>0</v>
      </c>
      <c r="F206" s="121"/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hidden="1" customHeight="1">
      <c r="A207" s="80" t="s">
        <v>148</v>
      </c>
      <c r="B207" s="149" t="s">
        <v>35</v>
      </c>
      <c r="C207" s="81">
        <v>1</v>
      </c>
      <c r="D207" s="99">
        <v>100</v>
      </c>
      <c r="E207" s="79">
        <f>C207*D207</f>
        <v>100</v>
      </c>
      <c r="F207" s="121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hidden="1" customHeight="1">
      <c r="A208" s="80" t="s">
        <v>148</v>
      </c>
      <c r="B208" s="149" t="s">
        <v>149</v>
      </c>
      <c r="C208" s="81">
        <v>0</v>
      </c>
      <c r="D208" s="150">
        <f>+E207</f>
        <v>100</v>
      </c>
      <c r="E208" s="150">
        <f>C208*D208</f>
        <v>0</v>
      </c>
      <c r="F208" s="121"/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hidden="1" customHeight="1">
      <c r="A209" s="101"/>
      <c r="B209" s="101"/>
      <c r="C209" s="15"/>
      <c r="D209" s="90" t="s">
        <v>59</v>
      </c>
      <c r="E209" s="91">
        <f>E152</f>
        <v>1</v>
      </c>
      <c r="F209" s="118">
        <f>(E208+E206)*E209</f>
        <v>0</v>
      </c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hidden="1" customHeight="1">
      <c r="A210" s="15"/>
      <c r="B210" s="15"/>
      <c r="C210" s="15"/>
      <c r="D210" s="16"/>
      <c r="E210" s="16"/>
      <c r="F210" s="16"/>
      <c r="G210" s="151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</row>
    <row r="211" spans="1:26" ht="12.75" hidden="1" customHeight="1">
      <c r="A211" s="108" t="s">
        <v>150</v>
      </c>
      <c r="B211" s="109"/>
      <c r="C211" s="109"/>
      <c r="D211" s="49"/>
      <c r="E211" s="110"/>
      <c r="F211" s="118">
        <f>+F209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1.25" customHeight="1">
      <c r="A212" s="15"/>
      <c r="B212" s="15"/>
      <c r="C212" s="15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7.25" customHeight="1">
      <c r="A213" s="108" t="s">
        <v>151</v>
      </c>
      <c r="B213" s="115"/>
      <c r="C213" s="115"/>
      <c r="D213" s="116"/>
      <c r="E213" s="117"/>
      <c r="F213" s="98">
        <f>+F93+F114+F187+F200+F211</f>
        <v>0</v>
      </c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1.25" customHeight="1">
      <c r="A214" s="15"/>
      <c r="B214" s="15"/>
      <c r="C214" s="15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36" t="s">
        <v>152</v>
      </c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1.25" customHeight="1">
      <c r="A216" s="15"/>
      <c r="B216" s="15"/>
      <c r="C216" s="15"/>
      <c r="D216" s="16"/>
      <c r="E216" s="16"/>
      <c r="F216" s="16"/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72" t="s">
        <v>29</v>
      </c>
      <c r="B217" s="73" t="s">
        <v>30</v>
      </c>
      <c r="C217" s="73" t="s">
        <v>20</v>
      </c>
      <c r="D217" s="74" t="s">
        <v>31</v>
      </c>
      <c r="E217" s="74" t="s">
        <v>32</v>
      </c>
      <c r="F217" s="75" t="s">
        <v>33</v>
      </c>
      <c r="G217" s="16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76" t="s">
        <v>153</v>
      </c>
      <c r="B218" s="77" t="s">
        <v>14</v>
      </c>
      <c r="C218" s="88">
        <f>'26.BDI'!C21*100</f>
        <v>18.96</v>
      </c>
      <c r="D218" s="78">
        <f>+F213</f>
        <v>0</v>
      </c>
      <c r="E218" s="78">
        <f>C218*D218/100</f>
        <v>0</v>
      </c>
      <c r="F218" s="16"/>
      <c r="G218" s="16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6"/>
      <c r="E219" s="16"/>
      <c r="F219" s="118">
        <f>+E218</f>
        <v>0</v>
      </c>
      <c r="G219" s="16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>
      <c r="A220" s="15"/>
      <c r="B220" s="15"/>
      <c r="C220" s="15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8" t="s">
        <v>154</v>
      </c>
      <c r="B221" s="115"/>
      <c r="C221" s="115"/>
      <c r="D221" s="116"/>
      <c r="E221" s="117"/>
      <c r="F221" s="98">
        <f>F219</f>
        <v>0</v>
      </c>
      <c r="G221" s="16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36"/>
      <c r="B222" s="36"/>
      <c r="C222" s="36"/>
      <c r="D222" s="35"/>
      <c r="E222" s="35"/>
      <c r="F222" s="86"/>
      <c r="G222" s="16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>
      <c r="A223" s="15"/>
      <c r="B223" s="15"/>
      <c r="C223" s="15"/>
      <c r="D223" s="16"/>
      <c r="E223" s="16"/>
      <c r="F223" s="16"/>
      <c r="G223" s="16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4.75" customHeight="1">
      <c r="A224" s="108" t="s">
        <v>155</v>
      </c>
      <c r="B224" s="115"/>
      <c r="C224" s="115"/>
      <c r="D224" s="116"/>
      <c r="E224" s="117"/>
      <c r="F224" s="98">
        <f>F213+F221</f>
        <v>0</v>
      </c>
      <c r="G224" s="16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" customHeight="1">
      <c r="A225" s="14"/>
      <c r="B225" s="14"/>
      <c r="C225" s="14"/>
      <c r="D225" s="153"/>
      <c r="E225" s="153"/>
      <c r="F225" s="153"/>
      <c r="G225" s="16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23"/>
      <c r="B226" s="23"/>
      <c r="C226" s="23"/>
      <c r="D226" s="22"/>
      <c r="E226" s="22"/>
      <c r="F226" s="16"/>
      <c r="G226" s="16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4" t="s">
        <v>156</v>
      </c>
      <c r="B227" s="53"/>
      <c r="C227" s="53"/>
      <c r="D227" s="155">
        <v>176</v>
      </c>
      <c r="E227" s="156" t="s">
        <v>157</v>
      </c>
      <c r="F227" s="16"/>
      <c r="G227" s="16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6"/>
      <c r="E228" s="16"/>
      <c r="F228" s="16"/>
      <c r="G228" s="16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25.5" customHeight="1">
      <c r="A229" s="108" t="s">
        <v>158</v>
      </c>
      <c r="B229" s="109"/>
      <c r="C229" s="109"/>
      <c r="D229" s="49"/>
      <c r="E229" s="157" t="s">
        <v>159</v>
      </c>
      <c r="F229" s="158">
        <f>F224/D227</f>
        <v>0</v>
      </c>
      <c r="G229" s="16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" customHeight="1"/>
    <row r="231" spans="1:26" ht="13.5" customHeight="1"/>
    <row r="232" spans="1:26" ht="9.75" customHeight="1"/>
    <row r="233" spans="1:26" ht="9.75" customHeight="1"/>
    <row r="234" spans="1:26" ht="12.75" customHeight="1"/>
    <row r="235" spans="1:26" ht="12.75" customHeight="1"/>
    <row r="236" spans="1:26" ht="12.75" customHeight="1"/>
    <row r="237" spans="1:26" ht="12.75" customHeight="1"/>
    <row r="238" spans="1:26" ht="12.75" customHeight="1"/>
    <row r="239" spans="1:26" ht="12.75" customHeight="1"/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9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7">
    <mergeCell ref="A37:D37"/>
    <mergeCell ref="A43:D43"/>
    <mergeCell ref="A11:F11"/>
    <mergeCell ref="A12:F12"/>
    <mergeCell ref="A14:F14"/>
    <mergeCell ref="A21:C21"/>
    <mergeCell ref="A36:E36"/>
  </mergeCells>
  <hyperlinks>
    <hyperlink ref="A24" location="Google_Sheet_Link_543727741" display="3.1.1. Depreciação"/>
    <hyperlink ref="A25" location="Google_Sheet_Link_759525048" display="3.1.2. Remuneração do Capital"/>
    <hyperlink ref="A120" location="Google_Sheet_Link_543727741" display="3.1.1. Depreciação"/>
    <hyperlink ref="A136" location="Google_Sheet_Link_759525048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90"/>
  <sheetViews>
    <sheetView workbookViewId="0">
      <selection activeCell="D11" sqref="A1:D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customHeight="1">
      <c r="A1" s="13" t="s">
        <v>192</v>
      </c>
      <c r="B1" s="13"/>
      <c r="C1" s="13"/>
      <c r="D1" s="13"/>
      <c r="E1" s="13"/>
      <c r="F1" s="13"/>
      <c r="G1" s="22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1.75" customHeight="1">
      <c r="A2" s="12" t="s">
        <v>10</v>
      </c>
      <c r="B2" s="12"/>
      <c r="C2" s="12"/>
      <c r="D2" s="12"/>
      <c r="E2" s="12"/>
      <c r="F2" s="12"/>
      <c r="G2" s="22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0.5" customHeight="1">
      <c r="A3" s="24"/>
      <c r="B3" s="18"/>
      <c r="C3" s="18"/>
      <c r="D3" s="16"/>
      <c r="E3" s="16"/>
      <c r="F3" s="25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5.75" customHeight="1">
      <c r="A4" s="11" t="s">
        <v>11</v>
      </c>
      <c r="B4" s="11"/>
      <c r="C4" s="11"/>
      <c r="D4" s="11"/>
      <c r="E4" s="11"/>
      <c r="F4" s="11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.75" customHeight="1">
      <c r="A5" s="26" t="s">
        <v>12</v>
      </c>
      <c r="B5" s="27"/>
      <c r="C5" s="27"/>
      <c r="D5" s="28"/>
      <c r="E5" s="29" t="s">
        <v>13</v>
      </c>
      <c r="F5" s="30" t="s">
        <v>14</v>
      </c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>
      <c r="A6" s="31" t="str">
        <f>A39</f>
        <v>1. Mão-de-obra</v>
      </c>
      <c r="B6" s="32"/>
      <c r="C6" s="32"/>
      <c r="D6" s="32"/>
      <c r="E6" s="33">
        <f>+F83</f>
        <v>0</v>
      </c>
      <c r="F6" s="34">
        <f t="shared" ref="F6:F22" si="0">IFERROR(E6/$E$23,0)</f>
        <v>0</v>
      </c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ht="15.75" customHeight="1">
      <c r="A7" s="37" t="str">
        <f>A41</f>
        <v xml:space="preserve">1.1. Operador de Máquinas </v>
      </c>
      <c r="B7" s="38"/>
      <c r="C7" s="38"/>
      <c r="D7" s="38"/>
      <c r="E7" s="39">
        <f>F60</f>
        <v>0</v>
      </c>
      <c r="F7" s="40">
        <f t="shared" si="0"/>
        <v>0</v>
      </c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>
      <c r="A8" s="37" t="str">
        <f>A62</f>
        <v>1.2. Vale Transporte</v>
      </c>
      <c r="B8" s="38"/>
      <c r="C8" s="38"/>
      <c r="D8" s="38"/>
      <c r="E8" s="39">
        <f>F68</f>
        <v>0</v>
      </c>
      <c r="F8" s="40">
        <f t="shared" si="0"/>
        <v>0</v>
      </c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.75" customHeight="1">
      <c r="A9" s="37" t="str">
        <f>A70</f>
        <v>1.3. Vale-refeição (mensal)</v>
      </c>
      <c r="B9" s="38"/>
      <c r="C9" s="38"/>
      <c r="D9" s="38"/>
      <c r="E9" s="39">
        <f>F75</f>
        <v>0</v>
      </c>
      <c r="F9" s="40">
        <f t="shared" si="0"/>
        <v>0</v>
      </c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5.75" customHeight="1">
      <c r="A10" s="37" t="str">
        <f>A77</f>
        <v>1.4. Plano de Benefício Social  (Seguro de vida) e (Manutenção e Capacitação Profissional )</v>
      </c>
      <c r="B10" s="38"/>
      <c r="C10" s="38"/>
      <c r="D10" s="38"/>
      <c r="E10" s="39">
        <f>F81</f>
        <v>0</v>
      </c>
      <c r="F10" s="40">
        <f t="shared" si="0"/>
        <v>0</v>
      </c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5.75" customHeight="1">
      <c r="A11" s="10" t="str">
        <f>A85</f>
        <v>2. Uniformes e Equipamentos de Proteção Individual</v>
      </c>
      <c r="B11" s="10"/>
      <c r="C11" s="10"/>
      <c r="D11" s="32"/>
      <c r="E11" s="33">
        <f>+F104</f>
        <v>0</v>
      </c>
      <c r="F11" s="34">
        <f t="shared" si="0"/>
        <v>0</v>
      </c>
      <c r="G11" s="35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15.75" customHeight="1">
      <c r="A12" s="41" t="str">
        <f>A106</f>
        <v xml:space="preserve">3. Veículos e Máquinas </v>
      </c>
      <c r="B12" s="42"/>
      <c r="C12" s="32"/>
      <c r="D12" s="32"/>
      <c r="E12" s="33">
        <f>+F174</f>
        <v>0</v>
      </c>
      <c r="F12" s="34">
        <f t="shared" si="0"/>
        <v>0</v>
      </c>
      <c r="G12" s="35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5.75" customHeight="1">
      <c r="A13" s="43" t="str">
        <f>A108</f>
        <v xml:space="preserve">3.1. Veículo/Máquina </v>
      </c>
      <c r="B13" s="44"/>
      <c r="C13" s="38"/>
      <c r="D13" s="38"/>
      <c r="E13" s="39">
        <f>SUM(E14:E19)</f>
        <v>0</v>
      </c>
      <c r="F13" s="40">
        <f t="shared" si="0"/>
        <v>0</v>
      </c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45" t="s">
        <v>15</v>
      </c>
      <c r="B14" s="44"/>
      <c r="C14" s="38"/>
      <c r="D14" s="38"/>
      <c r="E14" s="39">
        <f>F124</f>
        <v>0</v>
      </c>
      <c r="F14" s="40">
        <f t="shared" si="0"/>
        <v>0</v>
      </c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45" t="s">
        <v>16</v>
      </c>
      <c r="B15" s="44"/>
      <c r="C15" s="38"/>
      <c r="D15" s="38"/>
      <c r="E15" s="39">
        <f>F142</f>
        <v>0</v>
      </c>
      <c r="F15" s="40">
        <f t="shared" si="0"/>
        <v>0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43" t="str">
        <f>A144</f>
        <v>3.1.3. Impostos e Seguros</v>
      </c>
      <c r="B16" s="44"/>
      <c r="C16" s="38"/>
      <c r="D16" s="38"/>
      <c r="E16" s="39">
        <f>F148</f>
        <v>0</v>
      </c>
      <c r="F16" s="40">
        <f t="shared" si="0"/>
        <v>0</v>
      </c>
      <c r="G16" s="16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>
      <c r="A17" s="43" t="str">
        <f>A149</f>
        <v xml:space="preserve">3.1.4. Consumos óleo diesel </v>
      </c>
      <c r="B17" s="44"/>
      <c r="C17" s="38"/>
      <c r="D17" s="38"/>
      <c r="E17" s="39">
        <f>F158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43" t="str">
        <f>A160</f>
        <v xml:space="preserve">3.1.5. Manutenção/Consumos </v>
      </c>
      <c r="B18" s="44"/>
      <c r="C18" s="38"/>
      <c r="D18" s="38"/>
      <c r="E18" s="39">
        <f>F163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hidden="1" customHeight="1">
      <c r="A19" s="43" t="str">
        <f>A165</f>
        <v>3.1.6. Pneus</v>
      </c>
      <c r="B19" s="44"/>
      <c r="C19" s="38"/>
      <c r="D19" s="38"/>
      <c r="E19" s="39">
        <f>F172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hidden="1" customHeight="1">
      <c r="A20" s="41" t="str">
        <f>A176</f>
        <v xml:space="preserve">4. Ferramentas e materiais </v>
      </c>
      <c r="B20" s="42"/>
      <c r="C20" s="32"/>
      <c r="D20" s="32"/>
      <c r="E20" s="33">
        <f>+F187</f>
        <v>0</v>
      </c>
      <c r="F20" s="34">
        <f t="shared" si="0"/>
        <v>0</v>
      </c>
      <c r="G20" s="35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ht="15.75" hidden="1" customHeight="1">
      <c r="A21" s="41" t="str">
        <f>A189</f>
        <v xml:space="preserve">5. Monitoramento da frota  </v>
      </c>
      <c r="B21" s="42"/>
      <c r="C21" s="32"/>
      <c r="D21" s="32"/>
      <c r="E21" s="33">
        <f>+F198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A202</f>
        <v>4. Benefícios e Despesas Indiretas - BDI</v>
      </c>
      <c r="B22" s="42"/>
      <c r="C22" s="32"/>
      <c r="D22" s="32"/>
      <c r="E22" s="46">
        <f>+F208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7" t="s">
        <v>17</v>
      </c>
      <c r="B23" s="48"/>
      <c r="C23" s="49"/>
      <c r="D23" s="49"/>
      <c r="E23" s="50">
        <f>E6+E11+E12+E20+E21+E22</f>
        <v>0</v>
      </c>
      <c r="F23" s="51">
        <f>F6+F11+F12+F20+F21+F22</f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2.75" customHeight="1">
      <c r="A24" s="15"/>
      <c r="B24" s="15"/>
      <c r="C24" s="15"/>
      <c r="D24" s="16"/>
      <c r="E24" s="16"/>
      <c r="F24" s="16"/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2.75" customHeight="1">
      <c r="A25" s="15"/>
      <c r="B25" s="15"/>
      <c r="C25" s="15"/>
      <c r="D25" s="16"/>
      <c r="E25" s="16"/>
      <c r="F25" s="16"/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" customHeight="1">
      <c r="A26" s="11" t="s">
        <v>18</v>
      </c>
      <c r="B26" s="11"/>
      <c r="C26" s="11"/>
      <c r="D26" s="11"/>
      <c r="E26" s="11"/>
      <c r="F26" s="16"/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" customHeight="1">
      <c r="A27" s="9" t="s">
        <v>19</v>
      </c>
      <c r="B27" s="9"/>
      <c r="C27" s="9"/>
      <c r="D27" s="9"/>
      <c r="E27" s="52" t="s">
        <v>20</v>
      </c>
      <c r="F27" s="16"/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" customHeight="1">
      <c r="A28" s="37" t="s">
        <v>21</v>
      </c>
      <c r="B28" s="38"/>
      <c r="C28" s="38"/>
      <c r="D28" s="53"/>
      <c r="E28" s="54">
        <f>C59</f>
        <v>1</v>
      </c>
      <c r="F28" s="16"/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" customHeight="1">
      <c r="A29" s="37" t="s">
        <v>22</v>
      </c>
      <c r="B29" s="38"/>
      <c r="C29" s="38"/>
      <c r="D29" s="53"/>
      <c r="E29" s="55"/>
      <c r="F29" s="16"/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" customHeight="1">
      <c r="A30" s="37" t="s">
        <v>23</v>
      </c>
      <c r="B30" s="38"/>
      <c r="C30" s="38"/>
      <c r="D30" s="53"/>
      <c r="E30" s="56">
        <v>0</v>
      </c>
      <c r="F30" s="16"/>
      <c r="G30" s="16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" customHeight="1">
      <c r="A31" s="57" t="s">
        <v>24</v>
      </c>
      <c r="B31" s="58"/>
      <c r="C31" s="58"/>
      <c r="D31" s="59"/>
      <c r="E31" s="60">
        <f>SUM(E28)</f>
        <v>1</v>
      </c>
      <c r="F31" s="16"/>
      <c r="G31" s="16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" customHeight="1">
      <c r="A32" s="61"/>
      <c r="B32" s="62"/>
      <c r="C32" s="16"/>
      <c r="D32" s="16"/>
      <c r="E32" s="25"/>
      <c r="F32" s="16"/>
      <c r="G32" s="16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" customHeight="1">
      <c r="A33" s="8" t="s">
        <v>25</v>
      </c>
      <c r="B33" s="8"/>
      <c r="C33" s="8"/>
      <c r="D33" s="8"/>
      <c r="E33" s="52" t="s">
        <v>20</v>
      </c>
      <c r="F33" s="15"/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" customHeight="1">
      <c r="A34" s="63" t="str">
        <f>+A108</f>
        <v xml:space="preserve">3.1. Veículo/Máquina </v>
      </c>
      <c r="B34" s="64"/>
      <c r="C34" s="64"/>
      <c r="D34" s="65"/>
      <c r="E34" s="66">
        <f>C123</f>
        <v>1</v>
      </c>
      <c r="F34" s="15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" customHeight="1">
      <c r="A35" s="16"/>
      <c r="B35" s="16"/>
      <c r="C35" s="16"/>
      <c r="D35" s="15"/>
      <c r="E35" s="67"/>
      <c r="F35" s="15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>
      <c r="A36" s="16"/>
      <c r="B36" s="16"/>
      <c r="C36" s="16"/>
      <c r="D36" s="15"/>
      <c r="E36" s="68"/>
      <c r="F36" s="15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>
      <c r="A37" s="69" t="s">
        <v>26</v>
      </c>
      <c r="B37" s="70">
        <f>'27.Horários'!F17/'27.Horários'!F18</f>
        <v>1</v>
      </c>
      <c r="C37" s="35"/>
      <c r="D37" s="36"/>
      <c r="E37" s="71"/>
      <c r="F37" s="36"/>
      <c r="G37" s="35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 ht="15.75" customHeight="1">
      <c r="A38" s="16"/>
      <c r="B38" s="16"/>
      <c r="C38" s="16"/>
      <c r="D38" s="15"/>
      <c r="E38" s="68"/>
      <c r="F38" s="15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2.75" customHeight="1">
      <c r="A39" s="36" t="s">
        <v>27</v>
      </c>
      <c r="B39" s="15"/>
      <c r="C39" s="15"/>
      <c r="D39" s="16"/>
      <c r="E39" s="16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1.25" customHeight="1">
      <c r="A40" s="15"/>
      <c r="B40" s="15"/>
      <c r="C40" s="15"/>
      <c r="D40" s="16"/>
      <c r="E40" s="16"/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2.75" customHeight="1">
      <c r="A41" s="15" t="s">
        <v>28</v>
      </c>
      <c r="B41" s="15"/>
      <c r="C41" s="15"/>
      <c r="D41" s="16"/>
      <c r="E41" s="16"/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>
      <c r="A42" s="72" t="s">
        <v>29</v>
      </c>
      <c r="B42" s="73" t="s">
        <v>30</v>
      </c>
      <c r="C42" s="73" t="s">
        <v>20</v>
      </c>
      <c r="D42" s="74" t="s">
        <v>31</v>
      </c>
      <c r="E42" s="74" t="s">
        <v>32</v>
      </c>
      <c r="F42" s="75" t="s">
        <v>33</v>
      </c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>
      <c r="A43" s="76" t="s">
        <v>34</v>
      </c>
      <c r="B43" s="77" t="s">
        <v>35</v>
      </c>
      <c r="C43" s="77">
        <v>1</v>
      </c>
      <c r="D43" s="78">
        <f>ROUND((E29*E30)+E29,2)</f>
        <v>0</v>
      </c>
      <c r="E43" s="78">
        <f>C43*D43</f>
        <v>0</v>
      </c>
      <c r="F43" s="16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hidden="1" customHeight="1">
      <c r="A44" s="76" t="s">
        <v>36</v>
      </c>
      <c r="B44" s="77" t="s">
        <v>35</v>
      </c>
      <c r="C44" s="77">
        <v>1</v>
      </c>
      <c r="D44" s="79">
        <v>1100</v>
      </c>
      <c r="E44" s="79"/>
      <c r="F44" s="16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hidden="1" customHeight="1">
      <c r="A45" s="80" t="s">
        <v>37</v>
      </c>
      <c r="B45" s="81" t="s">
        <v>38</v>
      </c>
      <c r="C45" s="82"/>
      <c r="D45" s="80"/>
      <c r="E45" s="80"/>
      <c r="F45" s="16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hidden="1" customHeight="1">
      <c r="A46" s="80"/>
      <c r="B46" s="81" t="s">
        <v>39</v>
      </c>
      <c r="C46" s="79">
        <f>C45*8/7</f>
        <v>0</v>
      </c>
      <c r="D46" s="79">
        <f>D43/220*0.2</f>
        <v>0</v>
      </c>
      <c r="E46" s="79">
        <f>C45*D46</f>
        <v>0</v>
      </c>
      <c r="F46" s="16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hidden="1" customHeight="1">
      <c r="A47" s="80" t="s">
        <v>40</v>
      </c>
      <c r="B47" s="81" t="s">
        <v>41</v>
      </c>
      <c r="C47" s="82"/>
      <c r="D47" s="79">
        <f>D43/220*2</f>
        <v>0</v>
      </c>
      <c r="E47" s="79">
        <f>C47*D47</f>
        <v>0</v>
      </c>
      <c r="F47" s="16"/>
      <c r="G47" s="16" t="s">
        <v>42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hidden="1" customHeight="1">
      <c r="A48" s="80" t="s">
        <v>43</v>
      </c>
      <c r="B48" s="81" t="s">
        <v>38</v>
      </c>
      <c r="C48" s="82"/>
      <c r="D48" s="79"/>
      <c r="E48" s="79"/>
      <c r="F48" s="16"/>
      <c r="G48" s="16" t="s">
        <v>44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hidden="1" customHeight="1">
      <c r="A49" s="80"/>
      <c r="B49" s="81" t="s">
        <v>39</v>
      </c>
      <c r="C49" s="79">
        <f>C48*8/7</f>
        <v>0</v>
      </c>
      <c r="D49" s="79">
        <f>D43/220*2*1.2</f>
        <v>0</v>
      </c>
      <c r="E49" s="79">
        <f>C49*D49</f>
        <v>0</v>
      </c>
      <c r="F49" s="16"/>
      <c r="G49" s="16" t="s">
        <v>44</v>
      </c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hidden="1" customHeight="1">
      <c r="A50" s="80" t="s">
        <v>45</v>
      </c>
      <c r="B50" s="81" t="s">
        <v>41</v>
      </c>
      <c r="C50" s="82"/>
      <c r="D50" s="79">
        <f>D43/220*1.5</f>
        <v>0</v>
      </c>
      <c r="E50" s="79">
        <f>C50*D50</f>
        <v>0</v>
      </c>
      <c r="F50" s="16"/>
      <c r="G50" s="16" t="s">
        <v>46</v>
      </c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hidden="1" customHeight="1">
      <c r="A51" s="80" t="s">
        <v>47</v>
      </c>
      <c r="B51" s="81" t="s">
        <v>38</v>
      </c>
      <c r="C51" s="82"/>
      <c r="D51" s="79"/>
      <c r="E51" s="79"/>
      <c r="F51" s="16"/>
      <c r="G51" s="16" t="s">
        <v>48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hidden="1" customHeight="1">
      <c r="A52" s="80"/>
      <c r="B52" s="81" t="s">
        <v>39</v>
      </c>
      <c r="C52" s="79">
        <f>C51*8/7</f>
        <v>0</v>
      </c>
      <c r="D52" s="79">
        <f>D43/220*1.5*1.2</f>
        <v>0</v>
      </c>
      <c r="E52" s="79">
        <f>C52*D52</f>
        <v>0</v>
      </c>
      <c r="F52" s="16"/>
      <c r="G52" s="16" t="s">
        <v>48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hidden="1" customHeight="1">
      <c r="A53" s="80" t="s">
        <v>49</v>
      </c>
      <c r="B53" s="81" t="s">
        <v>50</v>
      </c>
      <c r="C53" s="15"/>
      <c r="D53" s="79">
        <f>63/302*(SUM(E47:E52))</f>
        <v>0</v>
      </c>
      <c r="E53" s="79">
        <f>D53</f>
        <v>0</v>
      </c>
      <c r="F53" s="16"/>
      <c r="G53" s="16" t="s">
        <v>51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80" t="s">
        <v>52</v>
      </c>
      <c r="B54" s="81"/>
      <c r="C54" s="83">
        <v>0</v>
      </c>
      <c r="D54" s="79"/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53</v>
      </c>
      <c r="B55" s="81" t="s">
        <v>14</v>
      </c>
      <c r="C55" s="79">
        <v>0</v>
      </c>
      <c r="D55" s="79">
        <f>IF(C54=2,SUM(E43:E53),IF(C54=1,SUM(E43:E53)*D44/D43,0))</f>
        <v>0</v>
      </c>
      <c r="E55" s="79">
        <f>C55*D55/100</f>
        <v>0</v>
      </c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>
      <c r="A56" s="84" t="s">
        <v>54</v>
      </c>
      <c r="B56" s="85"/>
      <c r="C56" s="85"/>
      <c r="D56" s="86"/>
      <c r="E56" s="87">
        <f>SUM(E43:E55)</f>
        <v>0</v>
      </c>
      <c r="F56" s="35"/>
      <c r="G56" s="35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spans="1:26" ht="12.75" customHeight="1">
      <c r="A57" s="80" t="s">
        <v>55</v>
      </c>
      <c r="B57" s="81" t="s">
        <v>14</v>
      </c>
      <c r="C57" s="88">
        <f>'24.Encargos Sociais'!$C$38*100</f>
        <v>0</v>
      </c>
      <c r="D57" s="79">
        <f>E56</f>
        <v>0</v>
      </c>
      <c r="E57" s="79">
        <f>D57*C57/100</f>
        <v>0</v>
      </c>
      <c r="F57" s="16"/>
      <c r="G57" s="16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>
      <c r="A58" s="84" t="s">
        <v>56</v>
      </c>
      <c r="B58" s="85"/>
      <c r="C58" s="85"/>
      <c r="D58" s="86"/>
      <c r="E58" s="87">
        <f>E56+E57</f>
        <v>0</v>
      </c>
      <c r="F58" s="35"/>
      <c r="G58" s="35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spans="1:26" ht="12.75" customHeight="1">
      <c r="A59" s="80" t="s">
        <v>57</v>
      </c>
      <c r="B59" s="81" t="s">
        <v>58</v>
      </c>
      <c r="C59" s="89">
        <v>1</v>
      </c>
      <c r="D59" s="79">
        <f>E58</f>
        <v>0</v>
      </c>
      <c r="E59" s="79">
        <f>C59*D59</f>
        <v>0</v>
      </c>
      <c r="F59" s="16"/>
      <c r="G59" s="16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>
      <c r="A60" s="15"/>
      <c r="B60" s="15"/>
      <c r="C60" s="15"/>
      <c r="D60" s="90" t="s">
        <v>59</v>
      </c>
      <c r="E60" s="91">
        <f>B37</f>
        <v>1</v>
      </c>
      <c r="F60" s="92">
        <f>E59*E60</f>
        <v>0</v>
      </c>
      <c r="G60" s="16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1.25" customHeight="1">
      <c r="A61" s="15"/>
      <c r="B61" s="15"/>
      <c r="C61" s="15"/>
      <c r="D61" s="16"/>
      <c r="E61" s="16"/>
      <c r="F61" s="16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>
      <c r="A62" s="15" t="s">
        <v>60</v>
      </c>
      <c r="B62" s="93"/>
      <c r="C62" s="15"/>
      <c r="D62" s="15"/>
      <c r="E62" s="16"/>
      <c r="F62" s="16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>
      <c r="A63" s="72" t="s">
        <v>29</v>
      </c>
      <c r="B63" s="73" t="s">
        <v>30</v>
      </c>
      <c r="C63" s="73" t="s">
        <v>20</v>
      </c>
      <c r="D63" s="74" t="s">
        <v>31</v>
      </c>
      <c r="E63" s="74" t="s">
        <v>32</v>
      </c>
      <c r="F63" s="75" t="s">
        <v>33</v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>
      <c r="A64" s="80" t="s">
        <v>61</v>
      </c>
      <c r="B64" s="81" t="s">
        <v>50</v>
      </c>
      <c r="C64" s="94">
        <v>1</v>
      </c>
      <c r="D64" s="95"/>
      <c r="E64" s="79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>
      <c r="A65" s="80" t="s">
        <v>62</v>
      </c>
      <c r="B65" s="81" t="s">
        <v>63</v>
      </c>
      <c r="C65" s="96">
        <v>21</v>
      </c>
      <c r="D65" s="79"/>
      <c r="E65" s="79"/>
      <c r="F65" s="16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hidden="1" customHeight="1">
      <c r="A66" s="80" t="s">
        <v>64</v>
      </c>
      <c r="B66" s="81" t="s">
        <v>65</v>
      </c>
      <c r="C66" s="97" t="e">
        <f>$C$65*2*(#REF!)</f>
        <v>#REF!</v>
      </c>
      <c r="D66" s="78" t="str">
        <f>IFERROR((($C$65*2*$D$64)-(#REF!*0.06*C65/26))/($C$65*2),"-")</f>
        <v>-</v>
      </c>
      <c r="E66" s="79" t="str">
        <f>IFERROR(C66*D66,"-")</f>
        <v>-</v>
      </c>
      <c r="F66" s="16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>
      <c r="A67" s="76" t="s">
        <v>66</v>
      </c>
      <c r="B67" s="77" t="s">
        <v>65</v>
      </c>
      <c r="C67" s="97">
        <f>$C$65*2*(C59)</f>
        <v>42</v>
      </c>
      <c r="D67" s="78"/>
      <c r="E67" s="78">
        <f>C67*D64</f>
        <v>0</v>
      </c>
      <c r="F67" s="16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15"/>
      <c r="B68" s="15"/>
      <c r="C68" s="15"/>
      <c r="D68" s="16"/>
      <c r="E68" s="16"/>
      <c r="F68" s="98">
        <f>E67-(6%*E43)</f>
        <v>0</v>
      </c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1.25" customHeight="1">
      <c r="A69" s="15"/>
      <c r="B69" s="15"/>
      <c r="C69" s="15"/>
      <c r="D69" s="16"/>
      <c r="E69" s="16"/>
      <c r="F69" s="16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5" t="s">
        <v>67</v>
      </c>
      <c r="B70" s="15"/>
      <c r="C70" s="15"/>
      <c r="D70" s="16"/>
      <c r="E70" s="16"/>
      <c r="F70" s="3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>
      <c r="A71" s="72" t="s">
        <v>29</v>
      </c>
      <c r="B71" s="73" t="s">
        <v>30</v>
      </c>
      <c r="C71" s="73" t="s">
        <v>20</v>
      </c>
      <c r="D71" s="74" t="s">
        <v>31</v>
      </c>
      <c r="E71" s="74" t="s">
        <v>32</v>
      </c>
      <c r="F71" s="75" t="s">
        <v>33</v>
      </c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hidden="1" customHeight="1">
      <c r="A72" s="80" t="str">
        <f>+A66</f>
        <v>Coletor</v>
      </c>
      <c r="B72" s="81" t="s">
        <v>68</v>
      </c>
      <c r="C72" s="97"/>
      <c r="D72" s="99">
        <v>0</v>
      </c>
      <c r="E72" s="100">
        <f>C72*D72</f>
        <v>0</v>
      </c>
      <c r="F72" s="3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80" t="str">
        <f>+A67</f>
        <v xml:space="preserve">Operador </v>
      </c>
      <c r="B73" s="81" t="s">
        <v>68</v>
      </c>
      <c r="C73" s="97">
        <v>1</v>
      </c>
      <c r="D73" s="99"/>
      <c r="E73" s="100">
        <f>C73*D73</f>
        <v>0</v>
      </c>
      <c r="F73" s="3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hidden="1" customHeight="1">
      <c r="A74" s="80" t="s">
        <v>69</v>
      </c>
      <c r="B74" s="81" t="s">
        <v>68</v>
      </c>
      <c r="C74" s="97">
        <v>0</v>
      </c>
      <c r="D74" s="99">
        <v>13.55</v>
      </c>
      <c r="E74" s="100">
        <f>C74*D74</f>
        <v>0</v>
      </c>
      <c r="F74" s="3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101"/>
      <c r="B75" s="15"/>
      <c r="C75" s="15"/>
      <c r="D75" s="16"/>
      <c r="E75" s="16"/>
      <c r="F75" s="98">
        <f>SUM(E72:E74)</f>
        <v>0</v>
      </c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>
      <c r="A76" s="15"/>
      <c r="B76" s="15"/>
      <c r="C76" s="15"/>
      <c r="D76" s="16"/>
      <c r="E76" s="16"/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15" t="s">
        <v>70</v>
      </c>
      <c r="B77" s="15"/>
      <c r="C77" s="15"/>
      <c r="D77" s="16"/>
      <c r="E77" s="16"/>
      <c r="F77" s="3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72" t="s">
        <v>29</v>
      </c>
      <c r="B78" s="73" t="s">
        <v>30</v>
      </c>
      <c r="C78" s="73" t="s">
        <v>20</v>
      </c>
      <c r="D78" s="74" t="s">
        <v>31</v>
      </c>
      <c r="E78" s="74" t="s">
        <v>32</v>
      </c>
      <c r="F78" s="75" t="s">
        <v>33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>
      <c r="A79" s="80" t="s">
        <v>71</v>
      </c>
      <c r="B79" s="81" t="s">
        <v>68</v>
      </c>
      <c r="C79" s="102">
        <v>1</v>
      </c>
      <c r="D79" s="99"/>
      <c r="E79" s="103">
        <f>C79*D79</f>
        <v>0</v>
      </c>
      <c r="F79" s="3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80" t="s">
        <v>72</v>
      </c>
      <c r="B80" s="81" t="s">
        <v>68</v>
      </c>
      <c r="C80" s="102">
        <v>1</v>
      </c>
      <c r="D80" s="104"/>
      <c r="E80" s="103">
        <f>C80*D80</f>
        <v>0</v>
      </c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105"/>
      <c r="B81" s="105"/>
      <c r="C81" s="15"/>
      <c r="D81" s="90" t="s">
        <v>73</v>
      </c>
      <c r="E81" s="100">
        <v>1</v>
      </c>
      <c r="F81" s="106">
        <f>SUM(E79:E80)*E81</f>
        <v>0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>
      <c r="A82" s="15"/>
      <c r="B82" s="15"/>
      <c r="C82" s="15"/>
      <c r="D82" s="90"/>
      <c r="E82" s="107"/>
      <c r="F82" s="16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108" t="s">
        <v>74</v>
      </c>
      <c r="B83" s="109"/>
      <c r="C83" s="109"/>
      <c r="D83" s="49"/>
      <c r="E83" s="110"/>
      <c r="F83" s="98">
        <f>F60+F68+F75+F81</f>
        <v>0</v>
      </c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>
      <c r="A84" s="15"/>
      <c r="B84" s="15"/>
      <c r="C84" s="15"/>
      <c r="D84" s="16"/>
      <c r="E84" s="16"/>
      <c r="F84" s="16"/>
      <c r="G84" s="16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36" t="s">
        <v>75</v>
      </c>
      <c r="B85" s="15"/>
      <c r="C85" s="15"/>
      <c r="D85" s="16"/>
      <c r="E85" s="16"/>
      <c r="F85" s="16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1.2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3.5" customHeight="1">
      <c r="A87" s="15" t="s">
        <v>76</v>
      </c>
      <c r="B87" s="15"/>
      <c r="C87" s="15"/>
      <c r="D87" s="16"/>
      <c r="E87" s="16"/>
      <c r="F87" s="16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1.25" customHeight="1">
      <c r="A88" s="15"/>
      <c r="B88" s="15"/>
      <c r="C88" s="15"/>
      <c r="D88" s="16"/>
      <c r="E88" s="16"/>
      <c r="F88" s="16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27.75" customHeight="1">
      <c r="A89" s="72" t="s">
        <v>29</v>
      </c>
      <c r="B89" s="73" t="s">
        <v>30</v>
      </c>
      <c r="C89" s="111" t="s">
        <v>77</v>
      </c>
      <c r="D89" s="74" t="s">
        <v>31</v>
      </c>
      <c r="E89" s="74" t="s">
        <v>32</v>
      </c>
      <c r="F89" s="75" t="s">
        <v>33</v>
      </c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76" t="s">
        <v>78</v>
      </c>
      <c r="B90" s="77" t="s">
        <v>68</v>
      </c>
      <c r="C90" s="112"/>
      <c r="D90" s="113"/>
      <c r="E90" s="78">
        <f t="shared" ref="E90:E99" si="1">IFERROR(D90/C90,0)</f>
        <v>0</v>
      </c>
      <c r="F90" s="16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80" t="s">
        <v>79</v>
      </c>
      <c r="B91" s="81" t="s">
        <v>68</v>
      </c>
      <c r="C91" s="112"/>
      <c r="D91" s="114"/>
      <c r="E91" s="78">
        <f t="shared" si="1"/>
        <v>0</v>
      </c>
      <c r="F91" s="16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80" t="s">
        <v>80</v>
      </c>
      <c r="B92" s="81" t="s">
        <v>68</v>
      </c>
      <c r="C92" s="112"/>
      <c r="D92" s="114"/>
      <c r="E92" s="78">
        <f t="shared" si="1"/>
        <v>0</v>
      </c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80" t="s">
        <v>81</v>
      </c>
      <c r="B93" s="81" t="s">
        <v>68</v>
      </c>
      <c r="C93" s="112"/>
      <c r="D93" s="114"/>
      <c r="E93" s="78">
        <f t="shared" si="1"/>
        <v>0</v>
      </c>
      <c r="F93" s="16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3.5" customHeight="1">
      <c r="A94" s="80" t="s">
        <v>82</v>
      </c>
      <c r="B94" s="81" t="s">
        <v>83</v>
      </c>
      <c r="C94" s="112"/>
      <c r="D94" s="114"/>
      <c r="E94" s="78">
        <f t="shared" si="1"/>
        <v>0</v>
      </c>
      <c r="F94" s="16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80" t="s">
        <v>84</v>
      </c>
      <c r="B95" s="81" t="s">
        <v>83</v>
      </c>
      <c r="C95" s="112"/>
      <c r="D95" s="114"/>
      <c r="E95" s="78">
        <f t="shared" si="1"/>
        <v>0</v>
      </c>
      <c r="F95" s="16"/>
      <c r="G95" s="16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>
      <c r="A96" s="80" t="s">
        <v>85</v>
      </c>
      <c r="B96" s="81" t="s">
        <v>68</v>
      </c>
      <c r="C96" s="112"/>
      <c r="D96" s="114"/>
      <c r="E96" s="78">
        <f t="shared" si="1"/>
        <v>0</v>
      </c>
      <c r="F96" s="16"/>
      <c r="G96" s="16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>
      <c r="A97" s="80" t="s">
        <v>86</v>
      </c>
      <c r="B97" s="81" t="s">
        <v>83</v>
      </c>
      <c r="C97" s="112"/>
      <c r="D97" s="114"/>
      <c r="E97" s="78">
        <f t="shared" si="1"/>
        <v>0</v>
      </c>
      <c r="F97" s="16"/>
      <c r="G97" s="16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>
      <c r="A98" s="80" t="s">
        <v>87</v>
      </c>
      <c r="B98" s="81" t="s">
        <v>88</v>
      </c>
      <c r="C98" s="112"/>
      <c r="D98" s="114"/>
      <c r="E98" s="78">
        <f t="shared" si="1"/>
        <v>0</v>
      </c>
      <c r="F98" s="16"/>
      <c r="G98" s="16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>
      <c r="A99" s="80" t="s">
        <v>89</v>
      </c>
      <c r="B99" s="81" t="s">
        <v>90</v>
      </c>
      <c r="C99" s="112"/>
      <c r="D99" s="114"/>
      <c r="E99" s="78">
        <f t="shared" si="1"/>
        <v>0</v>
      </c>
      <c r="F99" s="16"/>
      <c r="G99" s="16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80" t="s">
        <v>57</v>
      </c>
      <c r="B100" s="81" t="s">
        <v>58</v>
      </c>
      <c r="C100" s="102">
        <f>E28</f>
        <v>1</v>
      </c>
      <c r="D100" s="79">
        <f>+SUM(E90:E99)</f>
        <v>0</v>
      </c>
      <c r="E100" s="79">
        <f>C100*D100</f>
        <v>0</v>
      </c>
      <c r="F100" s="16"/>
      <c r="G100" s="16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15"/>
      <c r="B101" s="15"/>
      <c r="C101" s="15"/>
      <c r="D101" s="90" t="s">
        <v>59</v>
      </c>
      <c r="E101" s="91">
        <f>$B$37</f>
        <v>1</v>
      </c>
      <c r="F101" s="92">
        <f>E100*E101</f>
        <v>0</v>
      </c>
      <c r="G101" s="16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1.25" customHeight="1">
      <c r="A102" s="15"/>
      <c r="B102" s="15"/>
      <c r="C102" s="15"/>
      <c r="D102" s="16"/>
      <c r="E102" s="16"/>
      <c r="F102" s="16"/>
      <c r="G102" s="16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1.25" customHeight="1">
      <c r="A103" s="15"/>
      <c r="B103" s="15"/>
      <c r="C103" s="15"/>
      <c r="D103" s="16"/>
      <c r="E103" s="16"/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>
      <c r="A104" s="108" t="s">
        <v>91</v>
      </c>
      <c r="B104" s="115"/>
      <c r="C104" s="115"/>
      <c r="D104" s="116"/>
      <c r="E104" s="117"/>
      <c r="F104" s="118">
        <f>+F101</f>
        <v>0</v>
      </c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1.25" customHeight="1">
      <c r="A105" s="15"/>
      <c r="B105" s="15"/>
      <c r="C105" s="15"/>
      <c r="D105" s="16"/>
      <c r="E105" s="16"/>
      <c r="F105" s="16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36" t="s">
        <v>92</v>
      </c>
      <c r="B106" s="15"/>
      <c r="C106" s="15"/>
      <c r="D106" s="16"/>
      <c r="E106" s="16"/>
      <c r="F106" s="16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1.25" customHeight="1">
      <c r="A107" s="15"/>
      <c r="B107" s="119"/>
      <c r="C107" s="15"/>
      <c r="D107" s="16"/>
      <c r="E107" s="16"/>
      <c r="F107" s="16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15" t="s">
        <v>93</v>
      </c>
      <c r="B108" s="15"/>
      <c r="C108" s="15"/>
      <c r="D108" s="16"/>
      <c r="E108" s="16"/>
      <c r="F108" s="16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1.25" customHeight="1">
      <c r="A109" s="15"/>
      <c r="B109" s="15"/>
      <c r="C109" s="15"/>
      <c r="D109" s="16"/>
      <c r="E109" s="16"/>
      <c r="F109" s="16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119" t="s">
        <v>15</v>
      </c>
      <c r="B110" s="15"/>
      <c r="C110" s="15"/>
      <c r="D110" s="16"/>
      <c r="E110" s="16"/>
      <c r="F110" s="16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72" t="s">
        <v>29</v>
      </c>
      <c r="B111" s="73" t="s">
        <v>30</v>
      </c>
      <c r="C111" s="73" t="s">
        <v>20</v>
      </c>
      <c r="D111" s="74" t="s">
        <v>31</v>
      </c>
      <c r="E111" s="74" t="s">
        <v>32</v>
      </c>
      <c r="F111" s="75" t="s">
        <v>33</v>
      </c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>
      <c r="A112" s="76" t="s">
        <v>94</v>
      </c>
      <c r="B112" s="77" t="s">
        <v>68</v>
      </c>
      <c r="C112" s="77">
        <v>1</v>
      </c>
      <c r="D112" s="113"/>
      <c r="E112" s="78">
        <f>C112*D112</f>
        <v>0</v>
      </c>
      <c r="F112" s="16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>
      <c r="A113" s="80" t="s">
        <v>95</v>
      </c>
      <c r="B113" s="81" t="s">
        <v>96</v>
      </c>
      <c r="C113" s="120"/>
      <c r="D113" s="79"/>
      <c r="E113" s="79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80" t="s">
        <v>97</v>
      </c>
      <c r="B114" s="81" t="s">
        <v>96</v>
      </c>
      <c r="C114" s="120"/>
      <c r="D114" s="79"/>
      <c r="E114" s="79"/>
      <c r="F114" s="121"/>
      <c r="G114" s="16"/>
      <c r="H114" s="15"/>
      <c r="I114" s="122"/>
      <c r="J114" s="122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>
      <c r="A115" s="80" t="s">
        <v>98</v>
      </c>
      <c r="B115" s="81" t="s">
        <v>14</v>
      </c>
      <c r="C115" s="88">
        <f>IFERROR(VLOOKUP(C113,'28. Depreciação'!A3:B17,2,0),0)</f>
        <v>0</v>
      </c>
      <c r="D115" s="79">
        <f>E112</f>
        <v>0</v>
      </c>
      <c r="E115" s="79">
        <f>C115*D115/100</f>
        <v>0</v>
      </c>
      <c r="F115" s="16"/>
      <c r="G115" s="16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123" t="s">
        <v>99</v>
      </c>
      <c r="B116" s="124" t="s">
        <v>35</v>
      </c>
      <c r="C116" s="124">
        <f>C113*12</f>
        <v>0</v>
      </c>
      <c r="D116" s="125">
        <f>IF(C114&lt;=C113,E115,0)</f>
        <v>0</v>
      </c>
      <c r="E116" s="125">
        <f>IFERROR(D116/C116,0)</f>
        <v>0</v>
      </c>
      <c r="F116" s="16"/>
      <c r="G116" s="16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hidden="1" customHeight="1">
      <c r="A117" s="76" t="s">
        <v>100</v>
      </c>
      <c r="B117" s="77" t="s">
        <v>68</v>
      </c>
      <c r="C117" s="77">
        <f>C112</f>
        <v>1</v>
      </c>
      <c r="D117" s="126">
        <v>0</v>
      </c>
      <c r="E117" s="78">
        <f>C117*D117</f>
        <v>0</v>
      </c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hidden="1" customHeight="1">
      <c r="A118" s="80" t="s">
        <v>95</v>
      </c>
      <c r="B118" s="81" t="s">
        <v>96</v>
      </c>
      <c r="C118" s="89">
        <v>16</v>
      </c>
      <c r="D118" s="79"/>
      <c r="E118" s="79"/>
      <c r="F118" s="16"/>
      <c r="G118" s="16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hidden="1" customHeight="1">
      <c r="A119" s="80" t="s">
        <v>101</v>
      </c>
      <c r="B119" s="81" t="s">
        <v>96</v>
      </c>
      <c r="C119" s="89">
        <v>16</v>
      </c>
      <c r="D119" s="79"/>
      <c r="E119" s="79"/>
      <c r="F119" s="121"/>
      <c r="G119" s="16"/>
      <c r="H119" s="15"/>
      <c r="I119" s="122"/>
      <c r="J119" s="122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hidden="1" customHeight="1">
      <c r="A120" s="80" t="s">
        <v>98</v>
      </c>
      <c r="B120" s="81" t="s">
        <v>14</v>
      </c>
      <c r="C120" s="127">
        <f>IFERROR(VLOOKUP(C118,'28. Depreciação'!A3:B17,2,0),0)</f>
        <v>0</v>
      </c>
      <c r="D120" s="79">
        <f>E117</f>
        <v>0</v>
      </c>
      <c r="E120" s="79">
        <f>C120*D120/100</f>
        <v>0</v>
      </c>
      <c r="F120" s="16"/>
      <c r="G120" s="16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hidden="1" customHeight="1">
      <c r="A121" s="128" t="s">
        <v>102</v>
      </c>
      <c r="B121" s="129" t="s">
        <v>35</v>
      </c>
      <c r="C121" s="129">
        <f>C118*12</f>
        <v>192</v>
      </c>
      <c r="D121" s="130">
        <f>IF(C119&lt;=C118,E120,0)</f>
        <v>0</v>
      </c>
      <c r="E121" s="130">
        <f>IFERROR(D121/C121,0)</f>
        <v>0</v>
      </c>
      <c r="F121" s="16"/>
      <c r="G121" s="16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84" t="s">
        <v>103</v>
      </c>
      <c r="B122" s="85"/>
      <c r="C122" s="85"/>
      <c r="D122" s="86"/>
      <c r="E122" s="87">
        <f>E116+E121</f>
        <v>0</v>
      </c>
      <c r="F122" s="16"/>
      <c r="G122" s="16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128" t="s">
        <v>104</v>
      </c>
      <c r="B123" s="129" t="s">
        <v>68</v>
      </c>
      <c r="C123" s="89">
        <v>1</v>
      </c>
      <c r="D123" s="130">
        <f>E122</f>
        <v>0</v>
      </c>
      <c r="E123" s="87">
        <f>C123*D123</f>
        <v>0</v>
      </c>
      <c r="F123" s="16"/>
      <c r="G123" s="16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131"/>
      <c r="B124" s="131"/>
      <c r="C124" s="131"/>
      <c r="D124" s="90" t="s">
        <v>59</v>
      </c>
      <c r="E124" s="91">
        <f>B37</f>
        <v>1</v>
      </c>
      <c r="F124" s="118">
        <f>E123*E124</f>
        <v>0</v>
      </c>
      <c r="G124" s="16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1.25" customHeight="1">
      <c r="A125" s="15"/>
      <c r="B125" s="15"/>
      <c r="C125" s="15"/>
      <c r="D125" s="16"/>
      <c r="E125" s="16"/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19" t="s">
        <v>16</v>
      </c>
      <c r="B126" s="15"/>
      <c r="C126" s="15"/>
      <c r="D126" s="16"/>
      <c r="E126" s="16"/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>
      <c r="A127" s="132" t="s">
        <v>29</v>
      </c>
      <c r="B127" s="133" t="s">
        <v>30</v>
      </c>
      <c r="C127" s="133" t="s">
        <v>20</v>
      </c>
      <c r="D127" s="74" t="s">
        <v>31</v>
      </c>
      <c r="E127" s="134" t="s">
        <v>32</v>
      </c>
      <c r="F127" s="75" t="s">
        <v>33</v>
      </c>
      <c r="G127" s="16"/>
      <c r="H127" s="15"/>
      <c r="I127" s="122"/>
      <c r="J127" s="122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>
      <c r="A128" s="80" t="s">
        <v>105</v>
      </c>
      <c r="B128" s="81" t="s">
        <v>68</v>
      </c>
      <c r="C128" s="77">
        <v>1</v>
      </c>
      <c r="D128" s="79">
        <f>D112</f>
        <v>0</v>
      </c>
      <c r="E128" s="79">
        <f>C128*D128</f>
        <v>0</v>
      </c>
      <c r="F128" s="121"/>
      <c r="G128" s="16"/>
      <c r="H128" s="15"/>
      <c r="I128" s="122"/>
      <c r="J128" s="122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>
      <c r="A129" s="80" t="s">
        <v>106</v>
      </c>
      <c r="B129" s="81" t="s">
        <v>14</v>
      </c>
      <c r="C129" s="120"/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>
      <c r="A130" s="80" t="s">
        <v>107</v>
      </c>
      <c r="B130" s="81" t="s">
        <v>50</v>
      </c>
      <c r="C130" s="79">
        <f>IFERROR(IF(C114&lt;=C113,E112-(C115/(100*C113)*C114)*E112,E112-E115),0)*0.35</f>
        <v>0</v>
      </c>
      <c r="D130" s="79"/>
      <c r="E130" s="79"/>
      <c r="F130" s="121"/>
      <c r="G130" s="16"/>
      <c r="H130" s="15"/>
      <c r="I130" s="122"/>
      <c r="J130" s="122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>
      <c r="A131" s="80" t="s">
        <v>108</v>
      </c>
      <c r="B131" s="81" t="s">
        <v>50</v>
      </c>
      <c r="C131" s="79">
        <f>IFERROR(IF(C114&gt;=C113,C130,((((C130)-(E112-E115))*(((C113-C114)+1)/(2*(C113-C114))))+(E112-E115))),0)</f>
        <v>0</v>
      </c>
      <c r="D131" s="79"/>
      <c r="E131" s="79"/>
      <c r="F131" s="121"/>
      <c r="G131" s="16"/>
      <c r="H131" s="15"/>
      <c r="I131" s="122"/>
      <c r="J131" s="122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123" t="s">
        <v>109</v>
      </c>
      <c r="B132" s="124" t="s">
        <v>50</v>
      </c>
      <c r="C132" s="124"/>
      <c r="D132" s="125">
        <f>C129*C131/12/100</f>
        <v>0</v>
      </c>
      <c r="E132" s="125">
        <f>D132</f>
        <v>0</v>
      </c>
      <c r="F132" s="121"/>
      <c r="G132" s="16"/>
      <c r="H132" s="15"/>
      <c r="I132" s="122"/>
      <c r="J132" s="122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hidden="1" customHeight="1">
      <c r="A133" s="76" t="s">
        <v>100</v>
      </c>
      <c r="B133" s="77" t="s">
        <v>68</v>
      </c>
      <c r="C133" s="77">
        <f>C117</f>
        <v>1</v>
      </c>
      <c r="D133" s="78">
        <f>D117</f>
        <v>0</v>
      </c>
      <c r="E133" s="78">
        <f>C133*D133</f>
        <v>0</v>
      </c>
      <c r="F133" s="121"/>
      <c r="G133" s="16"/>
      <c r="H133" s="15"/>
      <c r="I133" s="122"/>
      <c r="J133" s="122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hidden="1" customHeight="1">
      <c r="A134" s="80" t="s">
        <v>106</v>
      </c>
      <c r="B134" s="81" t="s">
        <v>14</v>
      </c>
      <c r="C134" s="81">
        <f>C129</f>
        <v>0</v>
      </c>
      <c r="D134" s="79"/>
      <c r="E134" s="79"/>
      <c r="F134" s="121"/>
      <c r="G134" s="16"/>
      <c r="H134" s="15"/>
      <c r="I134" s="122"/>
      <c r="J134" s="122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hidden="1" customHeight="1">
      <c r="A135" s="80" t="s">
        <v>110</v>
      </c>
      <c r="B135" s="81" t="s">
        <v>50</v>
      </c>
      <c r="C135" s="79">
        <f>IFERROR(IF(C119&lt;=C118,E117-(C120/(100*C118)*C119)*E117,E117-E120),0)*0.35</f>
        <v>0</v>
      </c>
      <c r="D135" s="79"/>
      <c r="E135" s="79"/>
      <c r="F135" s="121"/>
      <c r="G135" s="16"/>
      <c r="H135" s="15"/>
      <c r="I135" s="122"/>
      <c r="J135" s="122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hidden="1" customHeight="1">
      <c r="A136" s="80" t="s">
        <v>111</v>
      </c>
      <c r="B136" s="81" t="s">
        <v>50</v>
      </c>
      <c r="C136" s="79">
        <f>IFERROR(IF(C119&gt;=C118,C135,((((C135)-(E117-E120))*(((C118-C119)+1)/(2*(C118-C119))))+(E117-E120))),0)</f>
        <v>0</v>
      </c>
      <c r="D136" s="79"/>
      <c r="E136" s="79"/>
      <c r="F136" s="121"/>
      <c r="G136" s="16"/>
      <c r="H136" s="15"/>
      <c r="I136" s="122"/>
      <c r="J136" s="122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hidden="1" customHeight="1">
      <c r="A137" s="128" t="s">
        <v>112</v>
      </c>
      <c r="B137" s="129" t="s">
        <v>50</v>
      </c>
      <c r="C137" s="129"/>
      <c r="D137" s="130">
        <f>C134*C136/12/100</f>
        <v>0</v>
      </c>
      <c r="E137" s="130">
        <f>D137</f>
        <v>0</v>
      </c>
      <c r="F137" s="121"/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8.25" customHeight="1">
      <c r="A138" s="84"/>
      <c r="B138" s="129"/>
      <c r="C138" s="129"/>
      <c r="D138" s="136"/>
      <c r="E138" s="87"/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hidden="1" customHeight="1">
      <c r="A139" s="84" t="s">
        <v>113</v>
      </c>
      <c r="B139" s="129" t="s">
        <v>68</v>
      </c>
      <c r="C139" s="81">
        <f>C123</f>
        <v>1</v>
      </c>
      <c r="D139" s="136">
        <f>E132</f>
        <v>0</v>
      </c>
      <c r="E139" s="87">
        <f>C139*D139</f>
        <v>0</v>
      </c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hidden="1" customHeight="1">
      <c r="A140" s="84" t="s">
        <v>114</v>
      </c>
      <c r="B140" s="129" t="s">
        <v>68</v>
      </c>
      <c r="C140" s="81">
        <v>1</v>
      </c>
      <c r="D140" s="136">
        <f>E137</f>
        <v>0</v>
      </c>
      <c r="E140" s="87">
        <f>C140*D140</f>
        <v>0</v>
      </c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128" t="s">
        <v>115</v>
      </c>
      <c r="B141" s="129" t="s">
        <v>68</v>
      </c>
      <c r="C141" s="81">
        <v>1</v>
      </c>
      <c r="D141" s="130">
        <f>E139+E140</f>
        <v>0</v>
      </c>
      <c r="E141" s="87">
        <f>C141*D141</f>
        <v>0</v>
      </c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5"/>
      <c r="B142" s="15"/>
      <c r="C142" s="137"/>
      <c r="D142" s="90" t="s">
        <v>59</v>
      </c>
      <c r="E142" s="91">
        <f>E124</f>
        <v>1</v>
      </c>
      <c r="F142" s="118">
        <f>E141*E142</f>
        <v>0</v>
      </c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1.25" customHeight="1">
      <c r="A143" s="15"/>
      <c r="B143" s="15"/>
      <c r="C143" s="15"/>
      <c r="D143" s="16"/>
      <c r="E143" s="16"/>
      <c r="F143" s="16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>
      <c r="A144" s="15" t="s">
        <v>116</v>
      </c>
      <c r="B144" s="15"/>
      <c r="C144" s="15"/>
      <c r="D144" s="16"/>
      <c r="E144" s="16"/>
      <c r="F144" s="16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>
      <c r="A145" s="72" t="s">
        <v>29</v>
      </c>
      <c r="B145" s="73" t="s">
        <v>30</v>
      </c>
      <c r="C145" s="73" t="s">
        <v>20</v>
      </c>
      <c r="D145" s="74" t="s">
        <v>31</v>
      </c>
      <c r="E145" s="74" t="s">
        <v>32</v>
      </c>
      <c r="F145" s="75" t="s">
        <v>33</v>
      </c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>
      <c r="A146" s="80" t="s">
        <v>117</v>
      </c>
      <c r="B146" s="81" t="s">
        <v>68</v>
      </c>
      <c r="C146" s="78">
        <f>C123</f>
        <v>1</v>
      </c>
      <c r="D146" s="138">
        <f>1%*D128</f>
        <v>0</v>
      </c>
      <c r="E146" s="79">
        <f>C146*D146</f>
        <v>0</v>
      </c>
      <c r="F146" s="16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>
      <c r="A147" s="128" t="s">
        <v>118</v>
      </c>
      <c r="B147" s="129" t="s">
        <v>35</v>
      </c>
      <c r="C147" s="129">
        <v>12</v>
      </c>
      <c r="D147" s="130">
        <f>SUM(E146)</f>
        <v>0</v>
      </c>
      <c r="E147" s="130">
        <f>D147/C147</f>
        <v>0</v>
      </c>
      <c r="F147" s="16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>
      <c r="A148" s="15"/>
      <c r="B148" s="15"/>
      <c r="C148" s="15"/>
      <c r="D148" s="90" t="s">
        <v>59</v>
      </c>
      <c r="E148" s="91">
        <f>E142</f>
        <v>1</v>
      </c>
      <c r="F148" s="92">
        <f>E147*E148</f>
        <v>0</v>
      </c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>
      <c r="A149" s="15" t="s">
        <v>119</v>
      </c>
      <c r="B149" s="139"/>
      <c r="C149" s="15"/>
      <c r="D149" s="16"/>
      <c r="E149" s="16"/>
      <c r="F149" s="16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>
      <c r="A150" s="15"/>
      <c r="B150" s="139"/>
      <c r="C150" s="15"/>
      <c r="D150" s="16"/>
      <c r="E150" s="16"/>
      <c r="F150" s="16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120</v>
      </c>
      <c r="B151" s="140">
        <v>176</v>
      </c>
      <c r="C151" s="15"/>
      <c r="D151" s="16"/>
      <c r="E151" s="16"/>
      <c r="F151" s="16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39"/>
      <c r="C152" s="15"/>
      <c r="D152" s="16"/>
      <c r="E152" s="16"/>
      <c r="F152" s="16"/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>
      <c r="A153" s="72" t="s">
        <v>29</v>
      </c>
      <c r="B153" s="73" t="s">
        <v>30</v>
      </c>
      <c r="C153" s="73" t="s">
        <v>121</v>
      </c>
      <c r="D153" s="74" t="s">
        <v>31</v>
      </c>
      <c r="E153" s="74" t="s">
        <v>32</v>
      </c>
      <c r="F153" s="75" t="s">
        <v>33</v>
      </c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76" t="s">
        <v>122</v>
      </c>
      <c r="B154" s="77" t="s">
        <v>123</v>
      </c>
      <c r="C154" s="141"/>
      <c r="D154" s="142"/>
      <c r="E154" s="78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6" t="s">
        <v>124</v>
      </c>
      <c r="B155" s="77" t="s">
        <v>123</v>
      </c>
      <c r="C155" s="113"/>
      <c r="D155" s="142"/>
      <c r="E155" s="78"/>
      <c r="F155" s="16"/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>
      <c r="A156" s="80" t="s">
        <v>125</v>
      </c>
      <c r="B156" s="81" t="s">
        <v>126</v>
      </c>
      <c r="C156" s="79">
        <f>B151</f>
        <v>176</v>
      </c>
      <c r="D156" s="143">
        <f>(C154*D154)+(C155*D155)</f>
        <v>0</v>
      </c>
      <c r="E156" s="79">
        <f>IFERROR(C156*D156,"-")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>
      <c r="A157" s="128" t="s">
        <v>127</v>
      </c>
      <c r="B157" s="129"/>
      <c r="C157" s="144"/>
      <c r="D157" s="145"/>
      <c r="E157" s="79"/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15"/>
      <c r="B158" s="15"/>
      <c r="C158" s="15"/>
      <c r="D158" s="16"/>
      <c r="E158" s="16"/>
      <c r="F158" s="118">
        <f>SUM(E154:E156)</f>
        <v>0</v>
      </c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1.25" customHeight="1">
      <c r="A159" s="15"/>
      <c r="B159" s="15"/>
      <c r="C159" s="15"/>
      <c r="D159" s="16"/>
      <c r="E159" s="16"/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 t="s">
        <v>128</v>
      </c>
      <c r="B160" s="15"/>
      <c r="C160" s="15"/>
      <c r="D160" s="16"/>
      <c r="E160" s="16"/>
      <c r="F160" s="16"/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72" t="s">
        <v>29</v>
      </c>
      <c r="B161" s="73" t="s">
        <v>30</v>
      </c>
      <c r="C161" s="73" t="s">
        <v>20</v>
      </c>
      <c r="D161" s="74" t="s">
        <v>31</v>
      </c>
      <c r="E161" s="74" t="s">
        <v>32</v>
      </c>
      <c r="F161" s="75" t="s">
        <v>33</v>
      </c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76" t="s">
        <v>129</v>
      </c>
      <c r="B162" s="77" t="s">
        <v>130</v>
      </c>
      <c r="C162" s="79">
        <f>C156</f>
        <v>176</v>
      </c>
      <c r="D162" s="113"/>
      <c r="E162" s="78">
        <f>C162*D162</f>
        <v>0</v>
      </c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5"/>
      <c r="C163" s="15"/>
      <c r="D163" s="16"/>
      <c r="E163" s="16"/>
      <c r="F163" s="118">
        <f>E162</f>
        <v>0</v>
      </c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1.25" hidden="1" customHeight="1">
      <c r="A164" s="15"/>
      <c r="B164" s="15"/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hidden="1" customHeight="1">
      <c r="A165" s="15" t="s">
        <v>131</v>
      </c>
      <c r="B165" s="15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hidden="1" customHeight="1">
      <c r="A166" s="72" t="s">
        <v>29</v>
      </c>
      <c r="B166" s="73" t="s">
        <v>30</v>
      </c>
      <c r="C166" s="73" t="s">
        <v>20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hidden="1" customHeight="1">
      <c r="A167" s="76" t="s">
        <v>132</v>
      </c>
      <c r="B167" s="77" t="s">
        <v>68</v>
      </c>
      <c r="C167" s="146">
        <v>0</v>
      </c>
      <c r="D167" s="126">
        <v>6000</v>
      </c>
      <c r="E167" s="78">
        <f>C167*D167</f>
        <v>0</v>
      </c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hidden="1" customHeight="1">
      <c r="A168" s="76" t="s">
        <v>133</v>
      </c>
      <c r="B168" s="77" t="s">
        <v>68</v>
      </c>
      <c r="C168" s="146">
        <v>2</v>
      </c>
      <c r="D168" s="78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hidden="1" customHeight="1">
      <c r="A169" s="76" t="s">
        <v>134</v>
      </c>
      <c r="B169" s="77" t="s">
        <v>68</v>
      </c>
      <c r="C169" s="78">
        <f>C167*C168</f>
        <v>0</v>
      </c>
      <c r="D169" s="126">
        <v>3000</v>
      </c>
      <c r="E169" s="78">
        <f>C169*D169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hidden="1" customHeight="1">
      <c r="A170" s="80" t="s">
        <v>135</v>
      </c>
      <c r="B170" s="81" t="s">
        <v>136</v>
      </c>
      <c r="C170" s="147">
        <v>10000</v>
      </c>
      <c r="D170" s="79">
        <f>E167+E169</f>
        <v>0</v>
      </c>
      <c r="E170" s="79">
        <f>IFERROR(D170/C170,"-")</f>
        <v>0</v>
      </c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hidden="1" customHeight="1">
      <c r="A171" s="80" t="s">
        <v>137</v>
      </c>
      <c r="B171" s="81" t="s">
        <v>138</v>
      </c>
      <c r="C171" s="79">
        <f>B151</f>
        <v>176</v>
      </c>
      <c r="D171" s="79">
        <f>E170</f>
        <v>0</v>
      </c>
      <c r="E171" s="79">
        <f>IFERROR(C171*D171,0)</f>
        <v>0</v>
      </c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hidden="1" customHeight="1">
      <c r="A172" s="15"/>
      <c r="B172" s="15"/>
      <c r="C172" s="15"/>
      <c r="D172" s="16"/>
      <c r="E172" s="16"/>
      <c r="F172" s="118">
        <f>E171</f>
        <v>0</v>
      </c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1.25" customHeight="1">
      <c r="A173" s="15"/>
      <c r="B173" s="15"/>
      <c r="C173" s="15"/>
      <c r="D173" s="16"/>
      <c r="E173" s="16"/>
      <c r="F173" s="16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08" t="s">
        <v>139</v>
      </c>
      <c r="B174" s="109"/>
      <c r="C174" s="109"/>
      <c r="D174" s="49"/>
      <c r="E174" s="110"/>
      <c r="F174" s="118">
        <f>+SUM(F112:F173)</f>
        <v>0</v>
      </c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1.25" customHeight="1">
      <c r="A175" s="15"/>
      <c r="B175" s="15"/>
      <c r="C175" s="15"/>
      <c r="D175" s="16"/>
      <c r="E175" s="16"/>
      <c r="F175" s="16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hidden="1" customHeight="1">
      <c r="A176" s="36" t="s">
        <v>140</v>
      </c>
      <c r="B176" s="36"/>
      <c r="C176" s="36"/>
      <c r="D176" s="35"/>
      <c r="E176" s="35"/>
      <c r="F176" s="86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hidden="1" customHeight="1">
      <c r="A177" s="15"/>
      <c r="B177" s="15"/>
      <c r="C177" s="15"/>
      <c r="D177" s="16"/>
      <c r="E177" s="16"/>
      <c r="F177" s="16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72" t="s">
        <v>29</v>
      </c>
      <c r="B178" s="73" t="s">
        <v>30</v>
      </c>
      <c r="C178" s="73" t="s">
        <v>20</v>
      </c>
      <c r="D178" s="74" t="s">
        <v>31</v>
      </c>
      <c r="E178" s="74" t="s">
        <v>32</v>
      </c>
      <c r="F178" s="75" t="s">
        <v>33</v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80" t="s">
        <v>141</v>
      </c>
      <c r="B179" s="81" t="s">
        <v>68</v>
      </c>
      <c r="C179" s="148">
        <v>0</v>
      </c>
      <c r="D179" s="126">
        <v>50</v>
      </c>
      <c r="E179" s="79">
        <f>C179*D179</f>
        <v>0</v>
      </c>
      <c r="F179" s="121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80"/>
      <c r="B180" s="81"/>
      <c r="C180" s="148"/>
      <c r="D180" s="126"/>
      <c r="E180" s="79">
        <f>C180*D180</f>
        <v>0</v>
      </c>
      <c r="F180" s="121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80"/>
      <c r="B181" s="81"/>
      <c r="C181" s="148"/>
      <c r="D181" s="126"/>
      <c r="E181" s="79">
        <f>C181*D181</f>
        <v>0</v>
      </c>
      <c r="F181" s="121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80"/>
      <c r="B182" s="81"/>
      <c r="C182" s="112"/>
      <c r="D182" s="126"/>
      <c r="E182" s="79"/>
      <c r="F182" s="121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/>
      <c r="B183" s="81"/>
      <c r="C183" s="79"/>
      <c r="D183" s="99"/>
      <c r="E183" s="79">
        <f>C183*D183</f>
        <v>0</v>
      </c>
      <c r="F183" s="121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142</v>
      </c>
      <c r="B184" s="81" t="s">
        <v>143</v>
      </c>
      <c r="C184" s="148"/>
      <c r="D184" s="126"/>
      <c r="E184" s="79">
        <f>C184*D184</f>
        <v>0</v>
      </c>
      <c r="F184" s="121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36"/>
      <c r="B185" s="36"/>
      <c r="C185" s="36"/>
      <c r="D185" s="36"/>
      <c r="E185" s="35"/>
      <c r="F185" s="118">
        <f>SUM(E179:E184)</f>
        <v>0</v>
      </c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hidden="1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hidden="1" customHeight="1">
      <c r="A187" s="108" t="s">
        <v>144</v>
      </c>
      <c r="B187" s="109"/>
      <c r="C187" s="109"/>
      <c r="D187" s="49"/>
      <c r="E187" s="110"/>
      <c r="F187" s="118">
        <f>+F185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hidden="1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145</v>
      </c>
      <c r="B189" s="36"/>
      <c r="C189" s="36"/>
      <c r="D189" s="35"/>
      <c r="E189" s="35"/>
      <c r="F189" s="86"/>
      <c r="G189" s="16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6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6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146</v>
      </c>
      <c r="B192" s="149" t="s">
        <v>143</v>
      </c>
      <c r="C192" s="102">
        <v>0</v>
      </c>
      <c r="D192" s="99">
        <v>600</v>
      </c>
      <c r="E192" s="79">
        <f>+D192*C192</f>
        <v>0</v>
      </c>
      <c r="F192" s="121"/>
      <c r="G192" s="16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 t="s">
        <v>147</v>
      </c>
      <c r="B193" s="149" t="s">
        <v>35</v>
      </c>
      <c r="C193" s="81">
        <v>60</v>
      </c>
      <c r="D193" s="150">
        <f>SUM(E192)</f>
        <v>0</v>
      </c>
      <c r="E193" s="150">
        <f>+D193/C193</f>
        <v>0</v>
      </c>
      <c r="F193" s="121"/>
      <c r="G193" s="16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 t="s">
        <v>148</v>
      </c>
      <c r="B194" s="149" t="s">
        <v>35</v>
      </c>
      <c r="C194" s="81">
        <v>1</v>
      </c>
      <c r="D194" s="99">
        <v>100</v>
      </c>
      <c r="E194" s="79">
        <f>C194*D194</f>
        <v>100</v>
      </c>
      <c r="F194" s="121"/>
      <c r="G194" s="16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 t="s">
        <v>148</v>
      </c>
      <c r="B195" s="149" t="s">
        <v>149</v>
      </c>
      <c r="C195" s="81">
        <v>0</v>
      </c>
      <c r="D195" s="150">
        <f>+E194</f>
        <v>100</v>
      </c>
      <c r="E195" s="150">
        <f>C195*D195</f>
        <v>0</v>
      </c>
      <c r="F195" s="121"/>
      <c r="G195" s="16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101"/>
      <c r="B196" s="101"/>
      <c r="C196" s="15"/>
      <c r="D196" s="90" t="s">
        <v>59</v>
      </c>
      <c r="E196" s="91">
        <f>E142</f>
        <v>1</v>
      </c>
      <c r="F196" s="118">
        <f>(E195+E193)*E196</f>
        <v>0</v>
      </c>
      <c r="G196" s="16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1.25" hidden="1" customHeight="1">
      <c r="A197" s="15"/>
      <c r="B197" s="15"/>
      <c r="C197" s="15"/>
      <c r="D197" s="16"/>
      <c r="E197" s="16"/>
      <c r="F197" s="16"/>
      <c r="G197" s="151"/>
      <c r="H197" s="152"/>
      <c r="I197" s="152"/>
      <c r="J197" s="152"/>
      <c r="K197" s="152"/>
      <c r="L197" s="152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2"/>
      <c r="Z197" s="152"/>
    </row>
    <row r="198" spans="1:26" ht="12.75" hidden="1" customHeight="1">
      <c r="A198" s="108" t="s">
        <v>150</v>
      </c>
      <c r="B198" s="109"/>
      <c r="C198" s="109"/>
      <c r="D198" s="49"/>
      <c r="E198" s="110"/>
      <c r="F198" s="118">
        <f>+F196</f>
        <v>0</v>
      </c>
      <c r="G198" s="16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customHeight="1">
      <c r="A199" s="15"/>
      <c r="B199" s="15"/>
      <c r="C199" s="15"/>
      <c r="D199" s="16"/>
      <c r="E199" s="16"/>
      <c r="F199" s="16"/>
      <c r="G199" s="16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7.25" customHeight="1">
      <c r="A200" s="108" t="s">
        <v>151</v>
      </c>
      <c r="B200" s="115"/>
      <c r="C200" s="115"/>
      <c r="D200" s="116"/>
      <c r="E200" s="117"/>
      <c r="F200" s="98">
        <f>+F83+F104+F174+F187+F198</f>
        <v>0</v>
      </c>
      <c r="G200" s="16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customHeight="1">
      <c r="A201" s="15"/>
      <c r="B201" s="15"/>
      <c r="C201" s="15"/>
      <c r="D201" s="16"/>
      <c r="E201" s="16"/>
      <c r="F201" s="16"/>
      <c r="G201" s="16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>
      <c r="A202" s="36" t="s">
        <v>152</v>
      </c>
      <c r="B202" s="15"/>
      <c r="C202" s="15"/>
      <c r="D202" s="16"/>
      <c r="E202" s="16"/>
      <c r="F202" s="1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>
      <c r="A205" s="76" t="s">
        <v>153</v>
      </c>
      <c r="B205" s="77" t="s">
        <v>14</v>
      </c>
      <c r="C205" s="88">
        <f>'26.BDI'!C21*100</f>
        <v>18.96</v>
      </c>
      <c r="D205" s="78">
        <f>+F200</f>
        <v>0</v>
      </c>
      <c r="E205" s="78">
        <f>C205*D205/100</f>
        <v>0</v>
      </c>
      <c r="F205" s="16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>
      <c r="A206" s="15"/>
      <c r="B206" s="15"/>
      <c r="C206" s="15"/>
      <c r="D206" s="16"/>
      <c r="E206" s="16"/>
      <c r="F206" s="118">
        <f>+E205</f>
        <v>0</v>
      </c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1.25" customHeight="1">
      <c r="A207" s="15"/>
      <c r="B207" s="15"/>
      <c r="C207" s="15"/>
      <c r="D207" s="16"/>
      <c r="E207" s="16"/>
      <c r="F207" s="16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>
      <c r="A208" s="108" t="s">
        <v>154</v>
      </c>
      <c r="B208" s="115"/>
      <c r="C208" s="115"/>
      <c r="D208" s="116"/>
      <c r="E208" s="117"/>
      <c r="F208" s="98">
        <f>F206</f>
        <v>0</v>
      </c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>
      <c r="A209" s="36"/>
      <c r="B209" s="36"/>
      <c r="C209" s="36"/>
      <c r="D209" s="35"/>
      <c r="E209" s="35"/>
      <c r="F209" s="86"/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customHeight="1">
      <c r="A210" s="15"/>
      <c r="B210" s="15"/>
      <c r="C210" s="15"/>
      <c r="D210" s="16"/>
      <c r="E210" s="16"/>
      <c r="F210" s="16"/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24.75" customHeight="1">
      <c r="A211" s="108" t="s">
        <v>155</v>
      </c>
      <c r="B211" s="115"/>
      <c r="C211" s="115"/>
      <c r="D211" s="116"/>
      <c r="E211" s="117"/>
      <c r="F211" s="98">
        <f>F200+F208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" customHeight="1">
      <c r="A212" s="14"/>
      <c r="B212" s="14"/>
      <c r="C212" s="14"/>
      <c r="D212" s="153"/>
      <c r="E212" s="153"/>
      <c r="F212" s="153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>
      <c r="A213" s="23"/>
      <c r="B213" s="23"/>
      <c r="C213" s="23"/>
      <c r="D213" s="22"/>
      <c r="E213" s="22"/>
      <c r="F213" s="16"/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>
      <c r="A214" s="154" t="s">
        <v>156</v>
      </c>
      <c r="B214" s="53"/>
      <c r="C214" s="53"/>
      <c r="D214" s="155">
        <v>176</v>
      </c>
      <c r="E214" s="156" t="s">
        <v>157</v>
      </c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15"/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25.5" customHeight="1">
      <c r="A216" s="108" t="s">
        <v>158</v>
      </c>
      <c r="B216" s="109"/>
      <c r="C216" s="109"/>
      <c r="D216" s="49"/>
      <c r="E216" s="157" t="s">
        <v>159</v>
      </c>
      <c r="F216" s="158">
        <f>F211/D214</f>
        <v>0</v>
      </c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" customHeight="1"/>
    <row r="218" spans="1:26" ht="13.5" customHeight="1"/>
    <row r="219" spans="1:26" ht="9.75" customHeight="1"/>
    <row r="220" spans="1:26" ht="9.75" customHeight="1"/>
    <row r="221" spans="1:26" ht="12.75" customHeight="1"/>
    <row r="222" spans="1:26" ht="12.75" customHeight="1"/>
    <row r="223" spans="1:26" ht="12.75" customHeight="1"/>
    <row r="224" spans="1:26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9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</sheetData>
  <mergeCells count="7">
    <mergeCell ref="A27:D27"/>
    <mergeCell ref="A33:D33"/>
    <mergeCell ref="A1:F1"/>
    <mergeCell ref="A2:F2"/>
    <mergeCell ref="A4:F4"/>
    <mergeCell ref="A11:C11"/>
    <mergeCell ref="A26:E26"/>
  </mergeCells>
  <hyperlinks>
    <hyperlink ref="A14" location="Google_Sheet_Link_1352214653" display="3.1.1. Depreciação"/>
    <hyperlink ref="A15" location="Google_Sheet_Link_1085399715" display="3.1.2. Remuneração do Capital"/>
    <hyperlink ref="A110" location="Google_Sheet_Link_1352214653" display="3.1.1. Depreciação"/>
    <hyperlink ref="A126" location="Google_Sheet_Link_1085399715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90"/>
  <sheetViews>
    <sheetView workbookViewId="0">
      <selection activeCell="D11" sqref="A1:D11"/>
    </sheetView>
  </sheetViews>
  <sheetFormatPr defaultRowHeight="12.75"/>
  <cols>
    <col min="1" max="1" width="44.42578125" customWidth="1"/>
    <col min="2" max="2" width="16" customWidth="1"/>
    <col min="3" max="3" width="11.85546875" customWidth="1"/>
    <col min="4" max="4" width="14.5703125" customWidth="1"/>
    <col min="5" max="5" width="15.42578125" customWidth="1"/>
    <col min="6" max="6" width="13.42578125" customWidth="1"/>
    <col min="7" max="7" width="28.140625" customWidth="1"/>
    <col min="8" max="8" width="9.140625" customWidth="1"/>
    <col min="9" max="9" width="14.42578125" customWidth="1"/>
    <col min="10" max="10" width="13.42578125" customWidth="1"/>
    <col min="11" max="26" width="9.140625" customWidth="1"/>
    <col min="27" max="1025" width="12.5703125" customWidth="1"/>
  </cols>
  <sheetData>
    <row r="1" spans="1:26" ht="12.75" customHeight="1">
      <c r="A1" s="13" t="s">
        <v>193</v>
      </c>
      <c r="B1" s="13"/>
      <c r="C1" s="13"/>
      <c r="D1" s="13"/>
      <c r="E1" s="13"/>
      <c r="F1" s="13"/>
      <c r="G1" s="22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1.75" customHeight="1">
      <c r="A2" s="12" t="s">
        <v>10</v>
      </c>
      <c r="B2" s="12"/>
      <c r="C2" s="12"/>
      <c r="D2" s="12"/>
      <c r="E2" s="12"/>
      <c r="F2" s="12"/>
      <c r="G2" s="22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0.5" customHeight="1">
      <c r="A3" s="24"/>
      <c r="B3" s="18"/>
      <c r="C3" s="18"/>
      <c r="D3" s="16"/>
      <c r="E3" s="16"/>
      <c r="F3" s="25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5.75" customHeight="1">
      <c r="A4" s="11" t="s">
        <v>11</v>
      </c>
      <c r="B4" s="11"/>
      <c r="C4" s="11"/>
      <c r="D4" s="11"/>
      <c r="E4" s="11"/>
      <c r="F4" s="11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.75" customHeight="1">
      <c r="A5" s="26" t="s">
        <v>12</v>
      </c>
      <c r="B5" s="27"/>
      <c r="C5" s="27"/>
      <c r="D5" s="28"/>
      <c r="E5" s="29" t="s">
        <v>13</v>
      </c>
      <c r="F5" s="30" t="s">
        <v>14</v>
      </c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>
      <c r="A6" s="31" t="str">
        <f>A39</f>
        <v>1. Mão-de-obra</v>
      </c>
      <c r="B6" s="32"/>
      <c r="C6" s="32"/>
      <c r="D6" s="32"/>
      <c r="E6" s="33">
        <f>+F83</f>
        <v>0</v>
      </c>
      <c r="F6" s="34">
        <f t="shared" ref="F6:F22" si="0">IFERROR(E6/$E$23,0)</f>
        <v>0</v>
      </c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ht="15.75" customHeight="1">
      <c r="A7" s="37" t="str">
        <f>A41</f>
        <v xml:space="preserve">1.1. Operador de Máquinas </v>
      </c>
      <c r="B7" s="38"/>
      <c r="C7" s="38"/>
      <c r="D7" s="38"/>
      <c r="E7" s="39">
        <f>F60</f>
        <v>0</v>
      </c>
      <c r="F7" s="40">
        <f t="shared" si="0"/>
        <v>0</v>
      </c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>
      <c r="A8" s="37" t="str">
        <f>A62</f>
        <v>1.2. Vale Transporte</v>
      </c>
      <c r="B8" s="38"/>
      <c r="C8" s="38"/>
      <c r="D8" s="38"/>
      <c r="E8" s="39">
        <f>F68</f>
        <v>0</v>
      </c>
      <c r="F8" s="40">
        <f t="shared" si="0"/>
        <v>0</v>
      </c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.75" customHeight="1">
      <c r="A9" s="37" t="str">
        <f>A70</f>
        <v>1.3. Vale-refeição (mensal)</v>
      </c>
      <c r="B9" s="38"/>
      <c r="C9" s="38"/>
      <c r="D9" s="38"/>
      <c r="E9" s="39">
        <f>F75</f>
        <v>0</v>
      </c>
      <c r="F9" s="40">
        <f t="shared" si="0"/>
        <v>0</v>
      </c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5.75" customHeight="1">
      <c r="A10" s="37" t="str">
        <f>A77</f>
        <v>1.4. Plano de Benefício Social  (Seguro de vida) e (Manutenção e Capacitação Profissional )</v>
      </c>
      <c r="B10" s="38"/>
      <c r="C10" s="38"/>
      <c r="D10" s="38"/>
      <c r="E10" s="39">
        <f>F81</f>
        <v>0</v>
      </c>
      <c r="F10" s="40">
        <f t="shared" si="0"/>
        <v>0</v>
      </c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5.75" customHeight="1">
      <c r="A11" s="10" t="str">
        <f>A85</f>
        <v>2. Uniformes e Equipamentos de Proteção Individual</v>
      </c>
      <c r="B11" s="10"/>
      <c r="C11" s="10"/>
      <c r="D11" s="32"/>
      <c r="E11" s="33">
        <f>+F104</f>
        <v>0</v>
      </c>
      <c r="F11" s="34">
        <f t="shared" si="0"/>
        <v>0</v>
      </c>
      <c r="G11" s="35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15.75" customHeight="1">
      <c r="A12" s="41" t="str">
        <f>A106</f>
        <v xml:space="preserve">3. Veículos e Máquinas </v>
      </c>
      <c r="B12" s="42"/>
      <c r="C12" s="32"/>
      <c r="D12" s="32"/>
      <c r="E12" s="33">
        <f>+F174</f>
        <v>0</v>
      </c>
      <c r="F12" s="34">
        <f t="shared" si="0"/>
        <v>0</v>
      </c>
      <c r="G12" s="35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5.75" customHeight="1">
      <c r="A13" s="43" t="str">
        <f>A108</f>
        <v xml:space="preserve">3.1. Veículo/Máquina </v>
      </c>
      <c r="B13" s="44"/>
      <c r="C13" s="38"/>
      <c r="D13" s="38"/>
      <c r="E13" s="39">
        <f>SUM(E14:E19)</f>
        <v>0</v>
      </c>
      <c r="F13" s="40">
        <f t="shared" si="0"/>
        <v>0</v>
      </c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>
      <c r="A14" s="45" t="s">
        <v>15</v>
      </c>
      <c r="B14" s="44"/>
      <c r="C14" s="38"/>
      <c r="D14" s="38"/>
      <c r="E14" s="39">
        <f>F124</f>
        <v>0</v>
      </c>
      <c r="F14" s="40">
        <f t="shared" si="0"/>
        <v>0</v>
      </c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45" t="s">
        <v>16</v>
      </c>
      <c r="B15" s="44"/>
      <c r="C15" s="38"/>
      <c r="D15" s="38"/>
      <c r="E15" s="39">
        <f>F142</f>
        <v>0</v>
      </c>
      <c r="F15" s="40">
        <f t="shared" si="0"/>
        <v>0</v>
      </c>
      <c r="G15" s="1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>
      <c r="A16" s="43" t="str">
        <f>A144</f>
        <v>3.1.3. Impostos e Seguros</v>
      </c>
      <c r="B16" s="44"/>
      <c r="C16" s="38"/>
      <c r="D16" s="38"/>
      <c r="E16" s="39">
        <f>F148</f>
        <v>0</v>
      </c>
      <c r="F16" s="40">
        <f t="shared" si="0"/>
        <v>0</v>
      </c>
      <c r="G16" s="16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>
      <c r="A17" s="43" t="str">
        <f>A149</f>
        <v xml:space="preserve">3.1.4. Consumos óleo diesel </v>
      </c>
      <c r="B17" s="44"/>
      <c r="C17" s="38"/>
      <c r="D17" s="38"/>
      <c r="E17" s="39">
        <f>F158</f>
        <v>0</v>
      </c>
      <c r="F17" s="40">
        <f t="shared" si="0"/>
        <v>0</v>
      </c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>
      <c r="A18" s="43" t="str">
        <f>A160</f>
        <v xml:space="preserve">3.1.5. Manutenção/Consumos </v>
      </c>
      <c r="B18" s="44"/>
      <c r="C18" s="38"/>
      <c r="D18" s="38"/>
      <c r="E18" s="39">
        <f>F163</f>
        <v>0</v>
      </c>
      <c r="F18" s="40">
        <f t="shared" si="0"/>
        <v>0</v>
      </c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hidden="1" customHeight="1">
      <c r="A19" s="43" t="str">
        <f>A165</f>
        <v>3.1.6. Pneus</v>
      </c>
      <c r="B19" s="44"/>
      <c r="C19" s="38"/>
      <c r="D19" s="38"/>
      <c r="E19" s="39">
        <f>F172</f>
        <v>0</v>
      </c>
      <c r="F19" s="40">
        <f t="shared" si="0"/>
        <v>0</v>
      </c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hidden="1" customHeight="1">
      <c r="A20" s="41" t="str">
        <f>A176</f>
        <v xml:space="preserve">4. Ferramentas e materiais </v>
      </c>
      <c r="B20" s="42"/>
      <c r="C20" s="32"/>
      <c r="D20" s="32"/>
      <c r="E20" s="33">
        <f>+F187</f>
        <v>0</v>
      </c>
      <c r="F20" s="34">
        <f t="shared" si="0"/>
        <v>0</v>
      </c>
      <c r="G20" s="35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ht="15.75" hidden="1" customHeight="1">
      <c r="A21" s="41" t="str">
        <f>A189</f>
        <v xml:space="preserve">5. Monitoramento da frota  </v>
      </c>
      <c r="B21" s="42"/>
      <c r="C21" s="32"/>
      <c r="D21" s="32"/>
      <c r="E21" s="33">
        <f>+F198</f>
        <v>0</v>
      </c>
      <c r="F21" s="34">
        <f t="shared" si="0"/>
        <v>0</v>
      </c>
      <c r="G21" s="35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customHeight="1">
      <c r="A22" s="41" t="str">
        <f>A202</f>
        <v>4. Benefícios e Despesas Indiretas - BDI</v>
      </c>
      <c r="B22" s="42"/>
      <c r="C22" s="32"/>
      <c r="D22" s="32"/>
      <c r="E22" s="46">
        <f>+F208</f>
        <v>0</v>
      </c>
      <c r="F22" s="34">
        <f t="shared" si="0"/>
        <v>0</v>
      </c>
      <c r="G22" s="35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customHeight="1">
      <c r="A23" s="47" t="s">
        <v>17</v>
      </c>
      <c r="B23" s="48"/>
      <c r="C23" s="49"/>
      <c r="D23" s="49"/>
      <c r="E23" s="50">
        <f>E6+E11+E12+E20+E21+E22</f>
        <v>0</v>
      </c>
      <c r="F23" s="51">
        <f>F6+F11+F12+F20+F21+F22</f>
        <v>0</v>
      </c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2.75" customHeight="1">
      <c r="A24" s="15"/>
      <c r="B24" s="15"/>
      <c r="C24" s="15"/>
      <c r="D24" s="16"/>
      <c r="E24" s="16"/>
      <c r="F24" s="16"/>
      <c r="G24" s="1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2.75" customHeight="1">
      <c r="A25" s="15"/>
      <c r="B25" s="15"/>
      <c r="C25" s="15"/>
      <c r="D25" s="16"/>
      <c r="E25" s="16"/>
      <c r="F25" s="16"/>
      <c r="G25" s="1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" customHeight="1">
      <c r="A26" s="11" t="s">
        <v>18</v>
      </c>
      <c r="B26" s="11"/>
      <c r="C26" s="11"/>
      <c r="D26" s="11"/>
      <c r="E26" s="11"/>
      <c r="F26" s="16"/>
      <c r="G26" s="1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" customHeight="1">
      <c r="A27" s="9" t="s">
        <v>19</v>
      </c>
      <c r="B27" s="9"/>
      <c r="C27" s="9"/>
      <c r="D27" s="9"/>
      <c r="E27" s="52" t="s">
        <v>20</v>
      </c>
      <c r="F27" s="16"/>
      <c r="G27" s="1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" customHeight="1">
      <c r="A28" s="37" t="s">
        <v>21</v>
      </c>
      <c r="B28" s="38"/>
      <c r="C28" s="38"/>
      <c r="D28" s="53"/>
      <c r="E28" s="54">
        <f>C59</f>
        <v>1</v>
      </c>
      <c r="F28" s="16"/>
      <c r="G28" s="1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" customHeight="1">
      <c r="A29" s="37" t="s">
        <v>22</v>
      </c>
      <c r="B29" s="38"/>
      <c r="C29" s="38"/>
      <c r="D29" s="53"/>
      <c r="E29" s="55"/>
      <c r="F29" s="16"/>
      <c r="G29" s="16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" customHeight="1">
      <c r="A30" s="37" t="s">
        <v>23</v>
      </c>
      <c r="B30" s="38"/>
      <c r="C30" s="38"/>
      <c r="D30" s="53"/>
      <c r="E30" s="56">
        <v>0</v>
      </c>
      <c r="F30" s="16"/>
      <c r="G30" s="16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" customHeight="1">
      <c r="A31" s="57" t="s">
        <v>24</v>
      </c>
      <c r="B31" s="58"/>
      <c r="C31" s="58"/>
      <c r="D31" s="59"/>
      <c r="E31" s="60">
        <f>SUM(E28)</f>
        <v>1</v>
      </c>
      <c r="F31" s="16"/>
      <c r="G31" s="16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" customHeight="1">
      <c r="A32" s="61"/>
      <c r="B32" s="62"/>
      <c r="C32" s="16"/>
      <c r="D32" s="16"/>
      <c r="E32" s="25"/>
      <c r="F32" s="16"/>
      <c r="G32" s="16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" customHeight="1">
      <c r="A33" s="8" t="s">
        <v>25</v>
      </c>
      <c r="B33" s="8"/>
      <c r="C33" s="8"/>
      <c r="D33" s="8"/>
      <c r="E33" s="52" t="s">
        <v>20</v>
      </c>
      <c r="F33" s="15"/>
      <c r="G33" s="16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" customHeight="1">
      <c r="A34" s="63" t="str">
        <f>+A108</f>
        <v xml:space="preserve">3.1. Veículo/Máquina </v>
      </c>
      <c r="B34" s="64"/>
      <c r="C34" s="64"/>
      <c r="D34" s="65"/>
      <c r="E34" s="66">
        <f>C123</f>
        <v>1</v>
      </c>
      <c r="F34" s="15"/>
      <c r="G34" s="16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" customHeight="1">
      <c r="A35" s="16"/>
      <c r="B35" s="16"/>
      <c r="C35" s="16"/>
      <c r="D35" s="15"/>
      <c r="E35" s="67"/>
      <c r="F35" s="15"/>
      <c r="G35" s="16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>
      <c r="A36" s="16"/>
      <c r="B36" s="16"/>
      <c r="C36" s="16"/>
      <c r="D36" s="15"/>
      <c r="E36" s="68"/>
      <c r="F36" s="15"/>
      <c r="G36" s="16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>
      <c r="A37" s="69" t="s">
        <v>26</v>
      </c>
      <c r="B37" s="70">
        <f>'27.Horários'!F17/'27.Horários'!F18</f>
        <v>1</v>
      </c>
      <c r="C37" s="35"/>
      <c r="D37" s="36"/>
      <c r="E37" s="71"/>
      <c r="F37" s="36"/>
      <c r="G37" s="35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 ht="15.75" customHeight="1">
      <c r="A38" s="16"/>
      <c r="B38" s="16"/>
      <c r="C38" s="16"/>
      <c r="D38" s="15"/>
      <c r="E38" s="68"/>
      <c r="F38" s="15"/>
      <c r="G38" s="1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2.75" customHeight="1">
      <c r="A39" s="36" t="s">
        <v>27</v>
      </c>
      <c r="B39" s="15"/>
      <c r="C39" s="15"/>
      <c r="D39" s="16"/>
      <c r="E39" s="16"/>
      <c r="F39" s="16"/>
      <c r="G39" s="1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1.25" customHeight="1">
      <c r="A40" s="15"/>
      <c r="B40" s="15"/>
      <c r="C40" s="15"/>
      <c r="D40" s="16"/>
      <c r="E40" s="16"/>
      <c r="F40" s="16"/>
      <c r="G40" s="1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2.75" customHeight="1">
      <c r="A41" s="15" t="s">
        <v>28</v>
      </c>
      <c r="B41" s="15"/>
      <c r="C41" s="15"/>
      <c r="D41" s="16"/>
      <c r="E41" s="16"/>
      <c r="F41" s="16"/>
      <c r="G41" s="1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>
      <c r="A42" s="72" t="s">
        <v>29</v>
      </c>
      <c r="B42" s="73" t="s">
        <v>30</v>
      </c>
      <c r="C42" s="73" t="s">
        <v>20</v>
      </c>
      <c r="D42" s="74" t="s">
        <v>31</v>
      </c>
      <c r="E42" s="74" t="s">
        <v>32</v>
      </c>
      <c r="F42" s="75" t="s">
        <v>33</v>
      </c>
      <c r="G42" s="1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>
      <c r="A43" s="76" t="s">
        <v>34</v>
      </c>
      <c r="B43" s="77" t="s">
        <v>35</v>
      </c>
      <c r="C43" s="77">
        <v>1</v>
      </c>
      <c r="D43" s="78">
        <f>ROUND((E29*E30)+E29,2)</f>
        <v>0</v>
      </c>
      <c r="E43" s="78">
        <f>C43*D43</f>
        <v>0</v>
      </c>
      <c r="F43" s="16"/>
      <c r="G43" s="1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hidden="1" customHeight="1">
      <c r="A44" s="76" t="s">
        <v>36</v>
      </c>
      <c r="B44" s="77" t="s">
        <v>35</v>
      </c>
      <c r="C44" s="77">
        <v>1</v>
      </c>
      <c r="D44" s="79">
        <v>1100</v>
      </c>
      <c r="E44" s="79"/>
      <c r="F44" s="16"/>
      <c r="G44" s="1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hidden="1" customHeight="1">
      <c r="A45" s="80" t="s">
        <v>37</v>
      </c>
      <c r="B45" s="81" t="s">
        <v>38</v>
      </c>
      <c r="C45" s="82"/>
      <c r="D45" s="80"/>
      <c r="E45" s="80"/>
      <c r="F45" s="16"/>
      <c r="G45" s="1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hidden="1" customHeight="1">
      <c r="A46" s="80"/>
      <c r="B46" s="81" t="s">
        <v>39</v>
      </c>
      <c r="C46" s="79">
        <f>C45*8/7</f>
        <v>0</v>
      </c>
      <c r="D46" s="79">
        <f>D43/220*0.2</f>
        <v>0</v>
      </c>
      <c r="E46" s="79">
        <f>C45*D46</f>
        <v>0</v>
      </c>
      <c r="F46" s="16"/>
      <c r="G46" s="1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hidden="1" customHeight="1">
      <c r="A47" s="80" t="s">
        <v>40</v>
      </c>
      <c r="B47" s="81" t="s">
        <v>41</v>
      </c>
      <c r="C47" s="82"/>
      <c r="D47" s="79">
        <f>D43/220*2</f>
        <v>0</v>
      </c>
      <c r="E47" s="79">
        <f>C47*D47</f>
        <v>0</v>
      </c>
      <c r="F47" s="16"/>
      <c r="G47" s="16" t="s">
        <v>42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hidden="1" customHeight="1">
      <c r="A48" s="80" t="s">
        <v>43</v>
      </c>
      <c r="B48" s="81" t="s">
        <v>38</v>
      </c>
      <c r="C48" s="82"/>
      <c r="D48" s="79"/>
      <c r="E48" s="79"/>
      <c r="F48" s="16"/>
      <c r="G48" s="16" t="s">
        <v>44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hidden="1" customHeight="1">
      <c r="A49" s="80"/>
      <c r="B49" s="81" t="s">
        <v>39</v>
      </c>
      <c r="C49" s="79">
        <f>C48*8/7</f>
        <v>0</v>
      </c>
      <c r="D49" s="79">
        <f>D43/220*2*1.2</f>
        <v>0</v>
      </c>
      <c r="E49" s="79">
        <f>C49*D49</f>
        <v>0</v>
      </c>
      <c r="F49" s="16"/>
      <c r="G49" s="16" t="s">
        <v>44</v>
      </c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hidden="1" customHeight="1">
      <c r="A50" s="80" t="s">
        <v>45</v>
      </c>
      <c r="B50" s="81" t="s">
        <v>41</v>
      </c>
      <c r="C50" s="82"/>
      <c r="D50" s="79">
        <f>D43/220*1.5</f>
        <v>0</v>
      </c>
      <c r="E50" s="79">
        <f>C50*D50</f>
        <v>0</v>
      </c>
      <c r="F50" s="16"/>
      <c r="G50" s="16" t="s">
        <v>46</v>
      </c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hidden="1" customHeight="1">
      <c r="A51" s="80" t="s">
        <v>47</v>
      </c>
      <c r="B51" s="81" t="s">
        <v>38</v>
      </c>
      <c r="C51" s="82"/>
      <c r="D51" s="79"/>
      <c r="E51" s="79"/>
      <c r="F51" s="16"/>
      <c r="G51" s="16" t="s">
        <v>48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hidden="1" customHeight="1">
      <c r="A52" s="80"/>
      <c r="B52" s="81" t="s">
        <v>39</v>
      </c>
      <c r="C52" s="79">
        <f>C51*8/7</f>
        <v>0</v>
      </c>
      <c r="D52" s="79">
        <f>D43/220*1.5*1.2</f>
        <v>0</v>
      </c>
      <c r="E52" s="79">
        <f>C52*D52</f>
        <v>0</v>
      </c>
      <c r="F52" s="16"/>
      <c r="G52" s="16" t="s">
        <v>48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hidden="1" customHeight="1">
      <c r="A53" s="80" t="s">
        <v>49</v>
      </c>
      <c r="B53" s="81" t="s">
        <v>50</v>
      </c>
      <c r="C53" s="15"/>
      <c r="D53" s="79">
        <f>63/302*(SUM(E47:E52))</f>
        <v>0</v>
      </c>
      <c r="E53" s="79">
        <f>D53</f>
        <v>0</v>
      </c>
      <c r="F53" s="16"/>
      <c r="G53" s="16" t="s">
        <v>51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hidden="1" customHeight="1">
      <c r="A54" s="80" t="s">
        <v>52</v>
      </c>
      <c r="B54" s="81"/>
      <c r="C54" s="83">
        <v>0</v>
      </c>
      <c r="D54" s="79"/>
      <c r="E54" s="79"/>
      <c r="F54" s="16"/>
      <c r="G54" s="1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hidden="1" customHeight="1">
      <c r="A55" s="80" t="s">
        <v>53</v>
      </c>
      <c r="B55" s="81" t="s">
        <v>14</v>
      </c>
      <c r="C55" s="79">
        <v>0</v>
      </c>
      <c r="D55" s="79">
        <f>IF(C54=2,SUM(E43:E53),IF(C54=1,SUM(E43:E53)*D44/D43,0))</f>
        <v>0</v>
      </c>
      <c r="E55" s="79">
        <f>C55*D55/100</f>
        <v>0</v>
      </c>
      <c r="F55" s="16"/>
      <c r="G55" s="16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>
      <c r="A56" s="84" t="s">
        <v>54</v>
      </c>
      <c r="B56" s="85"/>
      <c r="C56" s="85"/>
      <c r="D56" s="86"/>
      <c r="E56" s="87">
        <f>SUM(E43:E55)</f>
        <v>0</v>
      </c>
      <c r="F56" s="35"/>
      <c r="G56" s="35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spans="1:26" ht="12.75" customHeight="1">
      <c r="A57" s="80" t="s">
        <v>55</v>
      </c>
      <c r="B57" s="81" t="s">
        <v>14</v>
      </c>
      <c r="C57" s="88">
        <f>'24.Encargos Sociais'!$C$38*100</f>
        <v>0</v>
      </c>
      <c r="D57" s="79">
        <f>E56</f>
        <v>0</v>
      </c>
      <c r="E57" s="79">
        <f>D57*C57/100</f>
        <v>0</v>
      </c>
      <c r="F57" s="16"/>
      <c r="G57" s="16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>
      <c r="A58" s="84" t="s">
        <v>56</v>
      </c>
      <c r="B58" s="85"/>
      <c r="C58" s="85"/>
      <c r="D58" s="86"/>
      <c r="E58" s="87">
        <f>E56+E57</f>
        <v>0</v>
      </c>
      <c r="F58" s="35"/>
      <c r="G58" s="35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spans="1:26" ht="12.75" customHeight="1">
      <c r="A59" s="80" t="s">
        <v>57</v>
      </c>
      <c r="B59" s="81" t="s">
        <v>58</v>
      </c>
      <c r="C59" s="89">
        <v>1</v>
      </c>
      <c r="D59" s="79">
        <f>E58</f>
        <v>0</v>
      </c>
      <c r="E59" s="79">
        <f>C59*D59</f>
        <v>0</v>
      </c>
      <c r="F59" s="16"/>
      <c r="G59" s="16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>
      <c r="A60" s="15"/>
      <c r="B60" s="15"/>
      <c r="C60" s="15"/>
      <c r="D60" s="90" t="s">
        <v>59</v>
      </c>
      <c r="E60" s="91">
        <f>B37</f>
        <v>1</v>
      </c>
      <c r="F60" s="92">
        <f>E59*E60</f>
        <v>0</v>
      </c>
      <c r="G60" s="16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1.25" customHeight="1">
      <c r="A61" s="15"/>
      <c r="B61" s="15"/>
      <c r="C61" s="15"/>
      <c r="D61" s="16"/>
      <c r="E61" s="16"/>
      <c r="F61" s="16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>
      <c r="A62" s="15" t="s">
        <v>60</v>
      </c>
      <c r="B62" s="93"/>
      <c r="C62" s="15"/>
      <c r="D62" s="15"/>
      <c r="E62" s="16"/>
      <c r="F62" s="16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>
      <c r="A63" s="72" t="s">
        <v>29</v>
      </c>
      <c r="B63" s="73" t="s">
        <v>30</v>
      </c>
      <c r="C63" s="73" t="s">
        <v>20</v>
      </c>
      <c r="D63" s="74" t="s">
        <v>31</v>
      </c>
      <c r="E63" s="74" t="s">
        <v>32</v>
      </c>
      <c r="F63" s="75" t="s">
        <v>33</v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>
      <c r="A64" s="80" t="s">
        <v>61</v>
      </c>
      <c r="B64" s="81" t="s">
        <v>50</v>
      </c>
      <c r="C64" s="94">
        <v>1</v>
      </c>
      <c r="D64" s="95"/>
      <c r="E64" s="79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>
      <c r="A65" s="80" t="s">
        <v>62</v>
      </c>
      <c r="B65" s="81" t="s">
        <v>63</v>
      </c>
      <c r="C65" s="96">
        <v>21</v>
      </c>
      <c r="D65" s="79"/>
      <c r="E65" s="79"/>
      <c r="F65" s="16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hidden="1" customHeight="1">
      <c r="A66" s="80" t="s">
        <v>64</v>
      </c>
      <c r="B66" s="81" t="s">
        <v>65</v>
      </c>
      <c r="C66" s="97" t="e">
        <f>$C$65*2*(#REF!)</f>
        <v>#REF!</v>
      </c>
      <c r="D66" s="78" t="str">
        <f>IFERROR((($C$65*2*$D$64)-(#REF!*0.06*C65/26))/($C$65*2),"-")</f>
        <v>-</v>
      </c>
      <c r="E66" s="79" t="str">
        <f>IFERROR(C66*D66,"-")</f>
        <v>-</v>
      </c>
      <c r="F66" s="16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>
      <c r="A67" s="76" t="s">
        <v>66</v>
      </c>
      <c r="B67" s="77" t="s">
        <v>65</v>
      </c>
      <c r="C67" s="97">
        <f>$C$65*2*(C59)</f>
        <v>42</v>
      </c>
      <c r="D67" s="78"/>
      <c r="E67" s="78">
        <f>C67*D64</f>
        <v>0</v>
      </c>
      <c r="F67" s="16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15"/>
      <c r="B68" s="15"/>
      <c r="C68" s="15"/>
      <c r="D68" s="16"/>
      <c r="E68" s="16"/>
      <c r="F68" s="98">
        <f>E67-(6%*E43)</f>
        <v>0</v>
      </c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1.25" customHeight="1">
      <c r="A69" s="15"/>
      <c r="B69" s="15"/>
      <c r="C69" s="15"/>
      <c r="D69" s="16"/>
      <c r="E69" s="16"/>
      <c r="F69" s="16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5" t="s">
        <v>67</v>
      </c>
      <c r="B70" s="15"/>
      <c r="C70" s="15"/>
      <c r="D70" s="16"/>
      <c r="E70" s="16"/>
      <c r="F70" s="3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>
      <c r="A71" s="72" t="s">
        <v>29</v>
      </c>
      <c r="B71" s="73" t="s">
        <v>30</v>
      </c>
      <c r="C71" s="73" t="s">
        <v>20</v>
      </c>
      <c r="D71" s="74" t="s">
        <v>31</v>
      </c>
      <c r="E71" s="74" t="s">
        <v>32</v>
      </c>
      <c r="F71" s="75" t="s">
        <v>33</v>
      </c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hidden="1" customHeight="1">
      <c r="A72" s="80" t="str">
        <f>+A66</f>
        <v>Coletor</v>
      </c>
      <c r="B72" s="81" t="s">
        <v>68</v>
      </c>
      <c r="C72" s="97"/>
      <c r="D72" s="99">
        <v>0</v>
      </c>
      <c r="E72" s="100">
        <f>C72*D72</f>
        <v>0</v>
      </c>
      <c r="F72" s="3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80" t="str">
        <f>+A67</f>
        <v xml:space="preserve">Operador </v>
      </c>
      <c r="B73" s="81" t="s">
        <v>68</v>
      </c>
      <c r="C73" s="97">
        <v>1</v>
      </c>
      <c r="D73" s="99"/>
      <c r="E73" s="100">
        <f>C73*D73</f>
        <v>0</v>
      </c>
      <c r="F73" s="3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hidden="1" customHeight="1">
      <c r="A74" s="80" t="s">
        <v>69</v>
      </c>
      <c r="B74" s="81" t="s">
        <v>68</v>
      </c>
      <c r="C74" s="97">
        <v>0</v>
      </c>
      <c r="D74" s="99">
        <v>13.55</v>
      </c>
      <c r="E74" s="100">
        <f>C74*D74</f>
        <v>0</v>
      </c>
      <c r="F74" s="3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101"/>
      <c r="B75" s="15"/>
      <c r="C75" s="15"/>
      <c r="D75" s="16"/>
      <c r="E75" s="16"/>
      <c r="F75" s="98">
        <f>SUM(E72:E74)</f>
        <v>0</v>
      </c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>
      <c r="A76" s="15"/>
      <c r="B76" s="15"/>
      <c r="C76" s="15"/>
      <c r="D76" s="16"/>
      <c r="E76" s="16"/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15" t="s">
        <v>70</v>
      </c>
      <c r="B77" s="15"/>
      <c r="C77" s="15"/>
      <c r="D77" s="16"/>
      <c r="E77" s="16"/>
      <c r="F77" s="3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72" t="s">
        <v>29</v>
      </c>
      <c r="B78" s="73" t="s">
        <v>30</v>
      </c>
      <c r="C78" s="73" t="s">
        <v>20</v>
      </c>
      <c r="D78" s="74" t="s">
        <v>31</v>
      </c>
      <c r="E78" s="74" t="s">
        <v>32</v>
      </c>
      <c r="F78" s="75" t="s">
        <v>33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>
      <c r="A79" s="80" t="s">
        <v>71</v>
      </c>
      <c r="B79" s="81" t="s">
        <v>68</v>
      </c>
      <c r="C79" s="102">
        <v>1</v>
      </c>
      <c r="D79" s="99"/>
      <c r="E79" s="103">
        <f>C79*D79</f>
        <v>0</v>
      </c>
      <c r="F79" s="3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80" t="s">
        <v>72</v>
      </c>
      <c r="B80" s="81" t="s">
        <v>68</v>
      </c>
      <c r="C80" s="102">
        <v>1</v>
      </c>
      <c r="D80" s="104"/>
      <c r="E80" s="103">
        <f>C80*D80</f>
        <v>0</v>
      </c>
      <c r="F80" s="3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105"/>
      <c r="B81" s="105"/>
      <c r="C81" s="15"/>
      <c r="D81" s="90" t="s">
        <v>73</v>
      </c>
      <c r="E81" s="100">
        <v>1</v>
      </c>
      <c r="F81" s="106">
        <f>SUM(E79:E80)*E81</f>
        <v>0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>
      <c r="A82" s="15"/>
      <c r="B82" s="15"/>
      <c r="C82" s="15"/>
      <c r="D82" s="90"/>
      <c r="E82" s="107"/>
      <c r="F82" s="16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108" t="s">
        <v>74</v>
      </c>
      <c r="B83" s="109"/>
      <c r="C83" s="109"/>
      <c r="D83" s="49"/>
      <c r="E83" s="110"/>
      <c r="F83" s="98">
        <f>F60+F68+F75+F81</f>
        <v>0</v>
      </c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>
      <c r="A84" s="15"/>
      <c r="B84" s="15"/>
      <c r="C84" s="15"/>
      <c r="D84" s="16"/>
      <c r="E84" s="16"/>
      <c r="F84" s="16"/>
      <c r="G84" s="16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36" t="s">
        <v>75</v>
      </c>
      <c r="B85" s="15"/>
      <c r="C85" s="15"/>
      <c r="D85" s="16"/>
      <c r="E85" s="16"/>
      <c r="F85" s="16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1.25" customHeight="1">
      <c r="A86" s="15"/>
      <c r="B86" s="15"/>
      <c r="C86" s="15"/>
      <c r="D86" s="16"/>
      <c r="E86" s="16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3.5" customHeight="1">
      <c r="A87" s="15" t="s">
        <v>76</v>
      </c>
      <c r="B87" s="15"/>
      <c r="C87" s="15"/>
      <c r="D87" s="16"/>
      <c r="E87" s="16"/>
      <c r="F87" s="16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1.25" customHeight="1">
      <c r="A88" s="15"/>
      <c r="B88" s="15"/>
      <c r="C88" s="15"/>
      <c r="D88" s="16"/>
      <c r="E88" s="16"/>
      <c r="F88" s="16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27.75" customHeight="1">
      <c r="A89" s="72" t="s">
        <v>29</v>
      </c>
      <c r="B89" s="73" t="s">
        <v>30</v>
      </c>
      <c r="C89" s="111" t="s">
        <v>77</v>
      </c>
      <c r="D89" s="74" t="s">
        <v>31</v>
      </c>
      <c r="E89" s="74" t="s">
        <v>32</v>
      </c>
      <c r="F89" s="75" t="s">
        <v>33</v>
      </c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76" t="s">
        <v>78</v>
      </c>
      <c r="B90" s="77" t="s">
        <v>68</v>
      </c>
      <c r="C90" s="112"/>
      <c r="D90" s="113"/>
      <c r="E90" s="78">
        <f t="shared" ref="E90:E99" si="1">IFERROR(D90/C90,0)</f>
        <v>0</v>
      </c>
      <c r="F90" s="16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80" t="s">
        <v>79</v>
      </c>
      <c r="B91" s="81" t="s">
        <v>68</v>
      </c>
      <c r="C91" s="112"/>
      <c r="D91" s="114"/>
      <c r="E91" s="78">
        <f t="shared" si="1"/>
        <v>0</v>
      </c>
      <c r="F91" s="16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80" t="s">
        <v>80</v>
      </c>
      <c r="B92" s="81" t="s">
        <v>68</v>
      </c>
      <c r="C92" s="112"/>
      <c r="D92" s="114"/>
      <c r="E92" s="78">
        <f t="shared" si="1"/>
        <v>0</v>
      </c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80" t="s">
        <v>81</v>
      </c>
      <c r="B93" s="81" t="s">
        <v>68</v>
      </c>
      <c r="C93" s="112"/>
      <c r="D93" s="114"/>
      <c r="E93" s="78">
        <f t="shared" si="1"/>
        <v>0</v>
      </c>
      <c r="F93" s="16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3.5" customHeight="1">
      <c r="A94" s="80" t="s">
        <v>82</v>
      </c>
      <c r="B94" s="81" t="s">
        <v>83</v>
      </c>
      <c r="C94" s="112"/>
      <c r="D94" s="114"/>
      <c r="E94" s="78">
        <f t="shared" si="1"/>
        <v>0</v>
      </c>
      <c r="F94" s="16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80" t="s">
        <v>84</v>
      </c>
      <c r="B95" s="81" t="s">
        <v>83</v>
      </c>
      <c r="C95" s="112"/>
      <c r="D95" s="114"/>
      <c r="E95" s="78">
        <f t="shared" si="1"/>
        <v>0</v>
      </c>
      <c r="F95" s="16"/>
      <c r="G95" s="16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>
      <c r="A96" s="80" t="s">
        <v>85</v>
      </c>
      <c r="B96" s="81" t="s">
        <v>68</v>
      </c>
      <c r="C96" s="112"/>
      <c r="D96" s="114"/>
      <c r="E96" s="78">
        <f t="shared" si="1"/>
        <v>0</v>
      </c>
      <c r="F96" s="16"/>
      <c r="G96" s="16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>
      <c r="A97" s="80" t="s">
        <v>86</v>
      </c>
      <c r="B97" s="81" t="s">
        <v>83</v>
      </c>
      <c r="C97" s="112"/>
      <c r="D97" s="114"/>
      <c r="E97" s="78">
        <f t="shared" si="1"/>
        <v>0</v>
      </c>
      <c r="F97" s="16"/>
      <c r="G97" s="16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>
      <c r="A98" s="80" t="s">
        <v>87</v>
      </c>
      <c r="B98" s="81" t="s">
        <v>88</v>
      </c>
      <c r="C98" s="112"/>
      <c r="D98" s="114"/>
      <c r="E98" s="78">
        <f t="shared" si="1"/>
        <v>0</v>
      </c>
      <c r="F98" s="16"/>
      <c r="G98" s="16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>
      <c r="A99" s="80" t="s">
        <v>89</v>
      </c>
      <c r="B99" s="81" t="s">
        <v>90</v>
      </c>
      <c r="C99" s="112"/>
      <c r="D99" s="114"/>
      <c r="E99" s="78">
        <f t="shared" si="1"/>
        <v>0</v>
      </c>
      <c r="F99" s="16"/>
      <c r="G99" s="16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80" t="s">
        <v>57</v>
      </c>
      <c r="B100" s="81" t="s">
        <v>58</v>
      </c>
      <c r="C100" s="102">
        <f>E28</f>
        <v>1</v>
      </c>
      <c r="D100" s="79">
        <f>+SUM(E90:E99)</f>
        <v>0</v>
      </c>
      <c r="E100" s="79">
        <f>C100*D100</f>
        <v>0</v>
      </c>
      <c r="F100" s="16"/>
      <c r="G100" s="16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15"/>
      <c r="B101" s="15"/>
      <c r="C101" s="15"/>
      <c r="D101" s="90" t="s">
        <v>59</v>
      </c>
      <c r="E101" s="91">
        <f>$B$37</f>
        <v>1</v>
      </c>
      <c r="F101" s="92">
        <f>E100*E101</f>
        <v>0</v>
      </c>
      <c r="G101" s="16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1.25" customHeight="1">
      <c r="A102" s="15"/>
      <c r="B102" s="15"/>
      <c r="C102" s="15"/>
      <c r="D102" s="16"/>
      <c r="E102" s="16"/>
      <c r="F102" s="16"/>
      <c r="G102" s="16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1.25" customHeight="1">
      <c r="A103" s="15"/>
      <c r="B103" s="15"/>
      <c r="C103" s="15"/>
      <c r="D103" s="16"/>
      <c r="E103" s="16"/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>
      <c r="A104" s="108" t="s">
        <v>91</v>
      </c>
      <c r="B104" s="115"/>
      <c r="C104" s="115"/>
      <c r="D104" s="116"/>
      <c r="E104" s="117"/>
      <c r="F104" s="118">
        <f>+F101</f>
        <v>0</v>
      </c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1.25" customHeight="1">
      <c r="A105" s="15"/>
      <c r="B105" s="15"/>
      <c r="C105" s="15"/>
      <c r="D105" s="16"/>
      <c r="E105" s="16"/>
      <c r="F105" s="16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36" t="s">
        <v>92</v>
      </c>
      <c r="B106" s="15"/>
      <c r="C106" s="15"/>
      <c r="D106" s="16"/>
      <c r="E106" s="16"/>
      <c r="F106" s="16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1.25" customHeight="1">
      <c r="A107" s="15"/>
      <c r="B107" s="119"/>
      <c r="C107" s="15"/>
      <c r="D107" s="16"/>
      <c r="E107" s="16"/>
      <c r="F107" s="16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15" t="s">
        <v>93</v>
      </c>
      <c r="B108" s="15"/>
      <c r="C108" s="15"/>
      <c r="D108" s="16"/>
      <c r="E108" s="16"/>
      <c r="F108" s="16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1.25" customHeight="1">
      <c r="A109" s="15"/>
      <c r="B109" s="15"/>
      <c r="C109" s="15"/>
      <c r="D109" s="16"/>
      <c r="E109" s="16"/>
      <c r="F109" s="16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119" t="s">
        <v>15</v>
      </c>
      <c r="B110" s="15"/>
      <c r="C110" s="15"/>
      <c r="D110" s="16"/>
      <c r="E110" s="16"/>
      <c r="F110" s="16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72" t="s">
        <v>29</v>
      </c>
      <c r="B111" s="73" t="s">
        <v>30</v>
      </c>
      <c r="C111" s="73" t="s">
        <v>20</v>
      </c>
      <c r="D111" s="74" t="s">
        <v>31</v>
      </c>
      <c r="E111" s="74" t="s">
        <v>32</v>
      </c>
      <c r="F111" s="75" t="s">
        <v>33</v>
      </c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>
      <c r="A112" s="76" t="s">
        <v>94</v>
      </c>
      <c r="B112" s="77" t="s">
        <v>68</v>
      </c>
      <c r="C112" s="77">
        <v>1</v>
      </c>
      <c r="D112" s="113"/>
      <c r="E112" s="78">
        <f>C112*D112</f>
        <v>0</v>
      </c>
      <c r="F112" s="16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>
      <c r="A113" s="80" t="s">
        <v>95</v>
      </c>
      <c r="B113" s="81" t="s">
        <v>96</v>
      </c>
      <c r="C113" s="120"/>
      <c r="D113" s="79"/>
      <c r="E113" s="79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80" t="s">
        <v>97</v>
      </c>
      <c r="B114" s="81" t="s">
        <v>96</v>
      </c>
      <c r="C114" s="120"/>
      <c r="D114" s="79"/>
      <c r="E114" s="79"/>
      <c r="F114" s="121"/>
      <c r="G114" s="16"/>
      <c r="H114" s="15"/>
      <c r="I114" s="122"/>
      <c r="J114" s="122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>
      <c r="A115" s="80" t="s">
        <v>98</v>
      </c>
      <c r="B115" s="81" t="s">
        <v>14</v>
      </c>
      <c r="C115" s="88">
        <f>IFERROR(VLOOKUP(C113,'28. Depreciação'!A3:B17,2,0),0)</f>
        <v>0</v>
      </c>
      <c r="D115" s="79">
        <f>E112</f>
        <v>0</v>
      </c>
      <c r="E115" s="79">
        <f>C115*D115/100</f>
        <v>0</v>
      </c>
      <c r="F115" s="16"/>
      <c r="G115" s="16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123" t="s">
        <v>99</v>
      </c>
      <c r="B116" s="124" t="s">
        <v>35</v>
      </c>
      <c r="C116" s="124">
        <f>C113*12</f>
        <v>0</v>
      </c>
      <c r="D116" s="125">
        <f>IF(C114&lt;=C113,E115,0)</f>
        <v>0</v>
      </c>
      <c r="E116" s="125">
        <f>IFERROR(D116/C116,0)</f>
        <v>0</v>
      </c>
      <c r="F116" s="16"/>
      <c r="G116" s="16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hidden="1" customHeight="1">
      <c r="A117" s="76" t="s">
        <v>100</v>
      </c>
      <c r="B117" s="77" t="s">
        <v>68</v>
      </c>
      <c r="C117" s="77">
        <f>C112</f>
        <v>1</v>
      </c>
      <c r="D117" s="126">
        <v>0</v>
      </c>
      <c r="E117" s="78">
        <f>C117*D117</f>
        <v>0</v>
      </c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hidden="1" customHeight="1">
      <c r="A118" s="80" t="s">
        <v>95</v>
      </c>
      <c r="B118" s="81" t="s">
        <v>96</v>
      </c>
      <c r="C118" s="89">
        <v>16</v>
      </c>
      <c r="D118" s="79"/>
      <c r="E118" s="79"/>
      <c r="F118" s="16"/>
      <c r="G118" s="16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hidden="1" customHeight="1">
      <c r="A119" s="80" t="s">
        <v>101</v>
      </c>
      <c r="B119" s="81" t="s">
        <v>96</v>
      </c>
      <c r="C119" s="89">
        <v>16</v>
      </c>
      <c r="D119" s="79"/>
      <c r="E119" s="79"/>
      <c r="F119" s="121"/>
      <c r="G119" s="16"/>
      <c r="H119" s="15"/>
      <c r="I119" s="122"/>
      <c r="J119" s="122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hidden="1" customHeight="1">
      <c r="A120" s="80" t="s">
        <v>98</v>
      </c>
      <c r="B120" s="81" t="s">
        <v>14</v>
      </c>
      <c r="C120" s="127">
        <f>IFERROR(VLOOKUP(C118,'28. Depreciação'!A3:B17,2,0),0)</f>
        <v>0</v>
      </c>
      <c r="D120" s="79">
        <f>E117</f>
        <v>0</v>
      </c>
      <c r="E120" s="79">
        <f>C120*D120/100</f>
        <v>0</v>
      </c>
      <c r="F120" s="16"/>
      <c r="G120" s="16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hidden="1" customHeight="1">
      <c r="A121" s="128" t="s">
        <v>102</v>
      </c>
      <c r="B121" s="129" t="s">
        <v>35</v>
      </c>
      <c r="C121" s="129">
        <f>C118*12</f>
        <v>192</v>
      </c>
      <c r="D121" s="130">
        <f>IF(C119&lt;=C118,E120,0)</f>
        <v>0</v>
      </c>
      <c r="E121" s="130">
        <f>IFERROR(D121/C121,0)</f>
        <v>0</v>
      </c>
      <c r="F121" s="16"/>
      <c r="G121" s="16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84" t="s">
        <v>103</v>
      </c>
      <c r="B122" s="85"/>
      <c r="C122" s="85"/>
      <c r="D122" s="86"/>
      <c r="E122" s="87">
        <f>E116+E121</f>
        <v>0</v>
      </c>
      <c r="F122" s="16"/>
      <c r="G122" s="16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128" t="s">
        <v>104</v>
      </c>
      <c r="B123" s="129" t="s">
        <v>68</v>
      </c>
      <c r="C123" s="89">
        <v>1</v>
      </c>
      <c r="D123" s="130">
        <f>E122</f>
        <v>0</v>
      </c>
      <c r="E123" s="87">
        <f>C123*D123</f>
        <v>0</v>
      </c>
      <c r="F123" s="16"/>
      <c r="G123" s="16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131"/>
      <c r="B124" s="131"/>
      <c r="C124" s="131"/>
      <c r="D124" s="90" t="s">
        <v>59</v>
      </c>
      <c r="E124" s="91">
        <f>B37</f>
        <v>1</v>
      </c>
      <c r="F124" s="118">
        <f>E123*E124</f>
        <v>0</v>
      </c>
      <c r="G124" s="16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1.25" customHeight="1">
      <c r="A125" s="15"/>
      <c r="B125" s="15"/>
      <c r="C125" s="15"/>
      <c r="D125" s="16"/>
      <c r="E125" s="16"/>
      <c r="F125" s="16"/>
      <c r="G125" s="16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19" t="s">
        <v>16</v>
      </c>
      <c r="B126" s="15"/>
      <c r="C126" s="15"/>
      <c r="D126" s="16"/>
      <c r="E126" s="16"/>
      <c r="F126" s="16"/>
      <c r="G126" s="16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>
      <c r="A127" s="132" t="s">
        <v>29</v>
      </c>
      <c r="B127" s="133" t="s">
        <v>30</v>
      </c>
      <c r="C127" s="133" t="s">
        <v>20</v>
      </c>
      <c r="D127" s="74" t="s">
        <v>31</v>
      </c>
      <c r="E127" s="134" t="s">
        <v>32</v>
      </c>
      <c r="F127" s="75" t="s">
        <v>33</v>
      </c>
      <c r="G127" s="16"/>
      <c r="H127" s="15"/>
      <c r="I127" s="122"/>
      <c r="J127" s="122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>
      <c r="A128" s="80" t="s">
        <v>105</v>
      </c>
      <c r="B128" s="81" t="s">
        <v>68</v>
      </c>
      <c r="C128" s="77">
        <v>1</v>
      </c>
      <c r="D128" s="79">
        <f>D112</f>
        <v>0</v>
      </c>
      <c r="E128" s="79">
        <f>C128*D128</f>
        <v>0</v>
      </c>
      <c r="F128" s="121"/>
      <c r="G128" s="16"/>
      <c r="H128" s="15"/>
      <c r="I128" s="122"/>
      <c r="J128" s="122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>
      <c r="A129" s="80" t="s">
        <v>106</v>
      </c>
      <c r="B129" s="81" t="s">
        <v>14</v>
      </c>
      <c r="C129" s="120"/>
      <c r="D129" s="79"/>
      <c r="E129" s="79"/>
      <c r="F129" s="121"/>
      <c r="G129" s="16"/>
      <c r="H129" s="15"/>
      <c r="I129" s="122"/>
      <c r="J129" s="122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>
      <c r="A130" s="80" t="s">
        <v>107</v>
      </c>
      <c r="B130" s="81" t="s">
        <v>50</v>
      </c>
      <c r="C130" s="79">
        <f>IFERROR(IF(C114&lt;=C113,E112-(C115/(100*C113)*C114)*E112,E112-E115),0)*0.35</f>
        <v>0</v>
      </c>
      <c r="D130" s="79"/>
      <c r="E130" s="79"/>
      <c r="F130" s="121"/>
      <c r="G130" s="16"/>
      <c r="H130" s="15"/>
      <c r="I130" s="122"/>
      <c r="J130" s="122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>
      <c r="A131" s="80" t="s">
        <v>108</v>
      </c>
      <c r="B131" s="81" t="s">
        <v>50</v>
      </c>
      <c r="C131" s="79">
        <f>IFERROR(IF(C114&gt;=C113,C130,((((C130)-(E112-E115))*(((C113-C114)+1)/(2*(C113-C114))))+(E112-E115))),0)</f>
        <v>0</v>
      </c>
      <c r="D131" s="79"/>
      <c r="E131" s="79"/>
      <c r="F131" s="121"/>
      <c r="G131" s="16"/>
      <c r="H131" s="15"/>
      <c r="I131" s="122"/>
      <c r="J131" s="122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123" t="s">
        <v>109</v>
      </c>
      <c r="B132" s="124" t="s">
        <v>50</v>
      </c>
      <c r="C132" s="124"/>
      <c r="D132" s="125">
        <f>C129*C131/12/100</f>
        <v>0</v>
      </c>
      <c r="E132" s="125">
        <f>D132</f>
        <v>0</v>
      </c>
      <c r="F132" s="121"/>
      <c r="G132" s="16"/>
      <c r="H132" s="15"/>
      <c r="I132" s="122"/>
      <c r="J132" s="122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hidden="1" customHeight="1">
      <c r="A133" s="76" t="s">
        <v>100</v>
      </c>
      <c r="B133" s="77" t="s">
        <v>68</v>
      </c>
      <c r="C133" s="77">
        <f>C117</f>
        <v>1</v>
      </c>
      <c r="D133" s="78">
        <f>D117</f>
        <v>0</v>
      </c>
      <c r="E133" s="78">
        <f>C133*D133</f>
        <v>0</v>
      </c>
      <c r="F133" s="121"/>
      <c r="G133" s="16"/>
      <c r="H133" s="15"/>
      <c r="I133" s="122"/>
      <c r="J133" s="122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hidden="1" customHeight="1">
      <c r="A134" s="80" t="s">
        <v>106</v>
      </c>
      <c r="B134" s="81" t="s">
        <v>14</v>
      </c>
      <c r="C134" s="81">
        <f>C129</f>
        <v>0</v>
      </c>
      <c r="D134" s="79"/>
      <c r="E134" s="79"/>
      <c r="F134" s="121"/>
      <c r="G134" s="16"/>
      <c r="H134" s="15"/>
      <c r="I134" s="122"/>
      <c r="J134" s="122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hidden="1" customHeight="1">
      <c r="A135" s="80" t="s">
        <v>110</v>
      </c>
      <c r="B135" s="81" t="s">
        <v>50</v>
      </c>
      <c r="C135" s="79">
        <f>IFERROR(IF(C119&lt;=C118,E117-(C120/(100*C118)*C119)*E117,E117-E120),0)*0.35</f>
        <v>0</v>
      </c>
      <c r="D135" s="79"/>
      <c r="E135" s="79"/>
      <c r="F135" s="121"/>
      <c r="G135" s="16"/>
      <c r="H135" s="15"/>
      <c r="I135" s="122"/>
      <c r="J135" s="122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hidden="1" customHeight="1">
      <c r="A136" s="80" t="s">
        <v>111</v>
      </c>
      <c r="B136" s="81" t="s">
        <v>50</v>
      </c>
      <c r="C136" s="79">
        <f>IFERROR(IF(C119&gt;=C118,C135,((((C135)-(E117-E120))*(((C118-C119)+1)/(2*(C118-C119))))+(E117-E120))),0)</f>
        <v>0</v>
      </c>
      <c r="D136" s="79"/>
      <c r="E136" s="79"/>
      <c r="F136" s="121"/>
      <c r="G136" s="16"/>
      <c r="H136" s="15"/>
      <c r="I136" s="122"/>
      <c r="J136" s="122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hidden="1" customHeight="1">
      <c r="A137" s="128" t="s">
        <v>112</v>
      </c>
      <c r="B137" s="129" t="s">
        <v>50</v>
      </c>
      <c r="C137" s="129"/>
      <c r="D137" s="130">
        <f>C134*C136/12/100</f>
        <v>0</v>
      </c>
      <c r="E137" s="130">
        <f>D137</f>
        <v>0</v>
      </c>
      <c r="F137" s="121"/>
      <c r="G137" s="16"/>
      <c r="H137" s="15"/>
      <c r="I137" s="122"/>
      <c r="J137" s="122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8.25" customHeight="1">
      <c r="A138" s="84"/>
      <c r="B138" s="129"/>
      <c r="C138" s="129"/>
      <c r="D138" s="136"/>
      <c r="E138" s="87"/>
      <c r="F138" s="121"/>
      <c r="G138" s="16"/>
      <c r="H138" s="15"/>
      <c r="I138" s="122"/>
      <c r="J138" s="122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hidden="1" customHeight="1">
      <c r="A139" s="84" t="s">
        <v>113</v>
      </c>
      <c r="B139" s="129" t="s">
        <v>68</v>
      </c>
      <c r="C139" s="81">
        <f>C123</f>
        <v>1</v>
      </c>
      <c r="D139" s="136">
        <f>E132</f>
        <v>0</v>
      </c>
      <c r="E139" s="87">
        <f>C139*D139</f>
        <v>0</v>
      </c>
      <c r="F139" s="121"/>
      <c r="G139" s="16"/>
      <c r="H139" s="15"/>
      <c r="I139" s="122"/>
      <c r="J139" s="122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hidden="1" customHeight="1">
      <c r="A140" s="84" t="s">
        <v>114</v>
      </c>
      <c r="B140" s="129" t="s">
        <v>68</v>
      </c>
      <c r="C140" s="81">
        <v>1</v>
      </c>
      <c r="D140" s="136">
        <f>E137</f>
        <v>0</v>
      </c>
      <c r="E140" s="87">
        <f>C140*D140</f>
        <v>0</v>
      </c>
      <c r="F140" s="121"/>
      <c r="G140" s="16"/>
      <c r="H140" s="15"/>
      <c r="I140" s="122"/>
      <c r="J140" s="122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128" t="s">
        <v>115</v>
      </c>
      <c r="B141" s="129" t="s">
        <v>68</v>
      </c>
      <c r="C141" s="81">
        <v>1</v>
      </c>
      <c r="D141" s="130">
        <f>E139+E140</f>
        <v>0</v>
      </c>
      <c r="E141" s="87">
        <f>C141*D141</f>
        <v>0</v>
      </c>
      <c r="F141" s="121"/>
      <c r="G141" s="16"/>
      <c r="H141" s="15"/>
      <c r="I141" s="122"/>
      <c r="J141" s="122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5"/>
      <c r="B142" s="15"/>
      <c r="C142" s="137"/>
      <c r="D142" s="90" t="s">
        <v>59</v>
      </c>
      <c r="E142" s="91">
        <f>E124</f>
        <v>1</v>
      </c>
      <c r="F142" s="118">
        <f>E141*E142</f>
        <v>0</v>
      </c>
      <c r="G142" s="16"/>
      <c r="H142" s="15"/>
      <c r="I142" s="122"/>
      <c r="J142" s="122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1.25" customHeight="1">
      <c r="A143" s="15"/>
      <c r="B143" s="15"/>
      <c r="C143" s="15"/>
      <c r="D143" s="16"/>
      <c r="E143" s="16"/>
      <c r="F143" s="16"/>
      <c r="G143" s="16"/>
      <c r="H143" s="15"/>
      <c r="I143" s="122"/>
      <c r="J143" s="122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>
      <c r="A144" s="15" t="s">
        <v>116</v>
      </c>
      <c r="B144" s="15"/>
      <c r="C144" s="15"/>
      <c r="D144" s="16"/>
      <c r="E144" s="16"/>
      <c r="F144" s="16"/>
      <c r="G144" s="16"/>
      <c r="H144" s="15"/>
      <c r="I144" s="122"/>
      <c r="J144" s="122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>
      <c r="A145" s="72" t="s">
        <v>29</v>
      </c>
      <c r="B145" s="73" t="s">
        <v>30</v>
      </c>
      <c r="C145" s="73" t="s">
        <v>20</v>
      </c>
      <c r="D145" s="74" t="s">
        <v>31</v>
      </c>
      <c r="E145" s="74" t="s">
        <v>32</v>
      </c>
      <c r="F145" s="75" t="s">
        <v>33</v>
      </c>
      <c r="G145" s="16"/>
      <c r="H145" s="15"/>
      <c r="I145" s="122"/>
      <c r="J145" s="122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>
      <c r="A146" s="80" t="s">
        <v>117</v>
      </c>
      <c r="B146" s="81" t="s">
        <v>68</v>
      </c>
      <c r="C146" s="78"/>
      <c r="D146" s="138">
        <f>1%*D128</f>
        <v>0</v>
      </c>
      <c r="E146" s="79">
        <f>C146*D146</f>
        <v>0</v>
      </c>
      <c r="F146" s="16"/>
      <c r="G146" s="16"/>
      <c r="H146" s="15"/>
      <c r="I146" s="122"/>
      <c r="J146" s="122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>
      <c r="A147" s="128" t="s">
        <v>118</v>
      </c>
      <c r="B147" s="129" t="s">
        <v>35</v>
      </c>
      <c r="C147" s="129">
        <v>12</v>
      </c>
      <c r="D147" s="130">
        <f>SUM(E146)</f>
        <v>0</v>
      </c>
      <c r="E147" s="130">
        <f>D147/C147</f>
        <v>0</v>
      </c>
      <c r="F147" s="16"/>
      <c r="G147" s="16"/>
      <c r="H147" s="15"/>
      <c r="I147" s="122"/>
      <c r="J147" s="122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>
      <c r="A148" s="15"/>
      <c r="B148" s="15"/>
      <c r="C148" s="15"/>
      <c r="D148" s="90" t="s">
        <v>59</v>
      </c>
      <c r="E148" s="91">
        <f>E142</f>
        <v>1</v>
      </c>
      <c r="F148" s="92">
        <f>E147*E148</f>
        <v>0</v>
      </c>
      <c r="G148" s="16"/>
      <c r="H148" s="15"/>
      <c r="I148" s="122"/>
      <c r="J148" s="122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>
      <c r="A149" s="15" t="s">
        <v>119</v>
      </c>
      <c r="B149" s="139"/>
      <c r="C149" s="15"/>
      <c r="D149" s="16"/>
      <c r="E149" s="16"/>
      <c r="F149" s="16"/>
      <c r="G149" s="16"/>
      <c r="H149" s="15"/>
      <c r="I149" s="122"/>
      <c r="J149" s="122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>
      <c r="A150" s="15"/>
      <c r="B150" s="139"/>
      <c r="C150" s="15"/>
      <c r="D150" s="16"/>
      <c r="E150" s="16"/>
      <c r="F150" s="16"/>
      <c r="G150" s="16"/>
      <c r="H150" s="15"/>
      <c r="I150" s="122"/>
      <c r="J150" s="122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28" t="s">
        <v>120</v>
      </c>
      <c r="B151" s="140">
        <v>176</v>
      </c>
      <c r="C151" s="15"/>
      <c r="D151" s="16"/>
      <c r="E151" s="16"/>
      <c r="F151" s="16"/>
      <c r="G151" s="16"/>
      <c r="H151" s="15"/>
      <c r="I151" s="122"/>
      <c r="J151" s="122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39"/>
      <c r="C152" s="15"/>
      <c r="D152" s="16"/>
      <c r="E152" s="16"/>
      <c r="F152" s="16"/>
      <c r="G152" s="16"/>
      <c r="H152" s="15"/>
      <c r="I152" s="122"/>
      <c r="J152" s="12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>
      <c r="A153" s="72" t="s">
        <v>29</v>
      </c>
      <c r="B153" s="73" t="s">
        <v>30</v>
      </c>
      <c r="C153" s="73" t="s">
        <v>121</v>
      </c>
      <c r="D153" s="74" t="s">
        <v>31</v>
      </c>
      <c r="E153" s="74" t="s">
        <v>32</v>
      </c>
      <c r="F153" s="75" t="s">
        <v>33</v>
      </c>
      <c r="G153" s="16"/>
      <c r="H153" s="15"/>
      <c r="I153" s="122"/>
      <c r="J153" s="12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76" t="s">
        <v>122</v>
      </c>
      <c r="B154" s="77" t="s">
        <v>123</v>
      </c>
      <c r="C154" s="141"/>
      <c r="D154" s="142"/>
      <c r="E154" s="78"/>
      <c r="F154" s="16"/>
      <c r="G154" s="16"/>
      <c r="H154" s="15"/>
      <c r="I154" s="122"/>
      <c r="J154" s="12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76" t="s">
        <v>124</v>
      </c>
      <c r="B155" s="77" t="s">
        <v>123</v>
      </c>
      <c r="C155" s="113"/>
      <c r="D155" s="142"/>
      <c r="E155" s="78"/>
      <c r="F155" s="16"/>
      <c r="G155" s="16"/>
      <c r="H155" s="15"/>
      <c r="I155" s="122"/>
      <c r="J155" s="122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>
      <c r="A156" s="80" t="s">
        <v>125</v>
      </c>
      <c r="B156" s="81" t="s">
        <v>126</v>
      </c>
      <c r="C156" s="79">
        <f>B151</f>
        <v>176</v>
      </c>
      <c r="D156" s="143">
        <f>(C154*D154)+(C155*D155)</f>
        <v>0</v>
      </c>
      <c r="E156" s="79">
        <f>IFERROR(C156*D156,"-")</f>
        <v>0</v>
      </c>
      <c r="F156" s="16"/>
      <c r="G156" s="16"/>
      <c r="H156" s="15"/>
      <c r="I156" s="122"/>
      <c r="J156" s="122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>
      <c r="A157" s="128" t="s">
        <v>127</v>
      </c>
      <c r="B157" s="129"/>
      <c r="C157" s="144"/>
      <c r="D157" s="145"/>
      <c r="E157" s="79"/>
      <c r="F157" s="16"/>
      <c r="G157" s="16"/>
      <c r="H157" s="15"/>
      <c r="I157" s="122"/>
      <c r="J157" s="122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15"/>
      <c r="B158" s="15"/>
      <c r="C158" s="15"/>
      <c r="D158" s="16"/>
      <c r="E158" s="16"/>
      <c r="F158" s="118">
        <f>SUM(E154:E156)</f>
        <v>0</v>
      </c>
      <c r="G158" s="16"/>
      <c r="H158" s="15"/>
      <c r="I158" s="122"/>
      <c r="J158" s="122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1.25" customHeight="1">
      <c r="A159" s="15"/>
      <c r="B159" s="15"/>
      <c r="C159" s="15"/>
      <c r="D159" s="16"/>
      <c r="E159" s="16"/>
      <c r="F159" s="16"/>
      <c r="G159" s="16"/>
      <c r="H159" s="15"/>
      <c r="I159" s="122"/>
      <c r="J159" s="122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 t="s">
        <v>128</v>
      </c>
      <c r="B160" s="15"/>
      <c r="C160" s="15"/>
      <c r="D160" s="16"/>
      <c r="E160" s="16"/>
      <c r="F160" s="16"/>
      <c r="G160" s="16"/>
      <c r="H160" s="15"/>
      <c r="I160" s="122"/>
      <c r="J160" s="122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72" t="s">
        <v>29</v>
      </c>
      <c r="B161" s="73" t="s">
        <v>30</v>
      </c>
      <c r="C161" s="73" t="s">
        <v>20</v>
      </c>
      <c r="D161" s="74" t="s">
        <v>31</v>
      </c>
      <c r="E161" s="74" t="s">
        <v>32</v>
      </c>
      <c r="F161" s="75" t="s">
        <v>33</v>
      </c>
      <c r="G161" s="16"/>
      <c r="H161" s="15"/>
      <c r="I161" s="122"/>
      <c r="J161" s="122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76" t="s">
        <v>129</v>
      </c>
      <c r="B162" s="77" t="s">
        <v>130</v>
      </c>
      <c r="C162" s="79">
        <f>C156</f>
        <v>176</v>
      </c>
      <c r="D162" s="113"/>
      <c r="E162" s="78">
        <f>C162*D162</f>
        <v>0</v>
      </c>
      <c r="F162" s="16"/>
      <c r="G162" s="16"/>
      <c r="H162" s="15"/>
      <c r="I162" s="122"/>
      <c r="J162" s="122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5"/>
      <c r="C163" s="15"/>
      <c r="D163" s="16"/>
      <c r="E163" s="16"/>
      <c r="F163" s="118">
        <f>E162</f>
        <v>0</v>
      </c>
      <c r="G163" s="16"/>
      <c r="H163" s="15"/>
      <c r="I163" s="122"/>
      <c r="J163" s="122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1.25" hidden="1" customHeight="1">
      <c r="A164" s="15"/>
      <c r="B164" s="15"/>
      <c r="C164" s="15"/>
      <c r="D164" s="16"/>
      <c r="E164" s="16"/>
      <c r="F164" s="16"/>
      <c r="G164" s="16"/>
      <c r="H164" s="15"/>
      <c r="I164" s="122"/>
      <c r="J164" s="122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hidden="1" customHeight="1">
      <c r="A165" s="15" t="s">
        <v>131</v>
      </c>
      <c r="B165" s="15"/>
      <c r="C165" s="15"/>
      <c r="D165" s="16"/>
      <c r="E165" s="16"/>
      <c r="F165" s="16"/>
      <c r="G165" s="16"/>
      <c r="H165" s="15"/>
      <c r="I165" s="122"/>
      <c r="J165" s="122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hidden="1" customHeight="1">
      <c r="A166" s="72" t="s">
        <v>29</v>
      </c>
      <c r="B166" s="73" t="s">
        <v>30</v>
      </c>
      <c r="C166" s="73" t="s">
        <v>20</v>
      </c>
      <c r="D166" s="74" t="s">
        <v>31</v>
      </c>
      <c r="E166" s="74" t="s">
        <v>32</v>
      </c>
      <c r="F166" s="75" t="s">
        <v>33</v>
      </c>
      <c r="G166" s="16"/>
      <c r="H166" s="15"/>
      <c r="I166" s="122"/>
      <c r="J166" s="122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hidden="1" customHeight="1">
      <c r="A167" s="76" t="s">
        <v>132</v>
      </c>
      <c r="B167" s="77" t="s">
        <v>68</v>
      </c>
      <c r="C167" s="146">
        <v>0</v>
      </c>
      <c r="D167" s="126">
        <v>6000</v>
      </c>
      <c r="E167" s="78">
        <f>C167*D167</f>
        <v>0</v>
      </c>
      <c r="F167" s="16"/>
      <c r="G167" s="16"/>
      <c r="H167" s="15"/>
      <c r="I167" s="122"/>
      <c r="J167" s="122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hidden="1" customHeight="1">
      <c r="A168" s="76" t="s">
        <v>133</v>
      </c>
      <c r="B168" s="77" t="s">
        <v>68</v>
      </c>
      <c r="C168" s="146">
        <v>2</v>
      </c>
      <c r="D168" s="78"/>
      <c r="E168" s="78"/>
      <c r="F168" s="16"/>
      <c r="G168" s="16"/>
      <c r="H168" s="15"/>
      <c r="I168" s="122"/>
      <c r="J168" s="122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hidden="1" customHeight="1">
      <c r="A169" s="76" t="s">
        <v>134</v>
      </c>
      <c r="B169" s="77" t="s">
        <v>68</v>
      </c>
      <c r="C169" s="78">
        <f>C167*C168</f>
        <v>0</v>
      </c>
      <c r="D169" s="126">
        <v>3000</v>
      </c>
      <c r="E169" s="78">
        <f>C169*D169</f>
        <v>0</v>
      </c>
      <c r="F169" s="16"/>
      <c r="G169" s="16"/>
      <c r="H169" s="15"/>
      <c r="I169" s="122"/>
      <c r="J169" s="122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hidden="1" customHeight="1">
      <c r="A170" s="80" t="s">
        <v>135</v>
      </c>
      <c r="B170" s="81" t="s">
        <v>136</v>
      </c>
      <c r="C170" s="147">
        <v>10000</v>
      </c>
      <c r="D170" s="79">
        <f>E167+E169</f>
        <v>0</v>
      </c>
      <c r="E170" s="79">
        <f>IFERROR(D170/C170,"-")</f>
        <v>0</v>
      </c>
      <c r="F170" s="16"/>
      <c r="G170" s="16"/>
      <c r="H170" s="15"/>
      <c r="I170" s="122"/>
      <c r="J170" s="122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hidden="1" customHeight="1">
      <c r="A171" s="80" t="s">
        <v>137</v>
      </c>
      <c r="B171" s="81" t="s">
        <v>138</v>
      </c>
      <c r="C171" s="79">
        <f>B151</f>
        <v>176</v>
      </c>
      <c r="D171" s="79">
        <f>E170</f>
        <v>0</v>
      </c>
      <c r="E171" s="79">
        <f>IFERROR(C171*D171,0)</f>
        <v>0</v>
      </c>
      <c r="F171" s="16"/>
      <c r="G171" s="16"/>
      <c r="H171" s="15"/>
      <c r="I171" s="122"/>
      <c r="J171" s="122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hidden="1" customHeight="1">
      <c r="A172" s="15"/>
      <c r="B172" s="15"/>
      <c r="C172" s="15"/>
      <c r="D172" s="16"/>
      <c r="E172" s="16"/>
      <c r="F172" s="118">
        <f>E171</f>
        <v>0</v>
      </c>
      <c r="G172" s="16"/>
      <c r="H172" s="15"/>
      <c r="I172" s="122"/>
      <c r="J172" s="122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1.25" customHeight="1">
      <c r="A173" s="15"/>
      <c r="B173" s="15"/>
      <c r="C173" s="15"/>
      <c r="D173" s="16"/>
      <c r="E173" s="16"/>
      <c r="F173" s="16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08" t="s">
        <v>139</v>
      </c>
      <c r="B174" s="109"/>
      <c r="C174" s="109"/>
      <c r="D174" s="49"/>
      <c r="E174" s="110"/>
      <c r="F174" s="118">
        <f>+SUM(F112:F173)</f>
        <v>0</v>
      </c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1.25" customHeight="1">
      <c r="A175" s="15"/>
      <c r="B175" s="15"/>
      <c r="C175" s="15"/>
      <c r="D175" s="16"/>
      <c r="E175" s="16"/>
      <c r="F175" s="16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hidden="1" customHeight="1">
      <c r="A176" s="36" t="s">
        <v>140</v>
      </c>
      <c r="B176" s="36"/>
      <c r="C176" s="36"/>
      <c r="D176" s="35"/>
      <c r="E176" s="35"/>
      <c r="F176" s="86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hidden="1" customHeight="1">
      <c r="A177" s="15"/>
      <c r="B177" s="15"/>
      <c r="C177" s="15"/>
      <c r="D177" s="16"/>
      <c r="E177" s="16"/>
      <c r="F177" s="16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hidden="1" customHeight="1">
      <c r="A178" s="72" t="s">
        <v>29</v>
      </c>
      <c r="B178" s="73" t="s">
        <v>30</v>
      </c>
      <c r="C178" s="73" t="s">
        <v>20</v>
      </c>
      <c r="D178" s="74" t="s">
        <v>31</v>
      </c>
      <c r="E178" s="74" t="s">
        <v>32</v>
      </c>
      <c r="F178" s="75" t="s">
        <v>33</v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hidden="1" customHeight="1">
      <c r="A179" s="80" t="s">
        <v>141</v>
      </c>
      <c r="B179" s="81" t="s">
        <v>68</v>
      </c>
      <c r="C179" s="148">
        <v>0</v>
      </c>
      <c r="D179" s="126">
        <v>50</v>
      </c>
      <c r="E179" s="79">
        <f>C179*D179</f>
        <v>0</v>
      </c>
      <c r="F179" s="121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hidden="1" customHeight="1">
      <c r="A180" s="80"/>
      <c r="B180" s="81"/>
      <c r="C180" s="148"/>
      <c r="D180" s="126"/>
      <c r="E180" s="79">
        <f>C180*D180</f>
        <v>0</v>
      </c>
      <c r="F180" s="121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hidden="1" customHeight="1">
      <c r="A181" s="80"/>
      <c r="B181" s="81"/>
      <c r="C181" s="148"/>
      <c r="D181" s="126"/>
      <c r="E181" s="79">
        <f>C181*D181</f>
        <v>0</v>
      </c>
      <c r="F181" s="121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hidden="1" customHeight="1">
      <c r="A182" s="80"/>
      <c r="B182" s="81"/>
      <c r="C182" s="112"/>
      <c r="D182" s="126"/>
      <c r="E182" s="79"/>
      <c r="F182" s="121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hidden="1" customHeight="1">
      <c r="A183" s="80"/>
      <c r="B183" s="81"/>
      <c r="C183" s="79"/>
      <c r="D183" s="99"/>
      <c r="E183" s="79">
        <f>C183*D183</f>
        <v>0</v>
      </c>
      <c r="F183" s="121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hidden="1" customHeight="1">
      <c r="A184" s="80" t="s">
        <v>142</v>
      </c>
      <c r="B184" s="81" t="s">
        <v>143</v>
      </c>
      <c r="C184" s="148"/>
      <c r="D184" s="126"/>
      <c r="E184" s="79">
        <f>C184*D184</f>
        <v>0</v>
      </c>
      <c r="F184" s="121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hidden="1" customHeight="1">
      <c r="A185" s="36"/>
      <c r="B185" s="36"/>
      <c r="C185" s="36"/>
      <c r="D185" s="36"/>
      <c r="E185" s="35"/>
      <c r="F185" s="118">
        <f>SUM(E179:E184)</f>
        <v>0</v>
      </c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hidden="1" customHeight="1">
      <c r="A186" s="15"/>
      <c r="B186" s="1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hidden="1" customHeight="1">
      <c r="A187" s="108" t="s">
        <v>144</v>
      </c>
      <c r="B187" s="109"/>
      <c r="C187" s="109"/>
      <c r="D187" s="49"/>
      <c r="E187" s="110"/>
      <c r="F187" s="118">
        <f>+F185</f>
        <v>0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hidden="1" customHeight="1">
      <c r="A188" s="15"/>
      <c r="B188" s="1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hidden="1" customHeight="1">
      <c r="A189" s="36" t="s">
        <v>145</v>
      </c>
      <c r="B189" s="36"/>
      <c r="C189" s="36"/>
      <c r="D189" s="35"/>
      <c r="E189" s="35"/>
      <c r="F189" s="86"/>
      <c r="G189" s="16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hidden="1" customHeight="1">
      <c r="A190" s="15"/>
      <c r="B190" s="15"/>
      <c r="C190" s="15"/>
      <c r="D190" s="16"/>
      <c r="E190" s="16"/>
      <c r="F190" s="16"/>
      <c r="G190" s="16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hidden="1" customHeight="1">
      <c r="A191" s="72" t="s">
        <v>29</v>
      </c>
      <c r="B191" s="73" t="s">
        <v>30</v>
      </c>
      <c r="C191" s="73" t="s">
        <v>20</v>
      </c>
      <c r="D191" s="74" t="s">
        <v>31</v>
      </c>
      <c r="E191" s="74" t="s">
        <v>32</v>
      </c>
      <c r="F191" s="75" t="s">
        <v>33</v>
      </c>
      <c r="G191" s="16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hidden="1" customHeight="1">
      <c r="A192" s="80" t="s">
        <v>146</v>
      </c>
      <c r="B192" s="149" t="s">
        <v>143</v>
      </c>
      <c r="C192" s="102">
        <v>0</v>
      </c>
      <c r="D192" s="99">
        <v>600</v>
      </c>
      <c r="E192" s="79">
        <f>+D192*C192</f>
        <v>0</v>
      </c>
      <c r="F192" s="121"/>
      <c r="G192" s="16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hidden="1" customHeight="1">
      <c r="A193" s="80" t="s">
        <v>147</v>
      </c>
      <c r="B193" s="149" t="s">
        <v>35</v>
      </c>
      <c r="C193" s="81">
        <v>60</v>
      </c>
      <c r="D193" s="150">
        <f>SUM(E192)</f>
        <v>0</v>
      </c>
      <c r="E193" s="150">
        <f>+D193/C193</f>
        <v>0</v>
      </c>
      <c r="F193" s="121"/>
      <c r="G193" s="16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hidden="1" customHeight="1">
      <c r="A194" s="80" t="s">
        <v>148</v>
      </c>
      <c r="B194" s="149" t="s">
        <v>35</v>
      </c>
      <c r="C194" s="81">
        <v>1</v>
      </c>
      <c r="D194" s="99">
        <v>100</v>
      </c>
      <c r="E194" s="79">
        <f>C194*D194</f>
        <v>100</v>
      </c>
      <c r="F194" s="121"/>
      <c r="G194" s="16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hidden="1" customHeight="1">
      <c r="A195" s="80" t="s">
        <v>148</v>
      </c>
      <c r="B195" s="149" t="s">
        <v>149</v>
      </c>
      <c r="C195" s="81">
        <v>0</v>
      </c>
      <c r="D195" s="150">
        <f>+E194</f>
        <v>100</v>
      </c>
      <c r="E195" s="150">
        <f>C195*D195</f>
        <v>0</v>
      </c>
      <c r="F195" s="121"/>
      <c r="G195" s="16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hidden="1" customHeight="1">
      <c r="A196" s="101"/>
      <c r="B196" s="101"/>
      <c r="C196" s="15"/>
      <c r="D196" s="90" t="s">
        <v>59</v>
      </c>
      <c r="E196" s="91">
        <f>E142</f>
        <v>1</v>
      </c>
      <c r="F196" s="118">
        <f>(E195+E193)*E196</f>
        <v>0</v>
      </c>
      <c r="G196" s="16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1.25" hidden="1" customHeight="1">
      <c r="A197" s="15"/>
      <c r="B197" s="15"/>
      <c r="C197" s="15"/>
      <c r="D197" s="16"/>
      <c r="E197" s="16"/>
      <c r="F197" s="16"/>
      <c r="G197" s="151"/>
      <c r="H197" s="152"/>
      <c r="I197" s="152"/>
      <c r="J197" s="152"/>
      <c r="K197" s="152"/>
      <c r="L197" s="152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2"/>
      <c r="Z197" s="152"/>
    </row>
    <row r="198" spans="1:26" ht="12.75" hidden="1" customHeight="1">
      <c r="A198" s="108" t="s">
        <v>150</v>
      </c>
      <c r="B198" s="109"/>
      <c r="C198" s="109"/>
      <c r="D198" s="49"/>
      <c r="E198" s="110"/>
      <c r="F198" s="118">
        <f>+F196</f>
        <v>0</v>
      </c>
      <c r="G198" s="16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1.25" customHeight="1">
      <c r="A199" s="15"/>
      <c r="B199" s="15"/>
      <c r="C199" s="15"/>
      <c r="D199" s="16"/>
      <c r="E199" s="16"/>
      <c r="F199" s="16"/>
      <c r="G199" s="16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7.25" customHeight="1">
      <c r="A200" s="108" t="s">
        <v>151</v>
      </c>
      <c r="B200" s="115"/>
      <c r="C200" s="115"/>
      <c r="D200" s="116"/>
      <c r="E200" s="117"/>
      <c r="F200" s="98">
        <f>+F83+F104+F174+F187+F198</f>
        <v>0</v>
      </c>
      <c r="G200" s="16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customHeight="1">
      <c r="A201" s="15"/>
      <c r="B201" s="15"/>
      <c r="C201" s="15"/>
      <c r="D201" s="16"/>
      <c r="E201" s="16"/>
      <c r="F201" s="16"/>
      <c r="G201" s="16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>
      <c r="A202" s="36" t="s">
        <v>152</v>
      </c>
      <c r="B202" s="15"/>
      <c r="C202" s="15"/>
      <c r="D202" s="16"/>
      <c r="E202" s="16"/>
      <c r="F202" s="16"/>
      <c r="G202" s="1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customHeight="1">
      <c r="A203" s="15"/>
      <c r="B203" s="15"/>
      <c r="C203" s="15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>
      <c r="A204" s="72" t="s">
        <v>29</v>
      </c>
      <c r="B204" s="73" t="s">
        <v>30</v>
      </c>
      <c r="C204" s="73" t="s">
        <v>20</v>
      </c>
      <c r="D204" s="74" t="s">
        <v>31</v>
      </c>
      <c r="E204" s="74" t="s">
        <v>32</v>
      </c>
      <c r="F204" s="75" t="s">
        <v>33</v>
      </c>
      <c r="G204" s="16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>
      <c r="A205" s="76" t="s">
        <v>153</v>
      </c>
      <c r="B205" s="77" t="s">
        <v>14</v>
      </c>
      <c r="C205" s="88">
        <f>'26.BDI'!C21*100</f>
        <v>18.96</v>
      </c>
      <c r="D205" s="78">
        <f>+F200</f>
        <v>0</v>
      </c>
      <c r="E205" s="78">
        <f>C205*D205/100</f>
        <v>0</v>
      </c>
      <c r="F205" s="16"/>
      <c r="G205" s="16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>
      <c r="A206" s="15"/>
      <c r="B206" s="15"/>
      <c r="C206" s="15"/>
      <c r="D206" s="16"/>
      <c r="E206" s="16"/>
      <c r="F206" s="118">
        <f>+E205</f>
        <v>0</v>
      </c>
      <c r="G206" s="16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1.25" customHeight="1">
      <c r="A207" s="15"/>
      <c r="B207" s="15"/>
      <c r="C207" s="15"/>
      <c r="D207" s="16"/>
      <c r="E207" s="16"/>
      <c r="F207" s="16"/>
      <c r="G207" s="16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>
      <c r="A208" s="108" t="s">
        <v>154</v>
      </c>
      <c r="B208" s="115"/>
      <c r="C208" s="115"/>
      <c r="D208" s="116"/>
      <c r="E208" s="117"/>
      <c r="F208" s="98">
        <f>F206</f>
        <v>0</v>
      </c>
      <c r="G208" s="16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>
      <c r="A209" s="36"/>
      <c r="B209" s="36"/>
      <c r="C209" s="36"/>
      <c r="D209" s="35"/>
      <c r="E209" s="35"/>
      <c r="F209" s="86"/>
      <c r="G209" s="16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1.25" customHeight="1">
      <c r="A210" s="15"/>
      <c r="B210" s="15"/>
      <c r="C210" s="15"/>
      <c r="D210" s="16"/>
      <c r="E210" s="16"/>
      <c r="F210" s="16"/>
      <c r="G210" s="16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24.75" customHeight="1">
      <c r="A211" s="108" t="s">
        <v>155</v>
      </c>
      <c r="B211" s="115"/>
      <c r="C211" s="115"/>
      <c r="D211" s="116"/>
      <c r="E211" s="117"/>
      <c r="F211" s="98">
        <f>F200+F208</f>
        <v>0</v>
      </c>
      <c r="G211" s="16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" customHeight="1">
      <c r="A212" s="14"/>
      <c r="B212" s="14"/>
      <c r="C212" s="14"/>
      <c r="D212" s="153"/>
      <c r="E212" s="153"/>
      <c r="F212" s="153"/>
      <c r="G212" s="16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>
      <c r="A213" s="23"/>
      <c r="B213" s="23"/>
      <c r="C213" s="23"/>
      <c r="D213" s="22"/>
      <c r="E213" s="22"/>
      <c r="F213" s="16"/>
      <c r="G213" s="16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>
      <c r="A214" s="154" t="s">
        <v>156</v>
      </c>
      <c r="B214" s="53"/>
      <c r="C214" s="53"/>
      <c r="D214" s="155">
        <v>176</v>
      </c>
      <c r="E214" s="156" t="s">
        <v>157</v>
      </c>
      <c r="F214" s="16"/>
      <c r="G214" s="1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15"/>
      <c r="B215" s="15"/>
      <c r="C215" s="15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25.5" customHeight="1">
      <c r="A216" s="108" t="s">
        <v>158</v>
      </c>
      <c r="B216" s="109"/>
      <c r="C216" s="109"/>
      <c r="D216" s="49"/>
      <c r="E216" s="157" t="s">
        <v>159</v>
      </c>
      <c r="F216" s="158">
        <f>F211/D214</f>
        <v>0</v>
      </c>
      <c r="G216" s="16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" customHeight="1"/>
    <row r="218" spans="1:26" ht="13.5" customHeight="1"/>
    <row r="219" spans="1:26" ht="9.75" customHeight="1"/>
    <row r="220" spans="1:26" ht="9.75" customHeight="1"/>
    <row r="221" spans="1:26" ht="12.75" customHeight="1"/>
    <row r="222" spans="1:26" ht="12.75" customHeight="1"/>
    <row r="223" spans="1:26" ht="12.75" customHeight="1"/>
    <row r="224" spans="1:26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9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</sheetData>
  <mergeCells count="7">
    <mergeCell ref="A27:D27"/>
    <mergeCell ref="A33:D33"/>
    <mergeCell ref="A1:F1"/>
    <mergeCell ref="A2:F2"/>
    <mergeCell ref="A4:F4"/>
    <mergeCell ref="A11:C11"/>
    <mergeCell ref="A26:E26"/>
  </mergeCells>
  <hyperlinks>
    <hyperlink ref="A14" location="Google_Sheet_Link_1352214653" display="3.1.1. Depreciação"/>
    <hyperlink ref="A15" location="Google_Sheet_Link_1085399715" display="3.1.2. Remuneração do Capital"/>
    <hyperlink ref="A110" location="Google_Sheet_Link_1352214653" display="3.1.1. Depreciação"/>
    <hyperlink ref="A126" location="Google_Sheet_Link_1085399715" display="3.1.2. Remuneração do Capital"/>
  </hyperlinks>
  <pageMargins left="0.905555555555556" right="0.51180555555555496" top="0.74791666666666701" bottom="0.74791666666666701" header="0.51180555555555496" footer="0"/>
  <pageSetup paperSize="9" firstPageNumber="0" fitToHeight="2" orientation="portrait" horizontalDpi="300" verticalDpi="300"/>
  <headerFooter>
    <oddFooter>&amp;R&amp;P de</oddFooter>
  </headerFooter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000"/>
  <sheetViews>
    <sheetView workbookViewId="0">
      <selection activeCell="C32" sqref="C32"/>
    </sheetView>
  </sheetViews>
  <sheetFormatPr defaultRowHeight="12.75"/>
  <cols>
    <col min="1" max="1" width="13.42578125" customWidth="1"/>
    <col min="2" max="2" width="39.42578125" customWidth="1"/>
    <col min="3" max="3" width="20.85546875" customWidth="1"/>
    <col min="4" max="4" width="37.42578125" customWidth="1"/>
    <col min="5" max="10" width="9.140625" customWidth="1"/>
    <col min="11" max="11" width="11" customWidth="1"/>
    <col min="12" max="23" width="9.140625" customWidth="1"/>
    <col min="24" max="26" width="8.5703125" customWidth="1"/>
    <col min="27" max="1025" width="12.5703125" customWidth="1"/>
  </cols>
  <sheetData>
    <row r="1" spans="1:23" ht="12.75" customHeight="1">
      <c r="A1" s="36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</row>
    <row r="2" spans="1:23" ht="12.75" customHeight="1">
      <c r="A2" s="18" t="s">
        <v>194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</row>
    <row r="3" spans="1:23" ht="15" customHeight="1">
      <c r="A3" s="15"/>
      <c r="B3" s="18"/>
      <c r="C3" s="18"/>
      <c r="D3" s="18"/>
      <c r="E3" s="18"/>
      <c r="F3" s="18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ht="15" hidden="1" customHeight="1">
      <c r="A4" s="20" t="s">
        <v>6</v>
      </c>
      <c r="B4" s="18"/>
      <c r="C4" s="18"/>
      <c r="D4" s="18"/>
      <c r="E4" s="18"/>
      <c r="F4" s="18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ht="16.5" customHeight="1">
      <c r="A5" s="17" t="s">
        <v>195</v>
      </c>
      <c r="B5" s="18"/>
      <c r="C5" s="18"/>
      <c r="D5" s="16"/>
      <c r="E5" s="16"/>
      <c r="F5" s="16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16.5" customHeight="1">
      <c r="A6" s="17" t="s">
        <v>196</v>
      </c>
      <c r="B6" s="18"/>
      <c r="C6" s="18"/>
      <c r="D6" s="16"/>
      <c r="E6" s="16"/>
      <c r="F6" s="16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12.75" customHeight="1">
      <c r="A7" s="159"/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</row>
    <row r="8" spans="1:23" ht="12.75" customHeight="1">
      <c r="A8" s="7" t="s">
        <v>197</v>
      </c>
      <c r="B8" s="7"/>
      <c r="C8" s="7"/>
      <c r="D8" s="21"/>
      <c r="E8" s="21"/>
      <c r="F8" s="21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</row>
    <row r="9" spans="1:23" ht="12.75" customHeight="1">
      <c r="A9" s="160" t="s">
        <v>198</v>
      </c>
      <c r="B9" s="161" t="s">
        <v>199</v>
      </c>
      <c r="C9" s="162" t="s">
        <v>200</v>
      </c>
      <c r="D9" s="163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</row>
    <row r="10" spans="1:23" ht="12.75" customHeight="1">
      <c r="A10" s="160" t="s">
        <v>201</v>
      </c>
      <c r="B10" s="161" t="s">
        <v>202</v>
      </c>
      <c r="C10" s="164"/>
      <c r="D10" s="163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59"/>
      <c r="W10" s="159"/>
    </row>
    <row r="11" spans="1:23" ht="12.75" customHeight="1">
      <c r="A11" s="160" t="s">
        <v>203</v>
      </c>
      <c r="B11" s="161" t="s">
        <v>204</v>
      </c>
      <c r="C11" s="164"/>
      <c r="D11" s="163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</row>
    <row r="12" spans="1:23" ht="12.75" customHeight="1">
      <c r="A12" s="160" t="s">
        <v>205</v>
      </c>
      <c r="B12" s="161" t="s">
        <v>206</v>
      </c>
      <c r="C12" s="164"/>
      <c r="D12" s="163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</row>
    <row r="13" spans="1:23" ht="12.75" customHeight="1">
      <c r="A13" s="160" t="s">
        <v>207</v>
      </c>
      <c r="B13" s="161" t="s">
        <v>208</v>
      </c>
      <c r="C13" s="164"/>
      <c r="D13" s="163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</row>
    <row r="14" spans="1:23" ht="12.75" customHeight="1">
      <c r="A14" s="160" t="s">
        <v>209</v>
      </c>
      <c r="B14" s="161" t="s">
        <v>210</v>
      </c>
      <c r="C14" s="164"/>
      <c r="D14" s="163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</row>
    <row r="15" spans="1:23" ht="12.75" customHeight="1">
      <c r="A15" s="160" t="s">
        <v>211</v>
      </c>
      <c r="B15" s="161" t="s">
        <v>212</v>
      </c>
      <c r="C15" s="164"/>
      <c r="D15" s="163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</row>
    <row r="16" spans="1:23" ht="12.75" customHeight="1">
      <c r="A16" s="160" t="s">
        <v>213</v>
      </c>
      <c r="B16" s="161" t="s">
        <v>214</v>
      </c>
      <c r="C16" s="164"/>
      <c r="D16" s="163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</row>
    <row r="17" spans="1:23" ht="12.75" customHeight="1">
      <c r="A17" s="160" t="s">
        <v>215</v>
      </c>
      <c r="B17" s="161" t="s">
        <v>216</v>
      </c>
      <c r="C17" s="164"/>
      <c r="D17" s="163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</row>
    <row r="18" spans="1:23" ht="12.75" customHeight="1">
      <c r="A18" s="160" t="s">
        <v>217</v>
      </c>
      <c r="B18" s="165" t="s">
        <v>218</v>
      </c>
      <c r="C18" s="166">
        <f>SUM(C10:C17)</f>
        <v>0</v>
      </c>
      <c r="D18" s="163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</row>
    <row r="19" spans="1:23" ht="12.75" customHeight="1">
      <c r="A19" s="167"/>
      <c r="B19" s="168"/>
      <c r="C19" s="169"/>
      <c r="D19" s="163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</row>
    <row r="20" spans="1:23" ht="12.75" customHeight="1">
      <c r="A20" s="160" t="s">
        <v>219</v>
      </c>
      <c r="B20" s="161" t="s">
        <v>220</v>
      </c>
      <c r="C20" s="164"/>
      <c r="D20" s="163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</row>
    <row r="21" spans="1:23" ht="12.75" customHeight="1">
      <c r="A21" s="160" t="s">
        <v>221</v>
      </c>
      <c r="B21" s="161" t="s">
        <v>222</v>
      </c>
      <c r="C21" s="164"/>
      <c r="D21" s="163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</row>
    <row r="22" spans="1:23" ht="12.75" customHeight="1">
      <c r="A22" s="160" t="s">
        <v>223</v>
      </c>
      <c r="B22" s="161" t="s">
        <v>224</v>
      </c>
      <c r="C22" s="164"/>
      <c r="D22" s="163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</row>
    <row r="23" spans="1:23" ht="12.75" customHeight="1">
      <c r="A23" s="160" t="s">
        <v>225</v>
      </c>
      <c r="B23" s="161" t="s">
        <v>226</v>
      </c>
      <c r="C23" s="164"/>
      <c r="D23" s="163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</row>
    <row r="24" spans="1:23" ht="12.75" customHeight="1">
      <c r="A24" s="160" t="s">
        <v>227</v>
      </c>
      <c r="B24" s="161" t="s">
        <v>228</v>
      </c>
      <c r="C24" s="164"/>
      <c r="D24" s="163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</row>
    <row r="25" spans="1:23" ht="12.75" customHeight="1">
      <c r="A25" s="160" t="s">
        <v>229</v>
      </c>
      <c r="B25" s="161" t="s">
        <v>230</v>
      </c>
      <c r="C25" s="164"/>
      <c r="D25" s="163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</row>
    <row r="26" spans="1:23" ht="12.75" customHeight="1">
      <c r="A26" s="160" t="s">
        <v>231</v>
      </c>
      <c r="B26" s="165" t="s">
        <v>232</v>
      </c>
      <c r="C26" s="166">
        <f>SUM(C20:C25)</f>
        <v>0</v>
      </c>
      <c r="D26" s="170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</row>
    <row r="27" spans="1:23" ht="12.75" customHeight="1">
      <c r="A27" s="167"/>
      <c r="B27" s="168"/>
      <c r="C27" s="169"/>
      <c r="D27" s="170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</row>
    <row r="28" spans="1:23" ht="12.75" customHeight="1">
      <c r="A28" s="160" t="s">
        <v>233</v>
      </c>
      <c r="B28" s="161" t="s">
        <v>234</v>
      </c>
      <c r="C28" s="164"/>
      <c r="D28" s="163"/>
      <c r="E28" s="171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</row>
    <row r="29" spans="1:23" ht="12.75" customHeight="1">
      <c r="A29" s="160" t="s">
        <v>235</v>
      </c>
      <c r="B29" s="161" t="s">
        <v>236</v>
      </c>
      <c r="C29" s="164"/>
      <c r="D29" s="163"/>
      <c r="E29" s="159"/>
      <c r="F29" s="159"/>
      <c r="G29" s="159"/>
      <c r="H29" s="172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59"/>
      <c r="U29" s="159"/>
      <c r="V29" s="159"/>
      <c r="W29" s="159"/>
    </row>
    <row r="30" spans="1:23" ht="12.75" customHeight="1">
      <c r="A30" s="160" t="s">
        <v>237</v>
      </c>
      <c r="B30" s="161" t="s">
        <v>238</v>
      </c>
      <c r="C30" s="164"/>
      <c r="D30" s="163"/>
      <c r="E30" s="171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</row>
    <row r="31" spans="1:23" ht="12.75" customHeight="1">
      <c r="A31" s="160" t="s">
        <v>239</v>
      </c>
      <c r="B31" s="161" t="s">
        <v>240</v>
      </c>
      <c r="C31" s="164"/>
      <c r="D31" s="163"/>
      <c r="E31" s="159"/>
      <c r="F31" s="159"/>
      <c r="G31" s="171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</row>
    <row r="32" spans="1:23" ht="12.75" customHeight="1">
      <c r="A32" s="160" t="s">
        <v>241</v>
      </c>
      <c r="B32" s="161" t="s">
        <v>242</v>
      </c>
      <c r="C32" s="164"/>
      <c r="D32" s="163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</row>
    <row r="33" spans="1:23" ht="12.75" customHeight="1">
      <c r="A33" s="160" t="s">
        <v>243</v>
      </c>
      <c r="B33" s="165" t="s">
        <v>244</v>
      </c>
      <c r="C33" s="166">
        <f>SUM(C28:C32)</f>
        <v>0</v>
      </c>
      <c r="D33" s="170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</row>
    <row r="34" spans="1:23" ht="12.75" customHeight="1">
      <c r="A34" s="167"/>
      <c r="B34" s="168"/>
      <c r="C34" s="169"/>
      <c r="D34" s="170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</row>
    <row r="35" spans="1:23" ht="12.75" customHeight="1">
      <c r="A35" s="160" t="s">
        <v>245</v>
      </c>
      <c r="B35" s="161" t="s">
        <v>246</v>
      </c>
      <c r="C35" s="164">
        <f>ROUND(C18*C26,4)</f>
        <v>0</v>
      </c>
      <c r="D35" s="163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</row>
    <row r="36" spans="1:23" ht="12.75" customHeight="1">
      <c r="A36" s="160" t="s">
        <v>247</v>
      </c>
      <c r="B36" s="173" t="s">
        <v>248</v>
      </c>
      <c r="C36" s="164">
        <f>ROUND((C28*C17),4)</f>
        <v>0</v>
      </c>
      <c r="D36" s="163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</row>
    <row r="37" spans="1:23" ht="12.75" customHeight="1">
      <c r="A37" s="160" t="s">
        <v>249</v>
      </c>
      <c r="B37" s="165" t="s">
        <v>250</v>
      </c>
      <c r="C37" s="166">
        <f>SUM(C35:C36)</f>
        <v>0</v>
      </c>
      <c r="D37" s="170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159"/>
    </row>
    <row r="38" spans="1:23" ht="12.75" customHeight="1">
      <c r="A38" s="174"/>
      <c r="B38" s="175" t="s">
        <v>251</v>
      </c>
      <c r="C38" s="176">
        <f>C37+C33+C26+C18</f>
        <v>0</v>
      </c>
      <c r="D38" s="170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</row>
    <row r="39" spans="1:23" ht="12.75" customHeight="1">
      <c r="A39" s="163"/>
      <c r="B39" s="177"/>
      <c r="C39" s="178"/>
      <c r="D39" s="17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</row>
    <row r="40" spans="1:23" ht="12.75" customHeight="1">
      <c r="A40" s="163"/>
      <c r="B40" s="163"/>
      <c r="C40" s="180"/>
      <c r="D40" s="181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</row>
    <row r="41" spans="1:23" ht="12.75" customHeight="1"/>
    <row r="42" spans="1:23" ht="12.75" customHeight="1"/>
    <row r="43" spans="1:23" ht="12.75" customHeight="1"/>
    <row r="44" spans="1:23" ht="12.75" customHeight="1"/>
    <row r="45" spans="1:23" ht="12.75" customHeight="1"/>
    <row r="46" spans="1:23" ht="12.75" customHeight="1"/>
    <row r="47" spans="1:23" ht="12.75" customHeight="1"/>
    <row r="48" spans="1:23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8:C8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>
  <dimension ref="A1:W1000"/>
  <sheetViews>
    <sheetView workbookViewId="0">
      <selection activeCell="E32" sqref="E32"/>
    </sheetView>
  </sheetViews>
  <sheetFormatPr defaultRowHeight="12.75"/>
  <cols>
    <col min="1" max="1" width="8.5703125" customWidth="1"/>
    <col min="2" max="2" width="67.140625" customWidth="1"/>
    <col min="3" max="3" width="13.5703125" customWidth="1"/>
    <col min="4" max="4" width="10.42578125" customWidth="1"/>
    <col min="5" max="5" width="13.5703125" customWidth="1"/>
    <col min="6" max="23" width="9.140625" customWidth="1"/>
    <col min="24" max="26" width="8.5703125" customWidth="1"/>
    <col min="27" max="1025" width="12.5703125" customWidth="1"/>
  </cols>
  <sheetData>
    <row r="1" spans="1:23" ht="12.75" customHeight="1">
      <c r="A1" s="182" t="s">
        <v>252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</row>
    <row r="2" spans="1:23" ht="12.7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</row>
    <row r="3" spans="1:23" ht="12.75" customHeight="1">
      <c r="A3" s="159" t="s">
        <v>253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</row>
    <row r="4" spans="1:23" ht="12.75" customHeight="1">
      <c r="A4" s="159" t="s">
        <v>254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</row>
    <row r="5" spans="1:23" ht="25.5" customHeight="1">
      <c r="A5" s="6" t="s">
        <v>255</v>
      </c>
      <c r="B5" s="6"/>
      <c r="C5" s="6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</row>
    <row r="6" spans="1:23" ht="12.75" customHeight="1">
      <c r="A6" s="159" t="s">
        <v>256</v>
      </c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</row>
    <row r="7" spans="1:23" ht="26.25" customHeight="1">
      <c r="A7" s="6" t="s">
        <v>257</v>
      </c>
      <c r="B7" s="6"/>
      <c r="C7" s="6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</row>
    <row r="8" spans="1:23" ht="12.75" customHeight="1">
      <c r="A8" s="159" t="s">
        <v>258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</row>
    <row r="9" spans="1:23" ht="12.75" customHeight="1">
      <c r="A9" s="183" t="s">
        <v>259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</row>
    <row r="10" spans="1:23" ht="12.75" customHeight="1">
      <c r="A10" s="159"/>
      <c r="B10" s="159"/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59"/>
      <c r="W10" s="159"/>
    </row>
    <row r="11" spans="1:23" ht="18">
      <c r="A11" s="159"/>
      <c r="B11" s="5" t="s">
        <v>260</v>
      </c>
      <c r="C11" s="5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</row>
    <row r="12" spans="1:23" ht="12.75" customHeight="1">
      <c r="A12" s="159"/>
      <c r="B12" s="184" t="s">
        <v>261</v>
      </c>
      <c r="C12" s="185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</row>
    <row r="13" spans="1:23" ht="12.75" customHeight="1">
      <c r="A13" s="159"/>
      <c r="B13" s="186" t="s">
        <v>262</v>
      </c>
      <c r="C13" s="187">
        <v>1932</v>
      </c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</row>
    <row r="14" spans="1:23" ht="12.75" customHeight="1">
      <c r="A14" s="159"/>
      <c r="B14" s="188" t="s">
        <v>263</v>
      </c>
      <c r="C14" s="187">
        <v>2197</v>
      </c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</row>
    <row r="15" spans="1:23" ht="12.75" customHeight="1">
      <c r="A15" s="159"/>
      <c r="B15" s="189" t="s">
        <v>264</v>
      </c>
      <c r="C15" s="190">
        <v>25</v>
      </c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</row>
    <row r="16" spans="1:23" ht="12.75" customHeight="1">
      <c r="A16" s="159"/>
      <c r="B16" s="189" t="s">
        <v>265</v>
      </c>
      <c r="C16" s="190">
        <v>1463</v>
      </c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</row>
    <row r="17" spans="1:23" ht="12.75" customHeight="1">
      <c r="A17" s="159"/>
      <c r="B17" s="189" t="s">
        <v>266</v>
      </c>
      <c r="C17" s="190">
        <v>321</v>
      </c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</row>
    <row r="18" spans="1:23" ht="12.75" customHeight="1">
      <c r="A18" s="159"/>
      <c r="B18" s="189" t="s">
        <v>267</v>
      </c>
      <c r="C18" s="190">
        <v>12</v>
      </c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</row>
    <row r="19" spans="1:23" ht="12.75" customHeight="1">
      <c r="A19" s="159"/>
      <c r="B19" s="189" t="s">
        <v>268</v>
      </c>
      <c r="C19" s="190">
        <v>339</v>
      </c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</row>
    <row r="20" spans="1:23" ht="12.75" customHeight="1">
      <c r="A20" s="159"/>
      <c r="B20" s="189" t="s">
        <v>269</v>
      </c>
      <c r="C20" s="190">
        <v>0</v>
      </c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</row>
    <row r="21" spans="1:23" ht="12.75" customHeight="1">
      <c r="A21" s="159"/>
      <c r="B21" s="189" t="s">
        <v>270</v>
      </c>
      <c r="C21" s="190">
        <v>22</v>
      </c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</row>
    <row r="22" spans="1:23" ht="12.75" customHeight="1">
      <c r="A22" s="159"/>
      <c r="B22" s="191" t="s">
        <v>271</v>
      </c>
      <c r="C22" s="192">
        <v>0</v>
      </c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</row>
    <row r="23" spans="1:23" ht="12.75" customHeight="1">
      <c r="A23" s="159"/>
      <c r="B23" s="193" t="s">
        <v>272</v>
      </c>
      <c r="C23" s="192">
        <v>0</v>
      </c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</row>
    <row r="24" spans="1:23" ht="12.75" customHeight="1">
      <c r="A24" s="159" t="s">
        <v>273</v>
      </c>
      <c r="B24" s="184" t="s">
        <v>274</v>
      </c>
      <c r="C24" s="185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</row>
    <row r="25" spans="1:23" ht="12.75" customHeight="1">
      <c r="A25" s="159"/>
      <c r="B25" s="194" t="s">
        <v>275</v>
      </c>
      <c r="C25" s="195">
        <v>5183</v>
      </c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</row>
    <row r="26" spans="1:23" ht="12.75" customHeight="1">
      <c r="A26" s="159"/>
      <c r="B26" s="189" t="s">
        <v>276</v>
      </c>
      <c r="C26" s="190">
        <v>4918</v>
      </c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</row>
    <row r="27" spans="1:23" ht="12.75" customHeight="1">
      <c r="A27" s="159"/>
      <c r="B27" s="189" t="s">
        <v>277</v>
      </c>
      <c r="C27" s="196">
        <f>C13-C14</f>
        <v>-265</v>
      </c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</row>
    <row r="28" spans="1:23" ht="12.75" customHeight="1">
      <c r="A28" s="159"/>
      <c r="B28" s="197"/>
      <c r="C28" s="198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</row>
    <row r="29" spans="1:23" ht="12.75" customHeight="1">
      <c r="A29" s="182"/>
      <c r="B29" s="186" t="s">
        <v>278</v>
      </c>
      <c r="C29" s="199">
        <f>MEDIAN(C25,C26)</f>
        <v>5050.5</v>
      </c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</row>
    <row r="30" spans="1:23" ht="12.75" customHeight="1">
      <c r="A30" s="159"/>
      <c r="B30" s="188" t="s">
        <v>279</v>
      </c>
      <c r="C30" s="200">
        <f>C16/C29</f>
        <v>0.28967428967428965</v>
      </c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</row>
    <row r="31" spans="1:23" ht="12.75" customHeight="1">
      <c r="A31" s="159"/>
      <c r="B31" s="188" t="s">
        <v>280</v>
      </c>
      <c r="C31" s="200">
        <f>MEDIAN(C13,C14)/C29</f>
        <v>0.40877140877140877</v>
      </c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</row>
    <row r="32" spans="1:23" ht="12.75" customHeight="1">
      <c r="A32" s="182"/>
      <c r="B32" s="188" t="s">
        <v>281</v>
      </c>
      <c r="C32" s="201">
        <f>12/C31</f>
        <v>29.356260595785905</v>
      </c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</row>
    <row r="33" spans="1:23" ht="12.75" customHeight="1">
      <c r="A33" s="159"/>
      <c r="B33" s="188" t="s">
        <v>282</v>
      </c>
      <c r="C33" s="202">
        <v>360</v>
      </c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</row>
    <row r="34" spans="1:23" ht="12.75" customHeight="1">
      <c r="A34" s="159"/>
      <c r="B34" s="188" t="s">
        <v>283</v>
      </c>
      <c r="C34" s="202">
        <v>10</v>
      </c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</row>
    <row r="35" spans="1:23" ht="12.75" customHeight="1">
      <c r="A35" s="159"/>
      <c r="B35" s="186" t="s">
        <v>284</v>
      </c>
      <c r="C35" s="199">
        <v>30</v>
      </c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</row>
    <row r="36" spans="1:23" ht="12.75" customHeight="1">
      <c r="A36" s="159"/>
      <c r="B36" s="186" t="s">
        <v>285</v>
      </c>
      <c r="C36" s="199">
        <v>30</v>
      </c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</row>
    <row r="37" spans="1:23" ht="12.75" customHeight="1">
      <c r="A37" s="182"/>
      <c r="B37" s="186" t="s">
        <v>286</v>
      </c>
      <c r="C37" s="199">
        <f>30+(3*TRUNC(1/C31))</f>
        <v>36</v>
      </c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</row>
    <row r="38" spans="1:23" ht="12.75" customHeight="1">
      <c r="A38" s="182"/>
      <c r="B38" s="188" t="s">
        <v>216</v>
      </c>
      <c r="C38" s="203">
        <v>0.08</v>
      </c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</row>
    <row r="39" spans="1:23" ht="12.75" customHeight="1">
      <c r="A39" s="182"/>
      <c r="B39" s="204" t="s">
        <v>287</v>
      </c>
      <c r="C39" s="205">
        <v>0.4</v>
      </c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</row>
    <row r="40" spans="1:23" ht="12.75" customHeight="1"/>
    <row r="41" spans="1:23" ht="12.75" customHeight="1"/>
    <row r="42" spans="1:23" ht="12.75" customHeight="1"/>
    <row r="43" spans="1:23" ht="12.75" customHeight="1"/>
    <row r="44" spans="1:23" ht="12.75" customHeight="1"/>
    <row r="45" spans="1:23" ht="12.75" customHeight="1"/>
    <row r="46" spans="1:23" ht="12.75" customHeight="1"/>
    <row r="47" spans="1:23" ht="12.75" customHeight="1"/>
    <row r="48" spans="1:23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5:C5"/>
    <mergeCell ref="A7:C7"/>
    <mergeCell ref="B11:C11"/>
  </mergeCells>
  <pageMargins left="0.905555555555556" right="0.51180555555555496" top="0.74791666666666701" bottom="0.74791666666666701" header="0.51180555555555496" footer="0.51180555555555496"/>
  <pageSetup paperSize="9" scale="98" firstPageNumber="0"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workbookViewId="0">
      <selection activeCell="E17" sqref="E17"/>
    </sheetView>
  </sheetViews>
  <sheetFormatPr defaultRowHeight="12.75"/>
  <cols>
    <col min="1" max="1" width="41.85546875" customWidth="1"/>
    <col min="2" max="2" width="5.42578125" customWidth="1"/>
    <col min="3" max="3" width="8.5703125" customWidth="1"/>
    <col min="4" max="4" width="9.5703125" customWidth="1"/>
    <col min="5" max="5" width="8" customWidth="1"/>
    <col min="6" max="6" width="16.42578125" customWidth="1"/>
    <col min="7" max="26" width="8.5703125" customWidth="1"/>
    <col min="27" max="1025" width="12.5703125" customWidth="1"/>
  </cols>
  <sheetData>
    <row r="1" spans="1:26" ht="12.75" customHeight="1">
      <c r="A1" s="36" t="s">
        <v>0</v>
      </c>
      <c r="B1" s="23"/>
      <c r="C1" s="23"/>
      <c r="D1" s="206"/>
      <c r="E1" s="207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</row>
    <row r="2" spans="1:26" ht="12.75" customHeight="1">
      <c r="A2" s="18" t="s">
        <v>288</v>
      </c>
      <c r="B2" s="23"/>
      <c r="C2" s="23"/>
      <c r="D2" s="206"/>
      <c r="E2" s="207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</row>
    <row r="3" spans="1:26" ht="12.75" customHeight="1">
      <c r="A3" s="15" t="s">
        <v>289</v>
      </c>
      <c r="B3" s="23"/>
      <c r="C3" s="23"/>
      <c r="D3" s="206"/>
      <c r="E3" s="207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</row>
    <row r="4" spans="1:26" ht="12.75" customHeight="1">
      <c r="A4" s="15"/>
      <c r="B4" s="23"/>
      <c r="C4" s="23"/>
      <c r="D4" s="206"/>
      <c r="E4" s="207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</row>
    <row r="5" spans="1:26" ht="15" hidden="1" customHeight="1">
      <c r="A5" s="20" t="s">
        <v>6</v>
      </c>
      <c r="B5" s="18"/>
      <c r="C5" s="18"/>
      <c r="D5" s="18"/>
      <c r="E5" s="18"/>
      <c r="F5" s="18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6.5" customHeight="1">
      <c r="A6" s="17" t="s">
        <v>290</v>
      </c>
      <c r="B6" s="18"/>
      <c r="C6" s="18"/>
      <c r="D6" s="16"/>
      <c r="E6" s="16"/>
      <c r="F6" s="16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6.5" customHeight="1">
      <c r="A7" s="17" t="s">
        <v>291</v>
      </c>
      <c r="B7" s="18"/>
      <c r="C7" s="18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2.75" customHeight="1">
      <c r="A8" s="206"/>
      <c r="B8" s="23"/>
      <c r="C8" s="23"/>
      <c r="D8" s="206"/>
      <c r="E8" s="207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</row>
    <row r="9" spans="1:26" ht="12.75" customHeight="1">
      <c r="A9" s="4" t="s">
        <v>292</v>
      </c>
      <c r="B9" s="4"/>
      <c r="C9" s="4"/>
      <c r="D9" s="4"/>
      <c r="E9" s="4"/>
      <c r="F9" s="4"/>
    </row>
    <row r="10" spans="1:26" ht="12.75" customHeight="1">
      <c r="A10" s="208"/>
      <c r="B10" s="209"/>
      <c r="C10" s="209"/>
      <c r="D10" s="209"/>
      <c r="E10" s="209"/>
      <c r="F10" s="210"/>
    </row>
    <row r="11" spans="1:26" ht="12.75" customHeight="1">
      <c r="A11" s="211"/>
      <c r="B11" s="23"/>
      <c r="C11" s="23"/>
      <c r="D11" s="3" t="s">
        <v>293</v>
      </c>
      <c r="E11" s="3"/>
      <c r="F11" s="3"/>
      <c r="G11" s="206"/>
      <c r="H11" s="206"/>
    </row>
    <row r="12" spans="1:26" ht="12.75" customHeight="1">
      <c r="A12" s="197"/>
      <c r="B12" s="206"/>
      <c r="C12" s="206"/>
      <c r="D12" s="212" t="s">
        <v>294</v>
      </c>
      <c r="E12" s="213" t="s">
        <v>295</v>
      </c>
      <c r="F12" s="214" t="s">
        <v>296</v>
      </c>
      <c r="G12" s="206"/>
      <c r="H12" s="206"/>
    </row>
    <row r="13" spans="1:26" ht="12.75" customHeight="1">
      <c r="A13" s="215" t="s">
        <v>297</v>
      </c>
      <c r="B13" s="216" t="s">
        <v>298</v>
      </c>
      <c r="C13" s="217">
        <v>3.4500000000000003E-2</v>
      </c>
      <c r="D13" s="218">
        <v>1.4999999999999999E-2</v>
      </c>
      <c r="E13" s="219">
        <v>3.4500000000000003E-2</v>
      </c>
      <c r="F13" s="220">
        <v>4.4900000000000002E-2</v>
      </c>
      <c r="G13" s="206"/>
      <c r="H13" s="206"/>
    </row>
    <row r="14" spans="1:26" ht="12.75" customHeight="1">
      <c r="A14" s="160" t="s">
        <v>299</v>
      </c>
      <c r="B14" s="221" t="s">
        <v>300</v>
      </c>
      <c r="C14" s="222">
        <v>8.8999999999999999E-3</v>
      </c>
      <c r="D14" s="218">
        <v>3.0000000000000001E-3</v>
      </c>
      <c r="E14" s="219"/>
      <c r="F14" s="220">
        <v>8.8999999999999999E-3</v>
      </c>
      <c r="G14" s="206"/>
      <c r="H14" s="206"/>
    </row>
    <row r="15" spans="1:26" ht="12.75" customHeight="1">
      <c r="A15" s="160" t="s">
        <v>301</v>
      </c>
      <c r="B15" s="221" t="s">
        <v>302</v>
      </c>
      <c r="C15" s="222">
        <v>6.2199999999999998E-2</v>
      </c>
      <c r="D15" s="218">
        <v>3.5000000000000003E-2</v>
      </c>
      <c r="E15" s="219">
        <v>5.11E-2</v>
      </c>
      <c r="F15" s="220">
        <v>6.2199999999999998E-2</v>
      </c>
      <c r="G15" s="206"/>
      <c r="H15" s="206"/>
    </row>
    <row r="16" spans="1:26" ht="12.75" customHeight="1">
      <c r="A16" s="160" t="s">
        <v>303</v>
      </c>
      <c r="B16" s="221" t="s">
        <v>304</v>
      </c>
      <c r="C16" s="223">
        <f>(1+E16)^(E17/252)-1</f>
        <v>1.9830218258378718E-3</v>
      </c>
      <c r="D16" s="218" t="s">
        <v>305</v>
      </c>
      <c r="E16" s="224">
        <v>0.105</v>
      </c>
      <c r="F16" s="225"/>
      <c r="G16" s="206"/>
      <c r="H16" s="206"/>
    </row>
    <row r="17" spans="1:8" ht="12.75" customHeight="1">
      <c r="A17" s="160" t="s">
        <v>306</v>
      </c>
      <c r="B17" s="2" t="s">
        <v>307</v>
      </c>
      <c r="C17" s="222">
        <v>0.03</v>
      </c>
      <c r="D17" s="226" t="s">
        <v>308</v>
      </c>
      <c r="E17" s="227">
        <v>5</v>
      </c>
      <c r="F17" s="196"/>
      <c r="G17" s="206"/>
      <c r="H17" s="206"/>
    </row>
    <row r="18" spans="1:8" ht="12.75" customHeight="1">
      <c r="A18" s="228" t="s">
        <v>309</v>
      </c>
      <c r="B18" s="2"/>
      <c r="C18" s="229">
        <v>3.6499999999999998E-2</v>
      </c>
      <c r="D18" s="189"/>
      <c r="E18" s="230"/>
      <c r="F18" s="196"/>
      <c r="G18" s="206"/>
      <c r="H18" s="206"/>
    </row>
    <row r="19" spans="1:8" ht="12.75" customHeight="1">
      <c r="A19" s="231" t="s">
        <v>310</v>
      </c>
      <c r="B19" s="232"/>
      <c r="C19" s="233"/>
      <c r="D19" s="189"/>
      <c r="E19" s="230"/>
      <c r="F19" s="196"/>
      <c r="G19" s="206"/>
      <c r="H19" s="206"/>
    </row>
    <row r="20" spans="1:8" ht="12.75" customHeight="1">
      <c r="A20" s="234" t="s">
        <v>311</v>
      </c>
      <c r="B20" s="235"/>
      <c r="C20" s="236"/>
      <c r="D20" s="189"/>
      <c r="E20" s="230"/>
      <c r="F20" s="196"/>
      <c r="G20" s="206"/>
      <c r="H20" s="206"/>
    </row>
    <row r="21" spans="1:8" ht="12.75" customHeight="1">
      <c r="A21" s="237" t="s">
        <v>312</v>
      </c>
      <c r="B21" s="238"/>
      <c r="C21" s="239">
        <f>ROUND((((1+C13+C14)*(1+C15)*(1+C16))/(1-(C17+C18))-1),4)</f>
        <v>0.18959999999999999</v>
      </c>
      <c r="D21" s="240">
        <v>0.21429999999999999</v>
      </c>
      <c r="E21" s="241">
        <v>0.2717</v>
      </c>
      <c r="F21" s="242">
        <v>0.3362</v>
      </c>
      <c r="G21" s="206"/>
      <c r="H21" s="206"/>
    </row>
    <row r="22" spans="1:8" ht="12.75" customHeight="1"/>
    <row r="23" spans="1:8" ht="12.75" customHeight="1"/>
    <row r="24" spans="1:8" ht="12.75" customHeight="1"/>
    <row r="25" spans="1:8" ht="12.75" customHeight="1"/>
    <row r="26" spans="1:8" ht="12.75" customHeight="1"/>
    <row r="27" spans="1:8" ht="12.75" customHeight="1"/>
    <row r="28" spans="1:8" ht="12.75" customHeight="1"/>
    <row r="29" spans="1:8" ht="12.75" customHeight="1"/>
    <row r="30" spans="1:8" ht="12.75" customHeight="1"/>
    <row r="31" spans="1:8" ht="12.75" customHeight="1"/>
    <row r="32" spans="1:8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9:F9"/>
    <mergeCell ref="D11:F11"/>
    <mergeCell ref="B17:B18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workbookViewId="0"/>
  </sheetViews>
  <sheetFormatPr defaultRowHeight="12.75"/>
  <cols>
    <col min="1" max="1" width="8.85546875" customWidth="1"/>
    <col min="2" max="2" width="20.85546875" customWidth="1"/>
    <col min="3" max="3" width="14.5703125" customWidth="1"/>
    <col min="4" max="5" width="8.85546875" customWidth="1"/>
    <col min="6" max="6" width="13.42578125" customWidth="1"/>
    <col min="7" max="12" width="8.85546875" customWidth="1"/>
    <col min="13" max="26" width="8.5703125" customWidth="1"/>
    <col min="27" max="1025" width="12.5703125" customWidth="1"/>
  </cols>
  <sheetData>
    <row r="1" spans="1:26" ht="14.25" customHeight="1">
      <c r="A1" s="243" t="s">
        <v>8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</row>
    <row r="2" spans="1:26" ht="14.25" customHeight="1">
      <c r="A2" s="245" t="s">
        <v>313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</row>
    <row r="3" spans="1:26" ht="14.25" customHeight="1">
      <c r="A3" s="245" t="s">
        <v>314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</row>
    <row r="4" spans="1:26" ht="14.25" customHeight="1">
      <c r="A4" s="246" t="s">
        <v>315</v>
      </c>
      <c r="B4" s="246" t="s">
        <v>316</v>
      </c>
      <c r="C4" s="246" t="s">
        <v>317</v>
      </c>
      <c r="D4" s="246" t="s">
        <v>318</v>
      </c>
      <c r="E4" s="246" t="s">
        <v>319</v>
      </c>
      <c r="F4" s="246" t="s">
        <v>320</v>
      </c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</row>
    <row r="5" spans="1:26" ht="14.25" customHeight="1">
      <c r="A5" s="247">
        <v>1</v>
      </c>
      <c r="B5" s="246" t="s">
        <v>321</v>
      </c>
      <c r="C5" s="246" t="s">
        <v>322</v>
      </c>
      <c r="D5" s="248">
        <v>0.3125</v>
      </c>
      <c r="E5" s="248">
        <v>0.72083333333333299</v>
      </c>
      <c r="F5" s="248">
        <v>0.36666666666666697</v>
      </c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</row>
    <row r="6" spans="1:26" ht="14.25" customHeight="1">
      <c r="A6" s="247">
        <v>3</v>
      </c>
      <c r="B6" s="246" t="s">
        <v>323</v>
      </c>
      <c r="C6" s="246" t="s">
        <v>322</v>
      </c>
      <c r="D6" s="248">
        <v>0.3125</v>
      </c>
      <c r="E6" s="248">
        <v>0.72083333333333299</v>
      </c>
      <c r="F6" s="248">
        <v>0.36666666666666697</v>
      </c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</row>
    <row r="7" spans="1:26" ht="14.25" customHeight="1">
      <c r="A7" s="244" t="s">
        <v>324</v>
      </c>
      <c r="B7" s="244"/>
      <c r="C7" s="244"/>
      <c r="D7" s="244"/>
      <c r="E7" s="244"/>
      <c r="F7" s="244"/>
      <c r="G7" s="244"/>
      <c r="H7" s="249"/>
      <c r="I7" s="249"/>
      <c r="J7" s="244"/>
      <c r="K7" s="244"/>
      <c r="L7" s="249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</row>
    <row r="8" spans="1:26" ht="14.25" customHeight="1">
      <c r="A8" s="244"/>
      <c r="B8" s="244"/>
      <c r="C8" s="244"/>
      <c r="D8" s="244"/>
      <c r="E8" s="244"/>
      <c r="F8" s="244"/>
      <c r="G8" s="244"/>
      <c r="H8" s="249"/>
      <c r="I8" s="249"/>
      <c r="J8" s="244"/>
      <c r="K8" s="244"/>
      <c r="L8" s="249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</row>
    <row r="9" spans="1:26" ht="14.25" customHeight="1">
      <c r="A9" s="245" t="s">
        <v>325</v>
      </c>
      <c r="B9" s="244"/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</row>
    <row r="10" spans="1:26" ht="14.25" customHeight="1">
      <c r="A10" s="250" t="s">
        <v>326</v>
      </c>
      <c r="B10" s="251"/>
      <c r="C10" s="251"/>
      <c r="D10" s="251"/>
      <c r="E10" s="251"/>
      <c r="F10" s="252">
        <v>8.8000000000000007</v>
      </c>
      <c r="G10" s="244"/>
      <c r="H10" s="244"/>
      <c r="I10" s="244"/>
      <c r="J10" s="244"/>
      <c r="K10" s="244"/>
      <c r="L10" s="244"/>
      <c r="M10" s="244"/>
      <c r="N10" s="244"/>
      <c r="O10" s="244"/>
      <c r="P10" s="244"/>
      <c r="Q10" s="244"/>
      <c r="R10" s="244"/>
      <c r="S10" s="244"/>
      <c r="T10" s="244"/>
      <c r="U10" s="244"/>
      <c r="V10" s="244"/>
      <c r="W10" s="244"/>
      <c r="X10" s="244"/>
      <c r="Y10" s="244"/>
      <c r="Z10" s="244"/>
    </row>
    <row r="11" spans="1:26" ht="14.25" customHeight="1">
      <c r="A11" s="250" t="s">
        <v>327</v>
      </c>
      <c r="B11" s="251"/>
      <c r="C11" s="251"/>
      <c r="D11" s="251"/>
      <c r="E11" s="251"/>
      <c r="F11" s="253">
        <v>5</v>
      </c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</row>
    <row r="12" spans="1:26" ht="14.25" customHeight="1">
      <c r="A12" s="250" t="s">
        <v>328</v>
      </c>
      <c r="B12" s="251"/>
      <c r="C12" s="251"/>
      <c r="D12" s="251"/>
      <c r="E12" s="251"/>
      <c r="F12" s="252">
        <f>F10*F11</f>
        <v>44</v>
      </c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</row>
    <row r="13" spans="1:26" ht="14.25" customHeight="1">
      <c r="A13" s="250" t="s">
        <v>329</v>
      </c>
      <c r="B13" s="251"/>
      <c r="C13" s="251"/>
      <c r="D13" s="251"/>
      <c r="E13" s="251"/>
      <c r="F13" s="253">
        <v>6</v>
      </c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</row>
    <row r="14" spans="1:26" ht="14.25" customHeight="1">
      <c r="A14" s="250" t="s">
        <v>330</v>
      </c>
      <c r="B14" s="251"/>
      <c r="C14" s="251"/>
      <c r="D14" s="251"/>
      <c r="E14" s="251"/>
      <c r="F14" s="253">
        <v>7</v>
      </c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</row>
    <row r="15" spans="1:26" ht="14.25" customHeight="1">
      <c r="A15" s="250" t="s">
        <v>331</v>
      </c>
      <c r="B15" s="251"/>
      <c r="C15" s="251"/>
      <c r="D15" s="251"/>
      <c r="E15" s="251"/>
      <c r="F15" s="252">
        <f>F12/F13</f>
        <v>7.333333333333333</v>
      </c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4"/>
      <c r="T15" s="244"/>
      <c r="U15" s="244"/>
      <c r="V15" s="244"/>
      <c r="W15" s="244"/>
      <c r="X15" s="244"/>
      <c r="Y15" s="244"/>
      <c r="Z15" s="244"/>
    </row>
    <row r="16" spans="1:26" ht="14.25" customHeight="1">
      <c r="A16" s="250" t="s">
        <v>332</v>
      </c>
      <c r="B16" s="251"/>
      <c r="C16" s="251"/>
      <c r="D16" s="251"/>
      <c r="E16" s="251"/>
      <c r="F16" s="253">
        <v>30</v>
      </c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</row>
    <row r="17" spans="1:26" ht="14.25" customHeight="1">
      <c r="A17" s="254" t="s">
        <v>333</v>
      </c>
      <c r="B17" s="255"/>
      <c r="C17" s="255"/>
      <c r="D17" s="255"/>
      <c r="E17" s="255"/>
      <c r="F17" s="256">
        <f>F15*F16</f>
        <v>220</v>
      </c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4"/>
      <c r="U17" s="244"/>
      <c r="V17" s="244"/>
      <c r="W17" s="244"/>
      <c r="X17" s="244"/>
      <c r="Y17" s="244"/>
      <c r="Z17" s="244"/>
    </row>
    <row r="18" spans="1:26" ht="14.25" customHeight="1">
      <c r="A18" s="254" t="s">
        <v>334</v>
      </c>
      <c r="B18" s="255"/>
      <c r="C18" s="255"/>
      <c r="D18" s="255"/>
      <c r="E18" s="255"/>
      <c r="F18" s="246">
        <v>220</v>
      </c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44"/>
      <c r="W18" s="244"/>
      <c r="X18" s="244"/>
      <c r="Y18" s="244"/>
      <c r="Z18" s="244"/>
    </row>
    <row r="19" spans="1:26" ht="14.25" customHeight="1">
      <c r="A19" s="254" t="s">
        <v>335</v>
      </c>
      <c r="B19" s="255"/>
      <c r="C19" s="255"/>
      <c r="D19" s="255"/>
      <c r="E19" s="255"/>
      <c r="F19" s="257">
        <f>F17/F18</f>
        <v>1</v>
      </c>
      <c r="G19" s="244"/>
      <c r="H19" s="244"/>
      <c r="I19" s="244"/>
      <c r="J19" s="244"/>
      <c r="K19" s="244"/>
      <c r="L19" s="244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</row>
    <row r="20" spans="1:26" ht="14.25" customHeight="1"/>
    <row r="21" spans="1:26" ht="14.25" customHeight="1"/>
    <row r="22" spans="1:26" ht="14.25" customHeight="1"/>
    <row r="23" spans="1:26" ht="14.25" customHeight="1"/>
    <row r="24" spans="1:26" ht="14.25" customHeight="1"/>
    <row r="25" spans="1:26" ht="14.25" customHeight="1"/>
    <row r="26" spans="1:26" ht="14.25" customHeight="1"/>
    <row r="27" spans="1:26" ht="14.25" customHeight="1"/>
    <row r="28" spans="1:26" ht="14.25" customHeight="1"/>
    <row r="29" spans="1:26" ht="14.25" customHeight="1"/>
    <row r="30" spans="1:26" ht="14.25" customHeight="1"/>
    <row r="31" spans="1:26" ht="14.25" customHeight="1"/>
    <row r="32" spans="1:2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000"/>
  <sheetViews>
    <sheetView workbookViewId="0">
      <selection activeCell="H18" sqref="H18"/>
    </sheetView>
  </sheetViews>
  <sheetFormatPr defaultRowHeight="12.75"/>
  <cols>
    <col min="1" max="1" width="24.42578125" customWidth="1"/>
    <col min="2" max="2" width="20.85546875" customWidth="1"/>
    <col min="3" max="22" width="9.140625" customWidth="1"/>
    <col min="23" max="26" width="8.5703125" customWidth="1"/>
    <col min="27" max="1025" width="12.5703125" customWidth="1"/>
  </cols>
  <sheetData>
    <row r="1" spans="1:22" ht="19.5" customHeight="1">
      <c r="A1" s="1" t="s">
        <v>336</v>
      </c>
      <c r="B1" s="1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</row>
    <row r="2" spans="1:22" ht="19.5" customHeight="1">
      <c r="A2" s="258" t="s">
        <v>337</v>
      </c>
      <c r="B2" s="259" t="s">
        <v>338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</row>
    <row r="3" spans="1:22" ht="19.5" customHeight="1">
      <c r="A3" s="260">
        <v>1</v>
      </c>
      <c r="B3" s="261">
        <v>33.630000000000003</v>
      </c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</row>
    <row r="4" spans="1:22" ht="19.5" customHeight="1">
      <c r="A4" s="260">
        <v>2</v>
      </c>
      <c r="B4" s="261">
        <v>43.13</v>
      </c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</row>
    <row r="5" spans="1:22" ht="19.5" customHeight="1">
      <c r="A5" s="260">
        <v>3</v>
      </c>
      <c r="B5" s="261">
        <v>48.68</v>
      </c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</row>
    <row r="6" spans="1:22" ht="19.5" customHeight="1">
      <c r="A6" s="260">
        <v>4</v>
      </c>
      <c r="B6" s="261">
        <v>52.62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</row>
    <row r="7" spans="1:22" ht="19.5" customHeight="1">
      <c r="A7" s="260">
        <v>5</v>
      </c>
      <c r="B7" s="261">
        <v>55.68</v>
      </c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</row>
    <row r="8" spans="1:22" ht="19.5" customHeight="1">
      <c r="A8" s="260">
        <v>6</v>
      </c>
      <c r="B8" s="261">
        <v>58.18</v>
      </c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</row>
    <row r="9" spans="1:22" ht="19.5" customHeight="1">
      <c r="A9" s="260">
        <v>7</v>
      </c>
      <c r="B9" s="261">
        <v>60.29</v>
      </c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</row>
    <row r="10" spans="1:22" ht="19.5" customHeight="1">
      <c r="A10" s="260">
        <v>8</v>
      </c>
      <c r="B10" s="261">
        <v>62.12</v>
      </c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59"/>
    </row>
    <row r="11" spans="1:22" ht="19.5" customHeight="1">
      <c r="A11" s="260">
        <v>9</v>
      </c>
      <c r="B11" s="261">
        <v>63.73</v>
      </c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</row>
    <row r="12" spans="1:22" ht="19.5" customHeight="1">
      <c r="A12" s="260">
        <v>10</v>
      </c>
      <c r="B12" s="261">
        <v>65.180000000000007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</row>
    <row r="13" spans="1:22" ht="19.5" customHeight="1">
      <c r="A13" s="260">
        <v>11</v>
      </c>
      <c r="B13" s="261">
        <v>66.48</v>
      </c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</row>
    <row r="14" spans="1:22" ht="19.5" customHeight="1">
      <c r="A14" s="260">
        <v>12</v>
      </c>
      <c r="B14" s="261">
        <v>67.67</v>
      </c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</row>
    <row r="15" spans="1:22" ht="19.5" customHeight="1">
      <c r="A15" s="260">
        <v>13</v>
      </c>
      <c r="B15" s="261">
        <v>68.77</v>
      </c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</row>
    <row r="16" spans="1:22" ht="19.5" customHeight="1">
      <c r="A16" s="260">
        <v>14</v>
      </c>
      <c r="B16" s="261">
        <v>69.790000000000006</v>
      </c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</row>
    <row r="17" spans="1:22" ht="19.5" customHeight="1">
      <c r="A17" s="262">
        <v>15</v>
      </c>
      <c r="B17" s="263">
        <v>70.73</v>
      </c>
      <c r="C17" s="159"/>
      <c r="D17" s="264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</row>
    <row r="18" spans="1:22" ht="19.5" customHeight="1"/>
    <row r="19" spans="1:22" ht="19.5" customHeight="1"/>
    <row r="20" spans="1:22" ht="19.5" customHeight="1"/>
    <row r="21" spans="1:22" ht="19.5" customHeight="1"/>
    <row r="22" spans="1:22" ht="19.5" customHeight="1"/>
    <row r="23" spans="1:22" ht="19.5" customHeight="1"/>
    <row r="24" spans="1:22" ht="19.5" customHeight="1"/>
    <row r="25" spans="1:22" ht="19.5" customHeight="1"/>
    <row r="26" spans="1:22" ht="19.5" customHeight="1"/>
    <row r="27" spans="1:22" ht="19.5" customHeight="1"/>
    <row r="28" spans="1:22" ht="19.5" customHeight="1"/>
    <row r="29" spans="1:22" ht="19.5" customHeight="1"/>
    <row r="30" spans="1:22" ht="19.5" customHeight="1"/>
    <row r="31" spans="1:22" ht="19.5" customHeight="1"/>
    <row r="32" spans="1:22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B1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987"/>
  <sheetViews>
    <sheetView tabSelected="1" workbookViewId="0">
      <selection activeCell="D17" sqref="D17"/>
    </sheetView>
  </sheetViews>
  <sheetFormatPr defaultRowHeight="12.75"/>
  <cols>
    <col min="1" max="1" width="85.85546875" customWidth="1"/>
    <col min="2" max="2" width="24.5703125" customWidth="1"/>
    <col min="3" max="4" width="15.42578125" customWidth="1"/>
    <col min="5" max="5" width="14.42578125" customWidth="1"/>
    <col min="6" max="6" width="14.28515625" customWidth="1"/>
    <col min="7" max="26" width="8.5703125" customWidth="1"/>
    <col min="27" max="1025" width="12.5703125" customWidth="1"/>
  </cols>
  <sheetData>
    <row r="1" spans="1:4" ht="12.75" customHeight="1">
      <c r="A1" t="s">
        <v>339</v>
      </c>
      <c r="B1" s="265" t="s">
        <v>340</v>
      </c>
    </row>
    <row r="2" spans="1:4" ht="12.75" customHeight="1">
      <c r="A2" t="s">
        <v>341</v>
      </c>
    </row>
    <row r="3" spans="1:4" ht="12.75" customHeight="1">
      <c r="A3" t="s">
        <v>342</v>
      </c>
    </row>
    <row r="4" spans="1:4" ht="12.75" customHeight="1"/>
    <row r="5" spans="1:4" ht="12.75" customHeight="1">
      <c r="B5" s="266"/>
      <c r="C5" s="266"/>
      <c r="D5" s="266"/>
    </row>
    <row r="6" spans="1:4" ht="12.75" customHeight="1">
      <c r="A6" t="s">
        <v>343</v>
      </c>
      <c r="B6" s="267"/>
    </row>
    <row r="7" spans="1:4" ht="12.75" customHeight="1">
      <c r="A7" t="s">
        <v>344</v>
      </c>
      <c r="B7" s="268"/>
      <c r="C7" s="268"/>
    </row>
    <row r="8" spans="1:4" ht="12.75" customHeight="1">
      <c r="A8" t="s">
        <v>345</v>
      </c>
    </row>
    <row r="9" spans="1:4" ht="12.75" customHeight="1">
      <c r="A9" s="269">
        <v>45088</v>
      </c>
      <c r="B9" s="269">
        <v>45467</v>
      </c>
    </row>
    <row r="10" spans="1:4" ht="12.75" customHeight="1">
      <c r="A10" s="272" t="s">
        <v>346</v>
      </c>
      <c r="B10" s="272"/>
    </row>
    <row r="11" spans="1:4" ht="12.75" customHeight="1">
      <c r="A11" s="270" t="s">
        <v>347</v>
      </c>
      <c r="B11" s="271">
        <v>6.11</v>
      </c>
    </row>
    <row r="12" spans="1:4" ht="12.75" customHeight="1">
      <c r="A12" s="270" t="s">
        <v>348</v>
      </c>
      <c r="B12" s="271"/>
    </row>
    <row r="13" spans="1:4" ht="12.75" customHeight="1">
      <c r="A13" s="270" t="s">
        <v>349</v>
      </c>
      <c r="B13" s="271"/>
    </row>
    <row r="14" spans="1:4" ht="12.75" customHeight="1">
      <c r="A14" s="270" t="s">
        <v>350</v>
      </c>
      <c r="B14" s="271"/>
    </row>
    <row r="15" spans="1:4" ht="12.75" customHeight="1"/>
    <row r="16" spans="1:4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</sheetData>
  <mergeCells count="1">
    <mergeCell ref="A10:B10"/>
  </mergeCells>
  <pageMargins left="0.78749999999999998" right="0.78749999999999998" top="1.05277777777778" bottom="1.05277777777778" header="0" footer="0"/>
  <pageSetup paperSize="9" firstPageNumber="0" orientation="landscape" horizontalDpi="300" verticalDpi="300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190</TotalTime>
  <Application>LibreOffice/5.4.4.2$Windows_X86_64 LibreOffice_project/2524958677847fb3bb44820e40380acbe820f960</Application>
  <DocSecurity>0</DocSecurity>
  <ScaleCrop>false</ScaleCrop>
  <HeadingPairs>
    <vt:vector size="4" baseType="variant">
      <vt:variant>
        <vt:lpstr>Planilhas</vt:lpstr>
      </vt:variant>
      <vt:variant>
        <vt:i4>29</vt:i4>
      </vt:variant>
      <vt:variant>
        <vt:lpstr>Intervalos nomeados</vt:lpstr>
      </vt:variant>
      <vt:variant>
        <vt:i4>23</vt:i4>
      </vt:variant>
    </vt:vector>
  </HeadingPairs>
  <TitlesOfParts>
    <vt:vector size="52" baseType="lpstr">
      <vt:lpstr>1. Escavad 18 </vt:lpstr>
      <vt:lpstr>2. Escavad 20</vt:lpstr>
      <vt:lpstr>3. Escavad 23</vt:lpstr>
      <vt:lpstr>4. Caminhão Truck 6x2</vt:lpstr>
      <vt:lpstr>5. Caminhão Traçado 6x4</vt:lpstr>
      <vt:lpstr>6. Guincho com Plataforma Desl</vt:lpstr>
      <vt:lpstr>7. Retroescavadeira 4x4</vt:lpstr>
      <vt:lpstr>8. Motoniveladora 17</vt:lpstr>
      <vt:lpstr>9. Trator de Esteira 14</vt:lpstr>
      <vt:lpstr>10. Trator de Esteira 19</vt:lpstr>
      <vt:lpstr>11. Caminhão Içamento S Platafo</vt:lpstr>
      <vt:lpstr>12. Caminhão Guindaste</vt:lpstr>
      <vt:lpstr>13. Guincho com Plataforma Desl</vt:lpstr>
      <vt:lpstr>14. Carreta Prancha</vt:lpstr>
      <vt:lpstr>15. Moto Scraper </vt:lpstr>
      <vt:lpstr>16. Máquina Rolo com espargidor</vt:lpstr>
      <vt:lpstr>17. Rolo Compac. Vibratório</vt:lpstr>
      <vt:lpstr>18. Caminhão Pipa</vt:lpstr>
      <vt:lpstr>19. Rolo Compac. Vibratório 18 </vt:lpstr>
      <vt:lpstr>20. Caminhão Guindaste Articula</vt:lpstr>
      <vt:lpstr>21. Retro Escavadeira com Rompe</vt:lpstr>
      <vt:lpstr>22. Mini Escavadeira</vt:lpstr>
      <vt:lpstr>23. Empilhadeira</vt:lpstr>
      <vt:lpstr>24.Encargos Sociais</vt:lpstr>
      <vt:lpstr>25.CAGED</vt:lpstr>
      <vt:lpstr>26.BDI</vt:lpstr>
      <vt:lpstr>27.Horários</vt:lpstr>
      <vt:lpstr>28. Depreciação</vt:lpstr>
      <vt:lpstr>TAB ANP DIESEL_S10</vt:lpstr>
      <vt:lpstr>AbaDeprec</vt:lpstr>
      <vt:lpstr>'1. Escavad 18 '!Area_de_impressao</vt:lpstr>
      <vt:lpstr>'10. Trator de Esteira 19'!Area_de_impressao</vt:lpstr>
      <vt:lpstr>'12. Caminhão Guindaste'!Area_de_impressao</vt:lpstr>
      <vt:lpstr>'14. Carreta Prancha'!Area_de_impressao</vt:lpstr>
      <vt:lpstr>'15. Moto Scraper '!Area_de_impressao</vt:lpstr>
      <vt:lpstr>'16. Máquina Rolo com espargidor'!Area_de_impressao</vt:lpstr>
      <vt:lpstr>'17. Rolo Compac. Vibratório'!Area_de_impressao</vt:lpstr>
      <vt:lpstr>'18. Caminhão Pipa'!Area_de_impressao</vt:lpstr>
      <vt:lpstr>'2. Escavad 20'!Area_de_impressao</vt:lpstr>
      <vt:lpstr>'22. Mini Escavadeira'!Area_de_impressao</vt:lpstr>
      <vt:lpstr>'23. Empilhadeira'!Area_de_impressao</vt:lpstr>
      <vt:lpstr>'24.Encargos Sociais'!Area_de_impressao</vt:lpstr>
      <vt:lpstr>'26.BDI'!Area_de_impressao</vt:lpstr>
      <vt:lpstr>'28. Depreciação'!Area_de_impressao</vt:lpstr>
      <vt:lpstr>'3. Escavad 23'!Area_de_impressao</vt:lpstr>
      <vt:lpstr>'4. Caminhão Truck 6x2'!Area_de_impressao</vt:lpstr>
      <vt:lpstr>'5. Caminhão Traçado 6x4'!Area_de_impressao</vt:lpstr>
      <vt:lpstr>'6. Guincho com Plataforma Desl'!Area_de_impressao</vt:lpstr>
      <vt:lpstr>'7. Retroescavadeira 4x4'!Area_de_impressao</vt:lpstr>
      <vt:lpstr>'8. Motoniveladora 17'!Area_de_impressao</vt:lpstr>
      <vt:lpstr>'9. Trator de Esteira 14'!Area_de_impressao</vt:lpstr>
      <vt:lpstr>'TAB ANP DIESEL_S10'!Area_de_impressao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 Burmeister Martins</dc:creator>
  <cp:lastModifiedBy>roberta.bonatti</cp:lastModifiedBy>
  <cp:revision>27</cp:revision>
  <cp:lastPrinted>2024-04-29T10:47:45Z</cp:lastPrinted>
  <dcterms:created xsi:type="dcterms:W3CDTF">2000-12-13T10:02:50Z</dcterms:created>
  <dcterms:modified xsi:type="dcterms:W3CDTF">2024-07-24T13:03:11Z</dcterms:modified>
  <dc:language>pt-BR</dc:language>
</cp:coreProperties>
</file>