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codeName="{4D1C537B-E38A-612A-F078-A93A15B4B7F4}"/>
  <workbookPr codeName="EstaPasta_de_trabalho"/>
  <mc:AlternateContent xmlns:mc="http://schemas.openxmlformats.org/markup-compatibility/2006">
    <mc:Choice Requires="x15">
      <x15ac:absPath xmlns:x15ac="http://schemas.microsoft.com/office/spreadsheetml/2010/11/ac" url="C:\Users\MDT Store\Desktop\Sandro 04 06 2022\Pista de Skate\Para aprovação na CAIXA\Documentos 26 06 2023\Para Licitar\"/>
    </mc:Choice>
  </mc:AlternateContent>
  <xr:revisionPtr revIDLastSave="0" documentId="13_ncr:1_{067EE414-4DA6-42FE-A5C8-744397C0BA74}" xr6:coauthVersionLast="47" xr6:coauthVersionMax="47" xr10:uidLastSave="{00000000-0000-0000-0000-000000000000}"/>
  <bookViews>
    <workbookView xWindow="-120" yWindow="-120" windowWidth="20640" windowHeight="11040" activeTab="3" xr2:uid="{00000000-000D-0000-FFFF-FFFF00000000}"/>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5">CFF!$L$1:$X$60</definedName>
    <definedName name="_xlnm.Print_Area" localSheetId="0">DADOS!$A$1:$X$87</definedName>
    <definedName name="_xlnm.Print_Area" localSheetId="4">PLQ!$B$1:$P$76</definedName>
    <definedName name="_xlnm.Print_Area" localSheetId="3">PO!$K$1:$T$85</definedName>
    <definedName name="_xlnm.Database">TEXT(Import.DataBase,"mm-aaaa")</definedName>
    <definedName name="CFF.ColunaPadrão">CFF!$AC:$AC</definedName>
    <definedName name="CFF.Colunas">CFF!$P$10:$X$10</definedName>
    <definedName name="CFF.Dados">OFFSET(CFF!$L$17,1,0):OFFSET(CFF!$X$54,-1,-1)</definedName>
    <definedName name="CFF.IncluirLinha">MAX(PO!$V$12:$V$70)*CFF.NumLinha-ROW(CFF!$F$54)+ROW(CFF!$F$17)+1</definedName>
    <definedName name="CFF.Item">OFFSET(CFF!$L$17,1,0):OFFSET(CFF!$X$54,-1,-1)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OFFSET(PO!$M$12,1,0):OFFSET(PO!$M$70,-1,0)</definedName>
    <definedName name="Import.CR">DADOS!$A$29</definedName>
    <definedName name="Import.CTEF">DADOS!$A$43</definedName>
    <definedName name="Import.CustoUnitário">OFFSET(PO!$Q$12,1,0):OFFSET(PO!$Q$70,-1,0)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OFFSET(PO!$N$12,1,0):OFFSET(PO!$N$70,-1,0)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OFFSET(PO!$L$12,1,0):OFFSET(PO!$L$70,-1,0)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OFFSET(PO!$K$12,1,0):OFFSET(PO!$K$70,-1,0)</definedName>
    <definedName name="Import.Localidade">DADOS!$K$32</definedName>
    <definedName name="Import.LocalSINAPI">DADOS!$D$38</definedName>
    <definedName name="Import.Município">DADOS!$G$32</definedName>
    <definedName name="Import.Nível">OFFSET(PO!$J$12,1,0):OFFSET(PO!$J$70,-1,0)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OFFSET(PLQ!$F$12,1,0):OFFSET(PLQ!$P$70,-1,-1)</definedName>
    <definedName name="Import.POArred">PO!$X$3:$X$7</definedName>
    <definedName name="Import.PreçoTotal">OFFSET(PO!$T$12,1,0):OFFSET(PO!$T$70,-1,0)</definedName>
    <definedName name="Import.PreçoUnitário">OFFSET(PO!$S$12,1,0):OFFSET(PO!$S$70,-1,0)</definedName>
    <definedName name="Import.Programa">DADOS!$F$29</definedName>
    <definedName name="Import.Proponente">DADOS!$A$32</definedName>
    <definedName name="Import.Quantidade">OFFSET(PO!$P$12,1,0):OFFSET(PO!$P$70,-1,0)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OFFSET(PO!$O$12,1,0):OFFSET(PO!$O$70,-1,0)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OFFSET(PO!$Z$12,1,0):OFFSET(PO!$Z$70,-1,0)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PO!$K$71</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PLQ!$B$9:OFFSET(PLQ!$B$70,-1,0)</definedName>
    <definedName name="PLQ.LinhaPadrão">PLQ!$A$11:$P$11</definedName>
    <definedName name="PLQ.qtde.frentes">COUNTA(PLQ!$F$9:$P$9)</definedName>
    <definedName name="PO.BDI">OFFSET(PO!$R$12,1,0):OFFSET(PO!$R$70,-1,0)</definedName>
    <definedName name="PO.CustoRef">OFFSET(PO!$Y$12,1,0):OFFSET(PO!$Y$70,-1,0)</definedName>
    <definedName name="PO.CustoUnitario">ROUND(PO!$Q1,15-13*PO!$X$4)</definedName>
    <definedName name="PO.Dados">PO!$C$12:OFFSET(PO!$Z$70,-1,0)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6" i="13" l="1"/>
  <c r="A66" i="13"/>
  <c r="E66" i="13" s="1"/>
  <c r="W66" i="12"/>
  <c r="V66" i="12"/>
  <c r="A66" i="12"/>
  <c r="I66" i="12" s="1"/>
  <c r="B66" i="12" l="1"/>
  <c r="H66" i="12"/>
  <c r="F49" i="13" l="1"/>
  <c r="A49" i="13"/>
  <c r="F48" i="13"/>
  <c r="A48" i="13"/>
  <c r="E48" i="13" s="1"/>
  <c r="W49" i="12"/>
  <c r="A49" i="12"/>
  <c r="I49" i="12" s="1"/>
  <c r="X48" i="12"/>
  <c r="D48" i="13" s="1"/>
  <c r="W48" i="12"/>
  <c r="A48" i="12"/>
  <c r="F33" i="13"/>
  <c r="A33" i="13"/>
  <c r="F32" i="13"/>
  <c r="A32" i="13"/>
  <c r="F31" i="13"/>
  <c r="A31" i="13"/>
  <c r="E31" i="13" s="1"/>
  <c r="W33" i="12"/>
  <c r="A33" i="12"/>
  <c r="I33" i="12" s="1"/>
  <c r="W32" i="12"/>
  <c r="A32" i="12"/>
  <c r="V32" i="12" s="1"/>
  <c r="X31" i="12"/>
  <c r="W31" i="12"/>
  <c r="A31" i="12"/>
  <c r="F69" i="13"/>
  <c r="A69" i="13"/>
  <c r="W69" i="12"/>
  <c r="A69" i="12"/>
  <c r="I69" i="12" s="1"/>
  <c r="F65" i="13"/>
  <c r="A65" i="13"/>
  <c r="W65" i="12"/>
  <c r="A65" i="12"/>
  <c r="F53" i="13"/>
  <c r="A53" i="13"/>
  <c r="W53" i="12"/>
  <c r="A53" i="12"/>
  <c r="I53" i="12" s="1"/>
  <c r="F16" i="13"/>
  <c r="A16" i="13"/>
  <c r="W16" i="12"/>
  <c r="A16" i="12"/>
  <c r="I16" i="12" s="1"/>
  <c r="N23" i="18"/>
  <c r="N22" i="18"/>
  <c r="N21" i="18"/>
  <c r="N20" i="18"/>
  <c r="N19" i="18"/>
  <c r="N18" i="18"/>
  <c r="F57" i="13"/>
  <c r="A57" i="13"/>
  <c r="W57" i="12"/>
  <c r="A57" i="12"/>
  <c r="I57" i="12" s="1"/>
  <c r="F61" i="13"/>
  <c r="A61" i="13"/>
  <c r="W61" i="12"/>
  <c r="A61" i="12"/>
  <c r="F60" i="13"/>
  <c r="A60" i="13"/>
  <c r="W60" i="12"/>
  <c r="A60" i="12"/>
  <c r="V60" i="12" s="1"/>
  <c r="F54" i="13"/>
  <c r="A54" i="13"/>
  <c r="W54" i="12"/>
  <c r="A54" i="12"/>
  <c r="F52" i="13"/>
  <c r="A52" i="13"/>
  <c r="W52" i="12"/>
  <c r="A52" i="12"/>
  <c r="I52" i="12" s="1"/>
  <c r="E49" i="13" l="1"/>
  <c r="E33" i="13"/>
  <c r="V49" i="12"/>
  <c r="C48" i="13"/>
  <c r="B49" i="12"/>
  <c r="H49" i="12"/>
  <c r="E32" i="13"/>
  <c r="D31" i="13"/>
  <c r="V33" i="12"/>
  <c r="B32" i="12"/>
  <c r="H32" i="12"/>
  <c r="I32" i="12"/>
  <c r="B33" i="12"/>
  <c r="H33" i="12"/>
  <c r="E69" i="13"/>
  <c r="E65" i="13"/>
  <c r="V69" i="12"/>
  <c r="B69" i="12"/>
  <c r="H69" i="12"/>
  <c r="E53" i="13"/>
  <c r="I65" i="12"/>
  <c r="V65" i="12"/>
  <c r="B65" i="12"/>
  <c r="H65" i="12"/>
  <c r="E16" i="13"/>
  <c r="V53" i="12"/>
  <c r="B53" i="12"/>
  <c r="H53" i="12"/>
  <c r="V16" i="12"/>
  <c r="B16" i="12"/>
  <c r="H16" i="12"/>
  <c r="V57" i="12"/>
  <c r="E57" i="13"/>
  <c r="B57" i="12"/>
  <c r="H57" i="12"/>
  <c r="E61" i="13"/>
  <c r="I61" i="12"/>
  <c r="B61" i="12"/>
  <c r="H61" i="12"/>
  <c r="V61" i="12"/>
  <c r="E60" i="13"/>
  <c r="B60" i="12"/>
  <c r="H60" i="12"/>
  <c r="I60" i="12"/>
  <c r="E54" i="13"/>
  <c r="V54" i="12"/>
  <c r="I54" i="12"/>
  <c r="B54" i="12"/>
  <c r="H54" i="12"/>
  <c r="E52" i="13"/>
  <c r="V52" i="12"/>
  <c r="B52" i="12"/>
  <c r="H52" i="12"/>
  <c r="F40" i="13"/>
  <c r="A40" i="13"/>
  <c r="F39" i="13"/>
  <c r="A39" i="13"/>
  <c r="F38" i="13"/>
  <c r="A38" i="13"/>
  <c r="F37" i="13"/>
  <c r="A37" i="13"/>
  <c r="F36" i="13"/>
  <c r="A36" i="13"/>
  <c r="X40" i="12"/>
  <c r="D40" i="13" s="1"/>
  <c r="W40" i="12"/>
  <c r="A40" i="12"/>
  <c r="V40" i="12" s="1"/>
  <c r="W39" i="12"/>
  <c r="A39" i="12"/>
  <c r="V39" i="12" s="1"/>
  <c r="W38" i="12"/>
  <c r="A38" i="12"/>
  <c r="I38" i="12" s="1"/>
  <c r="W37" i="12"/>
  <c r="A37" i="12"/>
  <c r="V37" i="12" s="1"/>
  <c r="W36" i="12"/>
  <c r="A36" i="12"/>
  <c r="V36" i="12" s="1"/>
  <c r="F25" i="13"/>
  <c r="A25" i="13"/>
  <c r="E25" i="13" s="1"/>
  <c r="F24" i="13"/>
  <c r="A24" i="13"/>
  <c r="F23" i="13"/>
  <c r="A23" i="13"/>
  <c r="F22" i="13"/>
  <c r="A22" i="13"/>
  <c r="F21" i="13"/>
  <c r="A21" i="13"/>
  <c r="E21" i="13" s="1"/>
  <c r="X25" i="12"/>
  <c r="W25" i="12"/>
  <c r="A25" i="12"/>
  <c r="V25" i="12" s="1"/>
  <c r="W24" i="12"/>
  <c r="A24" i="12"/>
  <c r="V24" i="12" s="1"/>
  <c r="W23" i="12"/>
  <c r="A23" i="12"/>
  <c r="H23" i="12" s="1"/>
  <c r="W22" i="12"/>
  <c r="A22" i="12"/>
  <c r="V22" i="12" s="1"/>
  <c r="X21" i="12"/>
  <c r="W21" i="12"/>
  <c r="A21" i="12"/>
  <c r="V21" i="12" s="1"/>
  <c r="F18" i="13"/>
  <c r="A18" i="13"/>
  <c r="W18" i="12"/>
  <c r="A18" i="12"/>
  <c r="I18" i="12" s="1"/>
  <c r="C31" i="13" l="1"/>
  <c r="V23" i="12"/>
  <c r="H38" i="12"/>
  <c r="B38" i="12"/>
  <c r="V38" i="12"/>
  <c r="E40" i="13"/>
  <c r="E36" i="13"/>
  <c r="E38" i="13"/>
  <c r="E39" i="13"/>
  <c r="E37" i="13"/>
  <c r="C40" i="13"/>
  <c r="I37" i="12"/>
  <c r="B36" i="12"/>
  <c r="H36" i="12"/>
  <c r="B39" i="12"/>
  <c r="H39" i="12"/>
  <c r="I36" i="12"/>
  <c r="I39" i="12"/>
  <c r="B37" i="12"/>
  <c r="H37" i="12"/>
  <c r="I23" i="12"/>
  <c r="I24" i="12"/>
  <c r="B23" i="12"/>
  <c r="B24" i="12"/>
  <c r="H24" i="12"/>
  <c r="E24" i="13"/>
  <c r="D25" i="13"/>
  <c r="E22" i="13"/>
  <c r="E23" i="13"/>
  <c r="D21" i="13"/>
  <c r="E18" i="13"/>
  <c r="I22" i="12"/>
  <c r="B22" i="12"/>
  <c r="H22" i="12"/>
  <c r="V18" i="12"/>
  <c r="B18" i="12"/>
  <c r="H18" i="12"/>
  <c r="F15" i="13"/>
  <c r="A15" i="13"/>
  <c r="W15" i="12"/>
  <c r="A15" i="12"/>
  <c r="V15" i="12" s="1"/>
  <c r="C21" i="13" l="1"/>
  <c r="C25" i="13"/>
  <c r="E15" i="13"/>
  <c r="I15" i="12"/>
  <c r="B15" i="12"/>
  <c r="H15" i="12"/>
  <c r="D52" i="13" l="1"/>
  <c r="F41" i="13" l="1"/>
  <c r="A41" i="13"/>
  <c r="W41" i="12"/>
  <c r="A41" i="12"/>
  <c r="V41" i="12" s="1"/>
  <c r="E41" i="13" l="1"/>
  <c r="B41" i="12"/>
  <c r="H41" i="12"/>
  <c r="I41" i="12"/>
  <c r="F64" i="13"/>
  <c r="A64" i="13"/>
  <c r="W64" i="12"/>
  <c r="A64" i="12"/>
  <c r="V64" i="12" s="1"/>
  <c r="F63" i="13"/>
  <c r="A63" i="13"/>
  <c r="W63" i="12"/>
  <c r="A63" i="12"/>
  <c r="E64" i="13" l="1"/>
  <c r="E63" i="13"/>
  <c r="B64" i="12"/>
  <c r="H64" i="12"/>
  <c r="I64" i="12"/>
  <c r="I63" i="12"/>
  <c r="V63" i="12"/>
  <c r="B63" i="12"/>
  <c r="H63" i="12"/>
  <c r="F30" i="13"/>
  <c r="A30" i="13"/>
  <c r="W30" i="12"/>
  <c r="A30" i="12"/>
  <c r="H30" i="12" s="1"/>
  <c r="V30" i="12" l="1"/>
  <c r="B30" i="12"/>
  <c r="I30" i="12"/>
  <c r="E30" i="13"/>
  <c r="F56" i="13" l="1"/>
  <c r="A56" i="13"/>
  <c r="W56" i="12"/>
  <c r="A56" i="12"/>
  <c r="I56" i="12" s="1"/>
  <c r="B56" i="12" l="1"/>
  <c r="E56" i="13"/>
  <c r="H56" i="12"/>
  <c r="V56" i="12"/>
  <c r="F51" i="13"/>
  <c r="A51" i="13"/>
  <c r="F50" i="13"/>
  <c r="A50" i="13"/>
  <c r="E50" i="13" s="1"/>
  <c r="W51" i="12"/>
  <c r="A51" i="12"/>
  <c r="X50" i="12"/>
  <c r="W50" i="12"/>
  <c r="A50" i="12"/>
  <c r="F68" i="13"/>
  <c r="A68" i="13"/>
  <c r="F67" i="13"/>
  <c r="A67" i="13"/>
  <c r="W68" i="12"/>
  <c r="A68" i="12"/>
  <c r="V68" i="12" s="1"/>
  <c r="X67" i="12"/>
  <c r="W67" i="12"/>
  <c r="A67" i="12"/>
  <c r="F43" i="13"/>
  <c r="A43" i="13"/>
  <c r="W43" i="12"/>
  <c r="A43" i="12"/>
  <c r="F42" i="13"/>
  <c r="A42" i="13"/>
  <c r="W42" i="12"/>
  <c r="A42" i="12"/>
  <c r="V42" i="12" s="1"/>
  <c r="F45" i="13"/>
  <c r="A45" i="13"/>
  <c r="E45" i="13" s="1"/>
  <c r="X45" i="12"/>
  <c r="D45" i="13" s="1"/>
  <c r="W45" i="12"/>
  <c r="A45" i="12"/>
  <c r="F27" i="13"/>
  <c r="A27" i="13"/>
  <c r="W27" i="12"/>
  <c r="A27" i="12"/>
  <c r="E51" i="13" l="1"/>
  <c r="D50" i="13"/>
  <c r="H51" i="12"/>
  <c r="V51" i="12"/>
  <c r="I51" i="12"/>
  <c r="B51" i="12"/>
  <c r="E67" i="13"/>
  <c r="D67" i="13"/>
  <c r="E68" i="13"/>
  <c r="B68" i="12"/>
  <c r="I68" i="12"/>
  <c r="H68" i="12"/>
  <c r="B42" i="12"/>
  <c r="H42" i="12"/>
  <c r="E43" i="13"/>
  <c r="H43" i="12"/>
  <c r="V43" i="12"/>
  <c r="I43" i="12"/>
  <c r="B43" i="12"/>
  <c r="E42" i="13"/>
  <c r="I42" i="12"/>
  <c r="E27" i="13"/>
  <c r="I27" i="12"/>
  <c r="H27" i="12"/>
  <c r="V27" i="12"/>
  <c r="B27" i="12"/>
  <c r="F62" i="13"/>
  <c r="A62" i="13"/>
  <c r="E62" i="13" s="1"/>
  <c r="X62" i="12"/>
  <c r="D62" i="13" s="1"/>
  <c r="W62" i="12"/>
  <c r="A62" i="12"/>
  <c r="C50" i="13" l="1"/>
  <c r="C67" i="13"/>
  <c r="C45" i="13"/>
  <c r="F47" i="13"/>
  <c r="A47" i="13"/>
  <c r="W47" i="12"/>
  <c r="A47" i="12"/>
  <c r="F19" i="13"/>
  <c r="A19" i="13"/>
  <c r="W19" i="12"/>
  <c r="A19" i="12"/>
  <c r="F44" i="13"/>
  <c r="A44" i="13"/>
  <c r="F35" i="13"/>
  <c r="A35" i="13"/>
  <c r="F34" i="13"/>
  <c r="A34" i="13"/>
  <c r="F29" i="13"/>
  <c r="A29" i="13"/>
  <c r="F28" i="13"/>
  <c r="A28" i="13"/>
  <c r="F26" i="13"/>
  <c r="A26" i="13"/>
  <c r="F20" i="13"/>
  <c r="A20" i="13"/>
  <c r="F17" i="13"/>
  <c r="A17" i="13"/>
  <c r="F14" i="13"/>
  <c r="A14" i="13"/>
  <c r="E14" i="13" s="1"/>
  <c r="W44" i="12"/>
  <c r="A44" i="12"/>
  <c r="H44" i="12" s="1"/>
  <c r="W35" i="12"/>
  <c r="A35" i="12"/>
  <c r="V35" i="12" s="1"/>
  <c r="X34" i="12"/>
  <c r="D34" i="13" s="1"/>
  <c r="W34" i="12"/>
  <c r="A34" i="12"/>
  <c r="W29" i="12"/>
  <c r="A29" i="12"/>
  <c r="W28" i="12"/>
  <c r="A28" i="12"/>
  <c r="H28" i="12" s="1"/>
  <c r="W26" i="12"/>
  <c r="A26" i="12"/>
  <c r="X20" i="12"/>
  <c r="D20" i="13" s="1"/>
  <c r="W20" i="12"/>
  <c r="A20" i="12"/>
  <c r="W17" i="12"/>
  <c r="A17" i="12"/>
  <c r="H17" i="12" s="1"/>
  <c r="X14" i="12"/>
  <c r="D14" i="13" s="1"/>
  <c r="W14" i="12"/>
  <c r="A14" i="12"/>
  <c r="F59" i="13"/>
  <c r="A59" i="13"/>
  <c r="F58" i="13"/>
  <c r="A58" i="13"/>
  <c r="W59" i="12"/>
  <c r="A59" i="12"/>
  <c r="X58" i="12"/>
  <c r="W58" i="12"/>
  <c r="A58" i="12"/>
  <c r="C62" i="13" l="1"/>
  <c r="E47" i="13"/>
  <c r="H47" i="12"/>
  <c r="V47" i="12"/>
  <c r="I47" i="12"/>
  <c r="B47" i="12"/>
  <c r="B44" i="12"/>
  <c r="B17" i="12"/>
  <c r="V44" i="12"/>
  <c r="V17" i="12"/>
  <c r="B28" i="12"/>
  <c r="V28" i="12"/>
  <c r="E19" i="13"/>
  <c r="H19" i="12"/>
  <c r="V19" i="12"/>
  <c r="I19" i="12"/>
  <c r="B19" i="12"/>
  <c r="E26" i="13"/>
  <c r="E20" i="13"/>
  <c r="E28" i="13"/>
  <c r="E29" i="13"/>
  <c r="E44" i="13"/>
  <c r="D58" i="13"/>
  <c r="I17" i="12"/>
  <c r="I28" i="12"/>
  <c r="I44" i="12"/>
  <c r="E17" i="13"/>
  <c r="E34" i="13"/>
  <c r="E35" i="13"/>
  <c r="H26" i="12"/>
  <c r="V26" i="12"/>
  <c r="H29" i="12"/>
  <c r="V29" i="12"/>
  <c r="I26" i="12"/>
  <c r="I29" i="12"/>
  <c r="B26" i="12"/>
  <c r="B29" i="12"/>
  <c r="E58" i="13"/>
  <c r="E59" i="13"/>
  <c r="H59" i="12"/>
  <c r="V59" i="12"/>
  <c r="I59" i="12"/>
  <c r="B59" i="12"/>
  <c r="C14" i="13" l="1"/>
  <c r="C34" i="13"/>
  <c r="C20" i="13"/>
  <c r="C58" i="13"/>
  <c r="F11" i="13" l="1"/>
  <c r="F55" i="13"/>
  <c r="F46" i="13"/>
  <c r="F13" i="13"/>
  <c r="A46" i="13" l="1"/>
  <c r="E46" i="13" s="1"/>
  <c r="W46" i="12"/>
  <c r="A46" i="12"/>
  <c r="B46" i="12" s="1"/>
  <c r="H46" i="12" l="1"/>
  <c r="I46" i="12"/>
  <c r="V46" i="12"/>
  <c r="J50" i="18"/>
  <c r="J49" i="18"/>
  <c r="J48" i="18"/>
  <c r="J47" i="18"/>
  <c r="A45" i="18"/>
  <c r="A46" i="18" s="1"/>
  <c r="C44" i="18"/>
  <c r="A39" i="18"/>
  <c r="A40" i="18" s="1"/>
  <c r="C38" i="18"/>
  <c r="I35" i="18"/>
  <c r="M32" i="18"/>
  <c r="I29" i="18"/>
  <c r="A28" i="18"/>
  <c r="A29" i="18" s="1"/>
  <c r="C27" i="18"/>
  <c r="N24" i="18"/>
  <c r="N26" i="18" s="1"/>
  <c r="M22" i="18"/>
  <c r="I22" i="18"/>
  <c r="A22" i="18"/>
  <c r="A23" i="18" s="1"/>
  <c r="M21" i="18"/>
  <c r="I21" i="18"/>
  <c r="C21" i="18"/>
  <c r="M20" i="18"/>
  <c r="I20" i="18"/>
  <c r="M19" i="18"/>
  <c r="I19" i="18"/>
  <c r="M18" i="18"/>
  <c r="R18" i="18" s="1"/>
  <c r="I18" i="18"/>
  <c r="A15" i="18"/>
  <c r="A17" i="18" s="1"/>
  <c r="C14" i="18"/>
  <c r="C13" i="18"/>
  <c r="C12" i="18"/>
  <c r="Q11" i="18"/>
  <c r="M33" i="18" s="1"/>
  <c r="C11" i="18"/>
  <c r="C10" i="18"/>
  <c r="C9" i="18"/>
  <c r="I8" i="18"/>
  <c r="C8" i="18"/>
  <c r="K5" i="18"/>
  <c r="I5" i="18"/>
  <c r="A3" i="18"/>
  <c r="A4" i="18" s="1"/>
  <c r="C2" i="18"/>
  <c r="N1" i="18"/>
  <c r="C3" i="18" l="1"/>
  <c r="Q19" i="18" s="1"/>
  <c r="C22" i="18"/>
  <c r="C28" i="18"/>
  <c r="C15" i="18"/>
  <c r="P18" i="18"/>
  <c r="A41" i="18"/>
  <c r="C40" i="18"/>
  <c r="A5" i="18"/>
  <c r="C4" i="18"/>
  <c r="R20" i="18" s="1"/>
  <c r="A32" i="18"/>
  <c r="C29" i="18"/>
  <c r="A47" i="18"/>
  <c r="C46" i="18"/>
  <c r="A18" i="18"/>
  <c r="C17" i="18"/>
  <c r="C23" i="18"/>
  <c r="A24" i="18"/>
  <c r="Q18" i="18"/>
  <c r="R19" i="18"/>
  <c r="L32" i="18"/>
  <c r="I37" i="18"/>
  <c r="C45" i="18"/>
  <c r="C39" i="18"/>
  <c r="N25" i="18"/>
  <c r="P19" i="18"/>
  <c r="A55" i="13"/>
  <c r="E55" i="13" s="1"/>
  <c r="X55" i="12"/>
  <c r="W55" i="12"/>
  <c r="A55" i="12"/>
  <c r="E7" i="13"/>
  <c r="P9" i="12"/>
  <c r="F10" i="13"/>
  <c r="G10" i="13" s="1"/>
  <c r="H10" i="13" s="1"/>
  <c r="I10" i="13" s="1"/>
  <c r="J10" i="13" s="1"/>
  <c r="K10" i="13" s="1"/>
  <c r="L10" i="13" s="1"/>
  <c r="M10" i="13" s="1"/>
  <c r="N10" i="13" s="1"/>
  <c r="O10" i="13" s="1"/>
  <c r="U10" i="13"/>
  <c r="AC9" i="11"/>
  <c r="AC10" i="11" s="1"/>
  <c r="K78" i="12"/>
  <c r="X13" i="12"/>
  <c r="W13" i="12"/>
  <c r="N24" i="17"/>
  <c r="N26" i="17" s="1"/>
  <c r="Q224" i="16"/>
  <c r="Q223" i="16"/>
  <c r="P2" i="11"/>
  <c r="A20" i="11"/>
  <c r="A23" i="11" s="1"/>
  <c r="Q10" i="12"/>
  <c r="Q11" i="17"/>
  <c r="L32" i="17" s="1"/>
  <c r="N8" i="11"/>
  <c r="O9" i="11"/>
  <c r="P9" i="11" s="1"/>
  <c r="P10" i="11" s="1"/>
  <c r="O10" i="11"/>
  <c r="A13" i="11"/>
  <c r="K13" i="11" s="1"/>
  <c r="N11" i="11" s="1"/>
  <c r="D17" i="11"/>
  <c r="L56" i="11"/>
  <c r="K84" i="12"/>
  <c r="A11" i="13"/>
  <c r="X11" i="12"/>
  <c r="O11" i="12" s="1"/>
  <c r="D11" i="13" s="1"/>
  <c r="J12" i="12"/>
  <c r="A12" i="13" s="1"/>
  <c r="N12" i="12"/>
  <c r="A13" i="13"/>
  <c r="E13" i="13" s="1"/>
  <c r="N2" i="12"/>
  <c r="Y10" i="12"/>
  <c r="Z10" i="12"/>
  <c r="A11" i="12"/>
  <c r="B11" i="12" s="1"/>
  <c r="W11" i="12"/>
  <c r="A13" i="12"/>
  <c r="F13" i="12" s="1"/>
  <c r="F14" i="12" s="1"/>
  <c r="F15" i="12" s="1"/>
  <c r="F16" i="12" s="1"/>
  <c r="N1" i="17"/>
  <c r="C2" i="17"/>
  <c r="A3" i="17"/>
  <c r="A4" i="17" s="1"/>
  <c r="I5" i="17"/>
  <c r="K5" i="17"/>
  <c r="C8" i="17"/>
  <c r="I8" i="17"/>
  <c r="C9" i="17"/>
  <c r="C10" i="17"/>
  <c r="C11" i="17"/>
  <c r="C12" i="17"/>
  <c r="C13" i="17"/>
  <c r="C14" i="17"/>
  <c r="A15" i="17"/>
  <c r="A17" i="17" s="1"/>
  <c r="I18" i="17"/>
  <c r="M18" i="17"/>
  <c r="I19" i="17"/>
  <c r="M19" i="17"/>
  <c r="I20" i="17"/>
  <c r="M20" i="17"/>
  <c r="C21" i="17"/>
  <c r="I21" i="17"/>
  <c r="M21" i="17"/>
  <c r="A22" i="17"/>
  <c r="C22" i="17" s="1"/>
  <c r="I22" i="17"/>
  <c r="M22" i="17"/>
  <c r="C27" i="17"/>
  <c r="A28" i="17"/>
  <c r="C28" i="17" s="1"/>
  <c r="A29" i="17"/>
  <c r="A32" i="17" s="1"/>
  <c r="I29" i="17"/>
  <c r="M32" i="17"/>
  <c r="I35" i="17"/>
  <c r="C38" i="17"/>
  <c r="A39" i="17"/>
  <c r="A40" i="17" s="1"/>
  <c r="C39" i="17"/>
  <c r="C44" i="17"/>
  <c r="A45" i="17"/>
  <c r="C45"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C3" i="17"/>
  <c r="Q18" i="17"/>
  <c r="R18" i="17"/>
  <c r="P18" i="17"/>
  <c r="D13" i="13"/>
  <c r="X38" i="16"/>
  <c r="W38" i="16"/>
  <c r="V38" i="16"/>
  <c r="P19" i="17" l="1"/>
  <c r="C15" i="17"/>
  <c r="F17" i="12"/>
  <c r="F20" i="12"/>
  <c r="H11" i="12"/>
  <c r="V11" i="12"/>
  <c r="S13" i="12"/>
  <c r="B72" i="13"/>
  <c r="I42" i="18"/>
  <c r="N27" i="18"/>
  <c r="O25" i="18"/>
  <c r="Q20" i="18"/>
  <c r="C5" i="18"/>
  <c r="Q21" i="18" s="1"/>
  <c r="A6" i="18"/>
  <c r="C18" i="18"/>
  <c r="A19" i="18"/>
  <c r="C41" i="18"/>
  <c r="A42" i="18"/>
  <c r="A48" i="18"/>
  <c r="C47" i="18"/>
  <c r="I50" i="17"/>
  <c r="I50" i="18"/>
  <c r="G57" i="16"/>
  <c r="I49" i="17"/>
  <c r="I49" i="18"/>
  <c r="A25" i="18"/>
  <c r="C24" i="18"/>
  <c r="P20" i="18"/>
  <c r="O42" i="17"/>
  <c r="O42" i="18"/>
  <c r="C32" i="18"/>
  <c r="A33" i="18"/>
  <c r="E13" i="12"/>
  <c r="E14" i="12" s="1"/>
  <c r="E15" i="12" s="1"/>
  <c r="E16" i="12" s="1"/>
  <c r="G13" i="12"/>
  <c r="G14" i="12" s="1"/>
  <c r="G15" i="12" s="1"/>
  <c r="G16" i="12" s="1"/>
  <c r="R19" i="17"/>
  <c r="V13" i="12"/>
  <c r="C13" i="12"/>
  <c r="C14" i="12" s="1"/>
  <c r="C15" i="12" s="1"/>
  <c r="C16" i="12" s="1"/>
  <c r="C29" i="17"/>
  <c r="A23" i="17"/>
  <c r="D13" i="12"/>
  <c r="D14" i="12" s="1"/>
  <c r="D15" i="12" s="1"/>
  <c r="D16" i="12" s="1"/>
  <c r="A26" i="11"/>
  <c r="G11" i="12"/>
  <c r="D11" i="12"/>
  <c r="E11" i="12"/>
  <c r="I11" i="12"/>
  <c r="C11" i="12"/>
  <c r="F11" i="12"/>
  <c r="D55" i="13"/>
  <c r="I42" i="17"/>
  <c r="Y11" i="12"/>
  <c r="N11" i="12"/>
  <c r="C11" i="13" s="1"/>
  <c r="N25" i="17"/>
  <c r="N27" i="17" s="1"/>
  <c r="I37" i="17"/>
  <c r="M33" i="17"/>
  <c r="B75" i="13"/>
  <c r="L59" i="11"/>
  <c r="M11" i="11"/>
  <c r="C13" i="11"/>
  <c r="B13" i="11" s="1"/>
  <c r="U11" i="11" s="1"/>
  <c r="L11" i="11"/>
  <c r="Q9" i="11"/>
  <c r="S110" i="16"/>
  <c r="V227" i="16"/>
  <c r="X227" i="16"/>
  <c r="S112" i="16"/>
  <c r="W227" i="16"/>
  <c r="S111" i="16"/>
  <c r="C13" i="13"/>
  <c r="A46" i="17"/>
  <c r="U12" i="12"/>
  <c r="C12" i="13"/>
  <c r="A33" i="17"/>
  <c r="C32" i="17"/>
  <c r="A18" i="17"/>
  <c r="C17" i="17"/>
  <c r="A5" i="12"/>
  <c r="A41" i="17"/>
  <c r="C40" i="17"/>
  <c r="E11" i="13"/>
  <c r="C4" i="17"/>
  <c r="A5" i="17"/>
  <c r="Q19" i="17"/>
  <c r="G56" i="16"/>
  <c r="T38" i="16"/>
  <c r="U38" i="16"/>
  <c r="Z66" i="12" l="1"/>
  <c r="Z49" i="12"/>
  <c r="Z48" i="12"/>
  <c r="S48" i="12" s="1"/>
  <c r="Z33" i="12"/>
  <c r="Z32" i="12"/>
  <c r="Z31" i="12"/>
  <c r="S31" i="12" s="1"/>
  <c r="Z69" i="12"/>
  <c r="Z65" i="12"/>
  <c r="Z53" i="12"/>
  <c r="Z16" i="12"/>
  <c r="S16" i="12" s="1"/>
  <c r="T16" i="12" s="1"/>
  <c r="K16" i="12"/>
  <c r="B16" i="13" s="1"/>
  <c r="Z57" i="12"/>
  <c r="Z61" i="12"/>
  <c r="Z60" i="12"/>
  <c r="Z54" i="12"/>
  <c r="Z52" i="12"/>
  <c r="Z40" i="12"/>
  <c r="S40" i="12" s="1"/>
  <c r="Z37" i="12"/>
  <c r="Z39" i="12"/>
  <c r="Z36" i="12"/>
  <c r="Z38" i="12"/>
  <c r="Z25" i="12"/>
  <c r="S25" i="12" s="1"/>
  <c r="Z22" i="12"/>
  <c r="Z23" i="12"/>
  <c r="Z24" i="12"/>
  <c r="Z21" i="12"/>
  <c r="S21" i="12" s="1"/>
  <c r="F21" i="12"/>
  <c r="F22" i="12" s="1"/>
  <c r="F23" i="12" s="1"/>
  <c r="F24" i="12" s="1"/>
  <c r="F25" i="12" s="1"/>
  <c r="F26" i="12" s="1"/>
  <c r="F27" i="12" s="1"/>
  <c r="F28" i="12" s="1"/>
  <c r="F29" i="12" s="1"/>
  <c r="F30" i="12" s="1"/>
  <c r="Z18" i="12"/>
  <c r="F18" i="12"/>
  <c r="F19" i="12" s="1"/>
  <c r="Z15" i="12"/>
  <c r="K15" i="12"/>
  <c r="B15" i="13" s="1"/>
  <c r="Z41" i="12"/>
  <c r="Z64" i="12"/>
  <c r="Z63" i="12"/>
  <c r="Z30" i="12"/>
  <c r="G17" i="12"/>
  <c r="E17" i="12"/>
  <c r="Z56" i="12"/>
  <c r="Z51" i="12"/>
  <c r="Z50" i="12"/>
  <c r="S50" i="12" s="1"/>
  <c r="Z67" i="12"/>
  <c r="S67" i="12" s="1"/>
  <c r="Z68" i="12"/>
  <c r="Z43" i="12"/>
  <c r="Z42" i="12"/>
  <c r="Z45" i="12"/>
  <c r="S45" i="12" s="1"/>
  <c r="Z27" i="12"/>
  <c r="Z62" i="12"/>
  <c r="S62" i="12" s="1"/>
  <c r="Z47" i="12"/>
  <c r="Z19" i="12"/>
  <c r="G20" i="12"/>
  <c r="E20" i="12"/>
  <c r="V14" i="12"/>
  <c r="V20" i="12" s="1"/>
  <c r="Z29" i="12"/>
  <c r="Z26" i="12"/>
  <c r="Z20" i="12"/>
  <c r="S20" i="12" s="1"/>
  <c r="Z44" i="12"/>
  <c r="Z35" i="12"/>
  <c r="Z34" i="12"/>
  <c r="S34" i="12" s="1"/>
  <c r="Z28" i="12"/>
  <c r="Z17" i="12"/>
  <c r="Z14" i="12"/>
  <c r="S14" i="12" s="1"/>
  <c r="K14" i="12"/>
  <c r="B14" i="13" s="1"/>
  <c r="Z59" i="12"/>
  <c r="Z58" i="12"/>
  <c r="S58" i="12" s="1"/>
  <c r="M18" i="11"/>
  <c r="Z46" i="12"/>
  <c r="U227" i="16"/>
  <c r="S109" i="16"/>
  <c r="A34" i="18"/>
  <c r="C34" i="18" s="1"/>
  <c r="C33" i="18"/>
  <c r="P21" i="18"/>
  <c r="A43" i="18"/>
  <c r="C43" i="18" s="1"/>
  <c r="C42" i="18"/>
  <c r="A7" i="18"/>
  <c r="C7" i="18" s="1"/>
  <c r="C6" i="18"/>
  <c r="Q22" i="18" s="1"/>
  <c r="R21" i="18"/>
  <c r="C19" i="18"/>
  <c r="A20" i="18"/>
  <c r="C20" i="18" s="1"/>
  <c r="A26" i="18"/>
  <c r="C26" i="18" s="1"/>
  <c r="C25" i="18"/>
  <c r="C48" i="18"/>
  <c r="A49" i="18"/>
  <c r="C49" i="18" s="1"/>
  <c r="C20" i="11"/>
  <c r="H20" i="11" s="1"/>
  <c r="O25" i="17"/>
  <c r="C23" i="17"/>
  <c r="A24" i="17"/>
  <c r="A29" i="11"/>
  <c r="K11" i="12"/>
  <c r="B11" i="13" s="1"/>
  <c r="Z55" i="12"/>
  <c r="S55" i="12" s="1"/>
  <c r="C55" i="13"/>
  <c r="U11" i="12"/>
  <c r="Q11" i="11"/>
  <c r="K13" i="12"/>
  <c r="B13" i="13" s="1"/>
  <c r="Q13" i="11"/>
  <c r="V11" i="11"/>
  <c r="G13" i="11"/>
  <c r="S13" i="11"/>
  <c r="R11" i="11"/>
  <c r="H13" i="11"/>
  <c r="P11" i="11"/>
  <c r="I13" i="11"/>
  <c r="W11" i="11"/>
  <c r="Q12" i="11"/>
  <c r="P12" i="11"/>
  <c r="T12" i="11"/>
  <c r="S11" i="11"/>
  <c r="E13" i="11"/>
  <c r="F13" i="11"/>
  <c r="W12" i="11"/>
  <c r="P13" i="11"/>
  <c r="J13" i="11"/>
  <c r="V12" i="11"/>
  <c r="U12" i="11"/>
  <c r="Z13" i="12"/>
  <c r="S108" i="16"/>
  <c r="T227" i="16"/>
  <c r="Z11" i="12"/>
  <c r="S11" i="12" s="1"/>
  <c r="T11" i="12" s="1"/>
  <c r="W13" i="11"/>
  <c r="AC13" i="11"/>
  <c r="AC12" i="11"/>
  <c r="AC11" i="11"/>
  <c r="T13" i="11"/>
  <c r="R12" i="11"/>
  <c r="S12" i="11"/>
  <c r="V13" i="11"/>
  <c r="U13" i="11"/>
  <c r="R13" i="11"/>
  <c r="T11" i="11"/>
  <c r="R9" i="11"/>
  <c r="Q10" i="11"/>
  <c r="Q20" i="17"/>
  <c r="C18" i="17"/>
  <c r="A19" i="17"/>
  <c r="C41" i="17"/>
  <c r="A42" i="17"/>
  <c r="C33" i="17"/>
  <c r="A34" i="17"/>
  <c r="C34" i="17" s="1"/>
  <c r="C46" i="17"/>
  <c r="A47" i="17"/>
  <c r="C5" i="17"/>
  <c r="P21" i="17" s="1"/>
  <c r="A6" i="17"/>
  <c r="R20" i="17"/>
  <c r="P20" i="17"/>
  <c r="V31" i="12" l="1"/>
  <c r="V34" i="12" s="1"/>
  <c r="F31" i="12"/>
  <c r="F32" i="12" s="1"/>
  <c r="F33" i="12" s="1"/>
  <c r="E21" i="12"/>
  <c r="G21" i="12"/>
  <c r="G22" i="12" s="1"/>
  <c r="G23" i="12" s="1"/>
  <c r="G24" i="12" s="1"/>
  <c r="G25" i="12" s="1"/>
  <c r="G26" i="12" s="1"/>
  <c r="G27" i="12" s="1"/>
  <c r="G28" i="12" s="1"/>
  <c r="G29" i="12" s="1"/>
  <c r="G30" i="12" s="1"/>
  <c r="E18" i="12"/>
  <c r="E19" i="12" s="1"/>
  <c r="G18" i="12"/>
  <c r="G19" i="12" s="1"/>
  <c r="F34" i="12"/>
  <c r="F35" i="12" s="1"/>
  <c r="D17" i="12"/>
  <c r="C17" i="12"/>
  <c r="C18" i="12" s="1"/>
  <c r="F55" i="12"/>
  <c r="F56" i="12" s="1"/>
  <c r="F57" i="12" s="1"/>
  <c r="G55" i="12"/>
  <c r="G56" i="12" s="1"/>
  <c r="G57" i="12" s="1"/>
  <c r="P22" i="18"/>
  <c r="R26" i="18"/>
  <c r="R22" i="18"/>
  <c r="Q26" i="18"/>
  <c r="P26" i="18"/>
  <c r="F20" i="11"/>
  <c r="E20" i="11"/>
  <c r="G20" i="11"/>
  <c r="C24" i="17"/>
  <c r="A25" i="17"/>
  <c r="A32" i="11"/>
  <c r="L18" i="11"/>
  <c r="D13" i="11"/>
  <c r="S9" i="11"/>
  <c r="T9" i="11" s="1"/>
  <c r="U9" i="11" s="1"/>
  <c r="V9" i="11" s="1"/>
  <c r="W9" i="11" s="1"/>
  <c r="R10" i="11"/>
  <c r="C42" i="17"/>
  <c r="A43" i="17"/>
  <c r="C43" i="17" s="1"/>
  <c r="A48" i="17"/>
  <c r="C47" i="17"/>
  <c r="R21" i="17"/>
  <c r="Q21" i="17"/>
  <c r="C6" i="17"/>
  <c r="Q22" i="17" s="1"/>
  <c r="A7" i="17"/>
  <c r="C7" i="17" s="1"/>
  <c r="A20" i="17"/>
  <c r="C20" i="17" s="1"/>
  <c r="C19" i="17"/>
  <c r="G31" i="12" l="1"/>
  <c r="G32" i="12" s="1"/>
  <c r="G33" i="12" s="1"/>
  <c r="P22" i="17"/>
  <c r="Q26" i="17"/>
  <c r="F36" i="12"/>
  <c r="F37" i="12" s="1"/>
  <c r="F38" i="12" s="1"/>
  <c r="F39" i="12" s="1"/>
  <c r="F40" i="12" s="1"/>
  <c r="F41" i="12" s="1"/>
  <c r="E22" i="12"/>
  <c r="D18" i="12"/>
  <c r="K18" i="12" s="1"/>
  <c r="B18" i="13" s="1"/>
  <c r="G34" i="12"/>
  <c r="G35" i="12" s="1"/>
  <c r="E34" i="12"/>
  <c r="E35" i="12" s="1"/>
  <c r="C19" i="12"/>
  <c r="K17" i="12"/>
  <c r="B17" i="13" s="1"/>
  <c r="O26" i="18"/>
  <c r="V27" i="18" s="1"/>
  <c r="T16" i="18" s="1"/>
  <c r="O27" i="18"/>
  <c r="P26" i="17"/>
  <c r="R22" i="17"/>
  <c r="C25" i="17"/>
  <c r="A26" i="17"/>
  <c r="C26" i="17" s="1"/>
  <c r="A35" i="11"/>
  <c r="T10" i="11"/>
  <c r="V10" i="11" s="1"/>
  <c r="S10" i="11"/>
  <c r="U10" i="11" s="1"/>
  <c r="W10" i="11" s="1"/>
  <c r="R26" i="17"/>
  <c r="O26" i="17" s="1"/>
  <c r="C48" i="17"/>
  <c r="A49" i="17"/>
  <c r="C49" i="17" s="1"/>
  <c r="G36" i="12" l="1"/>
  <c r="G37" i="12" s="1"/>
  <c r="G38" i="12" s="1"/>
  <c r="G39" i="12" s="1"/>
  <c r="G40" i="12" s="1"/>
  <c r="G41" i="12" s="1"/>
  <c r="E36" i="12"/>
  <c r="E23" i="12"/>
  <c r="D19" i="12"/>
  <c r="D20" i="12" s="1"/>
  <c r="G50" i="12"/>
  <c r="G51" i="12" s="1"/>
  <c r="G52" i="12" s="1"/>
  <c r="F42" i="12"/>
  <c r="G45" i="12"/>
  <c r="F45" i="12"/>
  <c r="C20" i="12"/>
  <c r="C21" i="12" s="1"/>
  <c r="A38" i="11"/>
  <c r="V27" i="17"/>
  <c r="T16" i="17" s="1"/>
  <c r="O27" i="17"/>
  <c r="G53" i="12" l="1"/>
  <c r="G54" i="12" s="1"/>
  <c r="E37" i="12"/>
  <c r="E38" i="12" s="1"/>
  <c r="E39" i="12" s="1"/>
  <c r="E40" i="12" s="1"/>
  <c r="E24" i="12"/>
  <c r="C22" i="12"/>
  <c r="D21" i="12"/>
  <c r="D22" i="12" s="1"/>
  <c r="D23" i="12" s="1"/>
  <c r="D24" i="12" s="1"/>
  <c r="D25" i="12" s="1"/>
  <c r="D26" i="12" s="1"/>
  <c r="D27" i="12" s="1"/>
  <c r="D28" i="12" s="1"/>
  <c r="D29" i="12" s="1"/>
  <c r="D30" i="12" s="1"/>
  <c r="K20" i="12"/>
  <c r="B20" i="13" s="1"/>
  <c r="K19" i="12"/>
  <c r="B19" i="13" s="1"/>
  <c r="F43" i="12"/>
  <c r="F44" i="12" s="1"/>
  <c r="G42" i="12"/>
  <c r="F46" i="12"/>
  <c r="F47" i="12" s="1"/>
  <c r="F48" i="12" s="1"/>
  <c r="F49" i="12" s="1"/>
  <c r="G46" i="12"/>
  <c r="G47" i="12" s="1"/>
  <c r="G48" i="12" s="1"/>
  <c r="G49" i="12" s="1"/>
  <c r="A41" i="11"/>
  <c r="A44" i="11" s="1"/>
  <c r="D31" i="12" l="1"/>
  <c r="E41" i="12"/>
  <c r="E25" i="12"/>
  <c r="C23" i="12"/>
  <c r="K22" i="12"/>
  <c r="B22" i="13" s="1"/>
  <c r="K21" i="12"/>
  <c r="B21" i="13" s="1"/>
  <c r="F50" i="12"/>
  <c r="F51" i="12" s="1"/>
  <c r="F52" i="12" s="1"/>
  <c r="G43" i="12"/>
  <c r="G44" i="12" s="1"/>
  <c r="A47" i="11"/>
  <c r="G58" i="12"/>
  <c r="G59" i="12" s="1"/>
  <c r="G60" i="12" s="1"/>
  <c r="G61" i="12" s="1"/>
  <c r="F58" i="12"/>
  <c r="F59" i="12" s="1"/>
  <c r="F60" i="12" s="1"/>
  <c r="F61" i="12" s="1"/>
  <c r="D32" i="12" l="1"/>
  <c r="F53" i="12"/>
  <c r="F54" i="12" s="1"/>
  <c r="E42" i="12"/>
  <c r="E26" i="12"/>
  <c r="C24" i="12"/>
  <c r="K23" i="12"/>
  <c r="B23" i="13" s="1"/>
  <c r="A50" i="11"/>
  <c r="F62" i="12"/>
  <c r="G62" i="12"/>
  <c r="M21" i="11"/>
  <c r="C23" i="11"/>
  <c r="D33" i="12" l="1"/>
  <c r="E27" i="12"/>
  <c r="C25" i="12"/>
  <c r="K24" i="12"/>
  <c r="B24" i="13" s="1"/>
  <c r="G67" i="12"/>
  <c r="G68" i="12" s="1"/>
  <c r="G69" i="12" s="1"/>
  <c r="G63" i="12"/>
  <c r="G64" i="12" s="1"/>
  <c r="G65" i="12" s="1"/>
  <c r="G66" i="12" s="1"/>
  <c r="F67" i="12"/>
  <c r="F68" i="12" s="1"/>
  <c r="F69" i="12" s="1"/>
  <c r="F63" i="12"/>
  <c r="F64" i="12" s="1"/>
  <c r="F65" i="12" s="1"/>
  <c r="F66" i="12" s="1"/>
  <c r="A53" i="11"/>
  <c r="V45" i="12"/>
  <c r="V48" i="12" s="1"/>
  <c r="M24" i="11"/>
  <c r="C26" i="11"/>
  <c r="B20" i="11"/>
  <c r="G23" i="11"/>
  <c r="F23" i="11"/>
  <c r="H23" i="11"/>
  <c r="E23" i="11"/>
  <c r="E43" i="12" l="1"/>
  <c r="E44" i="12" s="1"/>
  <c r="K25" i="12"/>
  <c r="B25" i="13" s="1"/>
  <c r="C26" i="12"/>
  <c r="B23" i="11"/>
  <c r="F26" i="11"/>
  <c r="H26" i="11"/>
  <c r="E26" i="11"/>
  <c r="G26" i="11"/>
  <c r="E28" i="12" l="1"/>
  <c r="C27" i="12"/>
  <c r="K26" i="12"/>
  <c r="B26" i="13" s="1"/>
  <c r="D34" i="12"/>
  <c r="I31" i="12" s="1"/>
  <c r="M27" i="11"/>
  <c r="C29" i="11"/>
  <c r="B26" i="11" s="1"/>
  <c r="M30" i="11"/>
  <c r="C32" i="11"/>
  <c r="C35" i="11"/>
  <c r="M33" i="11"/>
  <c r="E29" i="12" l="1"/>
  <c r="E30" i="12" s="1"/>
  <c r="K27" i="12"/>
  <c r="B27" i="13" s="1"/>
  <c r="D35" i="12"/>
  <c r="F29" i="11"/>
  <c r="F32" i="11" s="1"/>
  <c r="F35" i="11" s="1"/>
  <c r="J26" i="11" s="1"/>
  <c r="E29" i="11"/>
  <c r="H29" i="11"/>
  <c r="G29" i="11"/>
  <c r="B29" i="11"/>
  <c r="H35" i="11"/>
  <c r="G35" i="11"/>
  <c r="H32" i="11"/>
  <c r="G32" i="11"/>
  <c r="B32" i="11"/>
  <c r="D36" i="12" l="1"/>
  <c r="D37" i="12" s="1"/>
  <c r="D38" i="12" s="1"/>
  <c r="D39" i="12" s="1"/>
  <c r="D40" i="12" s="1"/>
  <c r="D41" i="12" s="1"/>
  <c r="D42" i="12" s="1"/>
  <c r="E31" i="12"/>
  <c r="E32" i="12" s="1"/>
  <c r="E33" i="12" s="1"/>
  <c r="C28" i="12"/>
  <c r="E32" i="11"/>
  <c r="E35" i="11" s="1"/>
  <c r="V50" i="12" l="1"/>
  <c r="V55" i="12" s="1"/>
  <c r="V58" i="12" s="1"/>
  <c r="V62" i="12" s="1"/>
  <c r="V67" i="12" s="1"/>
  <c r="M36" i="11"/>
  <c r="C29" i="12"/>
  <c r="K28" i="12"/>
  <c r="B28" i="13" s="1"/>
  <c r="D43" i="12"/>
  <c r="D44" i="12" s="1"/>
  <c r="J23" i="11"/>
  <c r="E55" i="12"/>
  <c r="E56" i="12" s="1"/>
  <c r="E57" i="12" s="1"/>
  <c r="C38" i="11" l="1"/>
  <c r="F38" i="11" s="1"/>
  <c r="C41" i="11"/>
  <c r="G41" i="11" s="1"/>
  <c r="M39" i="11"/>
  <c r="C44" i="11"/>
  <c r="G44" i="11" s="1"/>
  <c r="M42" i="11"/>
  <c r="K29" i="12"/>
  <c r="B29" i="13" s="1"/>
  <c r="C30" i="12"/>
  <c r="C31" i="12" s="1"/>
  <c r="M45" i="11"/>
  <c r="C47" i="11"/>
  <c r="H47" i="11" s="1"/>
  <c r="M48" i="11"/>
  <c r="C50" i="11"/>
  <c r="G50" i="11" s="1"/>
  <c r="C53" i="11"/>
  <c r="M51" i="11"/>
  <c r="E45" i="12"/>
  <c r="G38" i="11" l="1"/>
  <c r="H38" i="11"/>
  <c r="E38" i="11"/>
  <c r="E41" i="11" s="1"/>
  <c r="E44" i="11" s="1"/>
  <c r="E47" i="11" s="1"/>
  <c r="E50" i="11" s="1"/>
  <c r="E53" i="11" s="1"/>
  <c r="B35" i="11"/>
  <c r="H35" i="12"/>
  <c r="H40" i="12"/>
  <c r="C32" i="12"/>
  <c r="K31" i="12"/>
  <c r="B31" i="13" s="1"/>
  <c r="K30" i="12"/>
  <c r="B30" i="13" s="1"/>
  <c r="H44" i="11"/>
  <c r="H41" i="11"/>
  <c r="B38" i="11"/>
  <c r="F41" i="11"/>
  <c r="F44" i="11" s="1"/>
  <c r="F47" i="11" s="1"/>
  <c r="J44" i="11" s="1"/>
  <c r="B41" i="11"/>
  <c r="B44" i="11"/>
  <c r="W42" i="11" s="1"/>
  <c r="G47" i="11"/>
  <c r="B47" i="11"/>
  <c r="W45" i="11" s="1"/>
  <c r="B50" i="11"/>
  <c r="V48" i="11" s="1"/>
  <c r="H50" i="11"/>
  <c r="G53" i="11"/>
  <c r="H53" i="11"/>
  <c r="B53" i="11"/>
  <c r="V51" i="11" s="1"/>
  <c r="E46" i="12"/>
  <c r="E47" i="12" s="1"/>
  <c r="E48" i="12" s="1"/>
  <c r="E49" i="12" s="1"/>
  <c r="I20" i="12"/>
  <c r="C33" i="12" l="1"/>
  <c r="K32" i="12"/>
  <c r="B32" i="13" s="1"/>
  <c r="V42" i="11"/>
  <c r="P43" i="11"/>
  <c r="Q43" i="11" s="1"/>
  <c r="R43" i="11" s="1"/>
  <c r="S43" i="11" s="1"/>
  <c r="T43" i="11" s="1"/>
  <c r="U43" i="11" s="1"/>
  <c r="P46" i="11"/>
  <c r="Q46" i="11" s="1"/>
  <c r="R46" i="11" s="1"/>
  <c r="S46" i="11" s="1"/>
  <c r="T46" i="11" s="1"/>
  <c r="AC42" i="11"/>
  <c r="AC43" i="11" s="1"/>
  <c r="W48" i="11"/>
  <c r="AC45" i="11"/>
  <c r="AC46" i="11" s="1"/>
  <c r="P49" i="11"/>
  <c r="Q49" i="11" s="1"/>
  <c r="R49" i="11" s="1"/>
  <c r="S49" i="11" s="1"/>
  <c r="T49" i="11" s="1"/>
  <c r="U49" i="11" s="1"/>
  <c r="V49" i="11" s="1"/>
  <c r="AC48" i="11"/>
  <c r="AC49" i="11" s="1"/>
  <c r="V45" i="11"/>
  <c r="F50" i="11"/>
  <c r="J47" i="11" s="1"/>
  <c r="E50" i="12"/>
  <c r="E51" i="12" s="1"/>
  <c r="E52" i="12" s="1"/>
  <c r="AC51" i="11"/>
  <c r="AC52" i="11" s="1"/>
  <c r="P52" i="11"/>
  <c r="W51" i="11"/>
  <c r="K33" i="12" l="1"/>
  <c r="B33" i="13" s="1"/>
  <c r="E53" i="12"/>
  <c r="E54" i="12" s="1"/>
  <c r="F53" i="11"/>
  <c r="J50" i="11" s="1"/>
  <c r="Q52" i="11"/>
  <c r="R52" i="11" s="1"/>
  <c r="S52" i="11" s="1"/>
  <c r="U46" i="11"/>
  <c r="W49" i="11"/>
  <c r="V43" i="11"/>
  <c r="W43" i="11" l="1"/>
  <c r="T52" i="11"/>
  <c r="V46" i="11"/>
  <c r="D45" i="12" l="1"/>
  <c r="I34" i="12" s="1"/>
  <c r="U52" i="11"/>
  <c r="W46" i="11"/>
  <c r="J29" i="11"/>
  <c r="J38" i="11"/>
  <c r="J32" i="11"/>
  <c r="J35" i="11"/>
  <c r="I20" i="11"/>
  <c r="J20" i="11"/>
  <c r="D46" i="12" l="1"/>
  <c r="D47" i="12" s="1"/>
  <c r="D48" i="12" s="1"/>
  <c r="V52" i="11"/>
  <c r="J41" i="11"/>
  <c r="D20" i="11"/>
  <c r="D49" i="12" l="1"/>
  <c r="J53" i="11"/>
  <c r="W52" i="11"/>
  <c r="L21" i="11"/>
  <c r="I47" i="11" l="1"/>
  <c r="D47" i="11" s="1"/>
  <c r="I50" i="11"/>
  <c r="D50" i="11" s="1"/>
  <c r="I41" i="11"/>
  <c r="D41" i="11" s="1"/>
  <c r="I38" i="11"/>
  <c r="D38" i="11" s="1"/>
  <c r="I53" i="11"/>
  <c r="D53" i="11" s="1"/>
  <c r="I32" i="11"/>
  <c r="D32" i="11" s="1"/>
  <c r="I35" i="11"/>
  <c r="D35" i="11" s="1"/>
  <c r="I26" i="11"/>
  <c r="D26" i="11" s="1"/>
  <c r="I29" i="11"/>
  <c r="D29" i="11" s="1"/>
  <c r="I44" i="11"/>
  <c r="D44" i="11" s="1"/>
  <c r="I23" i="11"/>
  <c r="D23" i="11" s="1"/>
  <c r="L24" i="11" l="1"/>
  <c r="E58" i="12" l="1"/>
  <c r="E59" i="12" s="1"/>
  <c r="E60" i="12" s="1"/>
  <c r="E61" i="12" s="1"/>
  <c r="E62" i="12" l="1"/>
  <c r="E67" i="12" l="1"/>
  <c r="E68" i="12" s="1"/>
  <c r="E69" i="12" s="1"/>
  <c r="E63" i="12"/>
  <c r="E64" i="12" s="1"/>
  <c r="E65" i="12" s="1"/>
  <c r="E66" i="12" s="1"/>
  <c r="I40" i="12" l="1"/>
  <c r="B40" i="12" s="1"/>
  <c r="I35" i="12"/>
  <c r="B35" i="12" s="1"/>
  <c r="H25" i="12"/>
  <c r="I25" i="12"/>
  <c r="H21" i="12"/>
  <c r="I21" i="12"/>
  <c r="B25" i="12" l="1"/>
  <c r="B21" i="12"/>
  <c r="C34" i="12"/>
  <c r="K34" i="12" l="1"/>
  <c r="C35" i="12"/>
  <c r="B34" i="13" l="1"/>
  <c r="L27" i="11"/>
  <c r="C36" i="12"/>
  <c r="K35" i="12"/>
  <c r="B35" i="13" s="1"/>
  <c r="C37" i="12" l="1"/>
  <c r="K36" i="12"/>
  <c r="B36" i="13" s="1"/>
  <c r="D50" i="12"/>
  <c r="I45" i="12" l="1"/>
  <c r="I48" i="12"/>
  <c r="K37" i="12"/>
  <c r="B37" i="13" s="1"/>
  <c r="C38" i="12"/>
  <c r="K38" i="12" l="1"/>
  <c r="B38" i="13" s="1"/>
  <c r="C39" i="12"/>
  <c r="D51" i="12"/>
  <c r="D52" i="12" l="1"/>
  <c r="D53" i="12" s="1"/>
  <c r="D54" i="12" s="1"/>
  <c r="C40" i="12"/>
  <c r="K39" i="12"/>
  <c r="B39" i="13" s="1"/>
  <c r="K40" i="12" l="1"/>
  <c r="B40" i="13" s="1"/>
  <c r="C41" i="12"/>
  <c r="D55" i="12"/>
  <c r="K41" i="12" l="1"/>
  <c r="B41" i="13" s="1"/>
  <c r="C42" i="12"/>
  <c r="D56" i="12"/>
  <c r="D57" i="12" s="1"/>
  <c r="I50" i="12"/>
  <c r="K42" i="12" l="1"/>
  <c r="B42" i="13" s="1"/>
  <c r="C43" i="12" l="1"/>
  <c r="S27" i="11"/>
  <c r="V27" i="11"/>
  <c r="U36" i="11"/>
  <c r="T27" i="11"/>
  <c r="P28" i="11"/>
  <c r="P36" i="11"/>
  <c r="P37" i="11" s="1"/>
  <c r="W27" i="11"/>
  <c r="U27" i="11"/>
  <c r="W36" i="11"/>
  <c r="V36" i="11"/>
  <c r="AC27" i="11"/>
  <c r="AC28" i="11" s="1"/>
  <c r="AC36" i="11"/>
  <c r="AC37" i="11" s="1"/>
  <c r="P25" i="11"/>
  <c r="K43" i="12" l="1"/>
  <c r="B43" i="13" s="1"/>
  <c r="C44" i="12"/>
  <c r="D58" i="12"/>
  <c r="Q28" i="11"/>
  <c r="Q37" i="11"/>
  <c r="K44" i="12" l="1"/>
  <c r="B44" i="13" s="1"/>
  <c r="D59" i="12"/>
  <c r="D60" i="12" s="1"/>
  <c r="D61" i="12" s="1"/>
  <c r="I55" i="12"/>
  <c r="R28" i="11"/>
  <c r="R37" i="11"/>
  <c r="S28" i="11" l="1"/>
  <c r="S37" i="11"/>
  <c r="D62" i="12" l="1"/>
  <c r="T28" i="11"/>
  <c r="T37" i="11"/>
  <c r="D63" i="12" l="1"/>
  <c r="I58" i="12"/>
  <c r="U28" i="11"/>
  <c r="U37" i="11"/>
  <c r="L30" i="11" l="1"/>
  <c r="D64" i="12"/>
  <c r="D65" i="12" s="1"/>
  <c r="D66" i="12" s="1"/>
  <c r="V28" i="11"/>
  <c r="V37" i="11"/>
  <c r="D67" i="12" l="1"/>
  <c r="W28" i="11"/>
  <c r="W37" i="11"/>
  <c r="V24" i="11"/>
  <c r="U24" i="11"/>
  <c r="T24" i="11"/>
  <c r="S24" i="11"/>
  <c r="R24" i="11"/>
  <c r="Q25" i="11"/>
  <c r="V33" i="11"/>
  <c r="U33" i="11"/>
  <c r="T33" i="11"/>
  <c r="S33" i="11"/>
  <c r="P34" i="11"/>
  <c r="W24" i="11"/>
  <c r="W33" i="11"/>
  <c r="AC24" i="11"/>
  <c r="AC25" i="11" s="1"/>
  <c r="AC33" i="11"/>
  <c r="AC34" i="11" s="1"/>
  <c r="D68" i="12" l="1"/>
  <c r="I62" i="12"/>
  <c r="Q34" i="11"/>
  <c r="R25" i="11"/>
  <c r="D69" i="12" l="1"/>
  <c r="H48" i="12" s="1"/>
  <c r="B48" i="12" s="1"/>
  <c r="S25" i="11"/>
  <c r="R34" i="11"/>
  <c r="S34" i="11" s="1"/>
  <c r="H31" i="12" l="1"/>
  <c r="B31" i="12" s="1"/>
  <c r="I67" i="12"/>
  <c r="T25" i="11"/>
  <c r="U25" i="11" s="1"/>
  <c r="T34" i="11"/>
  <c r="C45" i="12" l="1"/>
  <c r="U34" i="11"/>
  <c r="V25" i="11"/>
  <c r="H45" i="12" l="1"/>
  <c r="B45" i="12" s="1"/>
  <c r="C46" i="12"/>
  <c r="K45" i="12"/>
  <c r="W25" i="11"/>
  <c r="V34" i="11"/>
  <c r="T30" i="11"/>
  <c r="L33" i="11" l="1"/>
  <c r="H20" i="12"/>
  <c r="B20" i="12" s="1"/>
  <c r="H62" i="12"/>
  <c r="B62" i="12" s="1"/>
  <c r="H50" i="12"/>
  <c r="B50" i="12" s="1"/>
  <c r="H34" i="12"/>
  <c r="B34" i="12" s="1"/>
  <c r="H58" i="12"/>
  <c r="B58" i="12" s="1"/>
  <c r="H55" i="12"/>
  <c r="B55" i="12" s="1"/>
  <c r="H67" i="12"/>
  <c r="B67" i="12" s="1"/>
  <c r="B45" i="13"/>
  <c r="K46" i="12"/>
  <c r="B46" i="13" s="1"/>
  <c r="C47" i="12"/>
  <c r="C48" i="12" s="1"/>
  <c r="W34" i="11"/>
  <c r="C49" i="12" l="1"/>
  <c r="K49" i="12" s="1"/>
  <c r="B49" i="13" s="1"/>
  <c r="K48" i="12"/>
  <c r="B48" i="13" s="1"/>
  <c r="K47" i="12"/>
  <c r="B47" i="13" s="1"/>
  <c r="H14" i="12"/>
  <c r="I14" i="12"/>
  <c r="B14" i="12" l="1"/>
  <c r="W30" i="11"/>
  <c r="V30" i="11"/>
  <c r="U30" i="11"/>
  <c r="P31" i="11"/>
  <c r="AC30" i="11"/>
  <c r="AC31" i="11" s="1"/>
  <c r="Q31" i="11" l="1"/>
  <c r="R31" i="11" s="1"/>
  <c r="S31" i="11" s="1"/>
  <c r="T31" i="11" l="1"/>
  <c r="U31" i="11" l="1"/>
  <c r="V31" i="11" l="1"/>
  <c r="W31" i="11" l="1"/>
  <c r="W39" i="11" l="1"/>
  <c r="V39" i="11"/>
  <c r="P39" i="11"/>
  <c r="P40" i="11" s="1"/>
  <c r="AC39" i="11"/>
  <c r="AC40" i="11" s="1"/>
  <c r="Q40" i="11" l="1"/>
  <c r="R40" i="11" s="1"/>
  <c r="S40" i="11" l="1"/>
  <c r="T40" i="11" l="1"/>
  <c r="U40" i="11" l="1"/>
  <c r="V40" i="11" l="1"/>
  <c r="W40" i="11" l="1"/>
  <c r="R21" i="11" l="1"/>
  <c r="Q21" i="11"/>
  <c r="AC21" i="11"/>
  <c r="AC22" i="11" s="1"/>
  <c r="W21" i="11"/>
  <c r="V21" i="11" l="1"/>
  <c r="U21" i="11"/>
  <c r="T21" i="11"/>
  <c r="S21" i="11"/>
  <c r="P22" i="11"/>
  <c r="Q22" i="11" l="1"/>
  <c r="R22" i="11" s="1"/>
  <c r="S22" i="11" l="1"/>
  <c r="T22" i="11" l="1"/>
  <c r="U22" i="11" l="1"/>
  <c r="V22" i="11" s="1"/>
  <c r="W22" i="11" l="1"/>
  <c r="C50" i="12" l="1"/>
  <c r="K50" i="12" l="1"/>
  <c r="L36" i="11" l="1"/>
  <c r="C51" i="12"/>
  <c r="C52" i="12" s="1"/>
  <c r="C53" i="12" s="1"/>
  <c r="K53" i="12" s="1"/>
  <c r="B53" i="13" s="1"/>
  <c r="B50" i="13"/>
  <c r="K52" i="12" l="1"/>
  <c r="B52" i="13" s="1"/>
  <c r="K51" i="12"/>
  <c r="B51" i="13" s="1"/>
  <c r="C54" i="12" l="1"/>
  <c r="K54" i="12" s="1"/>
  <c r="B54" i="13" s="1"/>
  <c r="C55" i="12" l="1"/>
  <c r="C56" i="12" s="1"/>
  <c r="C57" i="12" s="1"/>
  <c r="K57" i="12" l="1"/>
  <c r="B57" i="13" s="1"/>
  <c r="K55" i="12"/>
  <c r="L39" i="11" s="1"/>
  <c r="K56" i="12"/>
  <c r="B56" i="13" s="1"/>
  <c r="B55" i="13" l="1"/>
  <c r="C58" i="12"/>
  <c r="C59" i="12" l="1"/>
  <c r="C60" i="12" s="1"/>
  <c r="K58" i="12"/>
  <c r="L42" i="11" l="1"/>
  <c r="K60" i="12"/>
  <c r="B60" i="13" s="1"/>
  <c r="C61" i="12"/>
  <c r="K61" i="12" s="1"/>
  <c r="B61" i="13" s="1"/>
  <c r="B58" i="13"/>
  <c r="K59" i="12"/>
  <c r="B59" i="13" s="1"/>
  <c r="C62" i="12" l="1"/>
  <c r="K62" i="12" l="1"/>
  <c r="C63" i="12"/>
  <c r="L45" i="11" l="1"/>
  <c r="K63" i="12"/>
  <c r="B63" i="13" s="1"/>
  <c r="B62" i="13"/>
  <c r="C64" i="12" l="1"/>
  <c r="C65" i="12" s="1"/>
  <c r="K65" i="12" l="1"/>
  <c r="B65" i="13" s="1"/>
  <c r="C66" i="12"/>
  <c r="K66" i="12" s="1"/>
  <c r="B66" i="13" s="1"/>
  <c r="K64" i="12"/>
  <c r="B64" i="13" s="1"/>
  <c r="C67" i="12" l="1"/>
  <c r="C68" i="12" s="1"/>
  <c r="C69" i="12" s="1"/>
  <c r="K69" i="12" s="1"/>
  <c r="B69" i="13" s="1"/>
  <c r="K67" i="12" l="1"/>
  <c r="L51" i="11" s="1"/>
  <c r="L48" i="11"/>
  <c r="K68" i="12"/>
  <c r="B68" i="13" s="1"/>
  <c r="B67" i="13" l="1"/>
  <c r="I13" i="12"/>
  <c r="H13" i="12"/>
  <c r="B13" i="12" l="1"/>
  <c r="B12" i="12" s="1"/>
  <c r="X35" i="12"/>
  <c r="S68" i="12" l="1"/>
  <c r="T68" i="12" s="1"/>
  <c r="D35" i="13" l="1"/>
  <c r="C35" i="13"/>
  <c r="S35" i="12"/>
  <c r="X24" i="12" l="1"/>
  <c r="X29" i="12"/>
  <c r="X44" i="12"/>
  <c r="X51" i="12"/>
  <c r="X52" i="12"/>
  <c r="X60" i="12"/>
  <c r="X68" i="12"/>
  <c r="X61" i="12"/>
  <c r="X36" i="12"/>
  <c r="X41" i="12"/>
  <c r="X56" i="12"/>
  <c r="X37" i="12"/>
  <c r="X57" i="12"/>
  <c r="X54" i="12"/>
  <c r="X32" i="12"/>
  <c r="C29" i="13" l="1"/>
  <c r="D29" i="13"/>
  <c r="D44" i="13"/>
  <c r="D24" i="13"/>
  <c r="C44" i="13"/>
  <c r="X26" i="12"/>
  <c r="X17" i="12"/>
  <c r="X16" i="12"/>
  <c r="X33" i="12"/>
  <c r="X22" i="12"/>
  <c r="X63" i="12"/>
  <c r="X53" i="12"/>
  <c r="X15" i="12"/>
  <c r="X65" i="12"/>
  <c r="X39" i="12"/>
  <c r="X42" i="12"/>
  <c r="X43" i="12"/>
  <c r="X59" i="12"/>
  <c r="X30" i="12"/>
  <c r="X28" i="12"/>
  <c r="X18" i="12"/>
  <c r="X69" i="12"/>
  <c r="X23" i="12"/>
  <c r="X47" i="12"/>
  <c r="X49" i="12"/>
  <c r="X27" i="12"/>
  <c r="X19" i="12"/>
  <c r="X38" i="12"/>
  <c r="X46" i="12"/>
  <c r="X66" i="12"/>
  <c r="X64" i="12"/>
  <c r="C24" i="13" l="1"/>
  <c r="C52" i="13"/>
  <c r="D68" i="13"/>
  <c r="D36" i="13"/>
  <c r="C56" i="13"/>
  <c r="D57" i="13"/>
  <c r="C32" i="13"/>
  <c r="D60" i="13"/>
  <c r="D61" i="13"/>
  <c r="D41" i="13"/>
  <c r="D37" i="13"/>
  <c r="C54" i="13"/>
  <c r="D51" i="13"/>
  <c r="C60" i="13"/>
  <c r="C61" i="13"/>
  <c r="C41" i="13"/>
  <c r="C37" i="13"/>
  <c r="D54" i="13"/>
  <c r="C51" i="13"/>
  <c r="C68" i="13"/>
  <c r="C36" i="13"/>
  <c r="D56" i="13"/>
  <c r="C57" i="13"/>
  <c r="D32" i="13"/>
  <c r="C17" i="13" l="1"/>
  <c r="S33" i="12"/>
  <c r="T33" i="12" s="1"/>
  <c r="U33" i="12" s="1"/>
  <c r="C63" i="13"/>
  <c r="D15" i="13"/>
  <c r="D39" i="13"/>
  <c r="C43" i="13"/>
  <c r="C30" i="13"/>
  <c r="S18" i="12"/>
  <c r="T18" i="12" s="1"/>
  <c r="U18" i="12" s="1"/>
  <c r="D23" i="13"/>
  <c r="C49" i="13"/>
  <c r="S19" i="12"/>
  <c r="T19" i="12" s="1"/>
  <c r="U19" i="12" s="1"/>
  <c r="D46" i="13"/>
  <c r="C64" i="13"/>
  <c r="D17" i="13"/>
  <c r="C33" i="13"/>
  <c r="S63" i="12"/>
  <c r="T63" i="12" s="1"/>
  <c r="C15" i="13"/>
  <c r="C39" i="13"/>
  <c r="D43" i="13"/>
  <c r="D30" i="13"/>
  <c r="C18" i="13"/>
  <c r="S23" i="12"/>
  <c r="T23" i="12" s="1"/>
  <c r="U23" i="12" s="1"/>
  <c r="S49" i="12"/>
  <c r="T49" i="12" s="1"/>
  <c r="T48" i="12" s="1"/>
  <c r="C19" i="13"/>
  <c r="C46" i="13"/>
  <c r="S64" i="12"/>
  <c r="T64" i="12" s="1"/>
  <c r="U64" i="12" s="1"/>
  <c r="S17" i="12"/>
  <c r="T17" i="12" s="1"/>
  <c r="U17" i="12" s="1"/>
  <c r="D33" i="13"/>
  <c r="D63" i="13"/>
  <c r="S15" i="12"/>
  <c r="T15" i="12" s="1"/>
  <c r="S39" i="12"/>
  <c r="T39" i="12" s="1"/>
  <c r="U39" i="12" s="1"/>
  <c r="S43" i="12"/>
  <c r="T43" i="12" s="1"/>
  <c r="U43" i="12" s="1"/>
  <c r="S30" i="12"/>
  <c r="T30" i="12" s="1"/>
  <c r="U30" i="12" s="1"/>
  <c r="D18" i="13"/>
  <c r="C23" i="13"/>
  <c r="D49" i="13"/>
  <c r="D19" i="13"/>
  <c r="S46" i="12"/>
  <c r="T46" i="12" s="1"/>
  <c r="U46" i="12" s="1"/>
  <c r="D64" i="13"/>
  <c r="C26" i="13"/>
  <c r="U16" i="12"/>
  <c r="C16" i="13"/>
  <c r="S22" i="12"/>
  <c r="T22" i="12" s="1"/>
  <c r="U22" i="12" s="1"/>
  <c r="C53" i="13"/>
  <c r="C65" i="13"/>
  <c r="D42" i="13"/>
  <c r="S59" i="12"/>
  <c r="T59" i="12" s="1"/>
  <c r="U59" i="12" s="1"/>
  <c r="C28" i="13"/>
  <c r="S69" i="12"/>
  <c r="T69" i="12" s="1"/>
  <c r="T67" i="12" s="1"/>
  <c r="D47" i="13"/>
  <c r="S27" i="12"/>
  <c r="T27" i="12" s="1"/>
  <c r="U27" i="12" s="1"/>
  <c r="D38" i="13"/>
  <c r="S66" i="12"/>
  <c r="T66" i="12" s="1"/>
  <c r="U66" i="12" s="1"/>
  <c r="S26" i="12"/>
  <c r="T26" i="12" s="1"/>
  <c r="D16" i="13"/>
  <c r="C22" i="13"/>
  <c r="D53" i="13"/>
  <c r="D65" i="13"/>
  <c r="C42" i="13"/>
  <c r="D59" i="13"/>
  <c r="D28" i="13"/>
  <c r="C69" i="13"/>
  <c r="C47" i="13"/>
  <c r="D27" i="13"/>
  <c r="C38" i="13"/>
  <c r="C66" i="13"/>
  <c r="D26" i="13"/>
  <c r="D22" i="13"/>
  <c r="S53" i="12"/>
  <c r="T53" i="12" s="1"/>
  <c r="U53" i="12" s="1"/>
  <c r="S65" i="12"/>
  <c r="T65" i="12" s="1"/>
  <c r="U65" i="12" s="1"/>
  <c r="S42" i="12"/>
  <c r="T42" i="12" s="1"/>
  <c r="U42" i="12" s="1"/>
  <c r="C59" i="13"/>
  <c r="S28" i="12"/>
  <c r="T28" i="12" s="1"/>
  <c r="U28" i="12" s="1"/>
  <c r="D69" i="13"/>
  <c r="S47" i="12"/>
  <c r="T47" i="12" s="1"/>
  <c r="U47" i="12" s="1"/>
  <c r="C27" i="13"/>
  <c r="S38" i="12"/>
  <c r="T38" i="12" s="1"/>
  <c r="U38" i="12" s="1"/>
  <c r="D66" i="13"/>
  <c r="U69" i="12" l="1"/>
  <c r="S60" i="12"/>
  <c r="T60" i="12" s="1"/>
  <c r="U60" i="12" s="1"/>
  <c r="U68" i="12"/>
  <c r="T45" i="12"/>
  <c r="U63" i="12"/>
  <c r="T62" i="12"/>
  <c r="U49" i="12"/>
  <c r="U67" i="12"/>
  <c r="K53" i="11"/>
  <c r="N51" i="11" s="1"/>
  <c r="U26" i="12"/>
  <c r="T14" i="12"/>
  <c r="K38" i="11"/>
  <c r="N36" i="11" s="1"/>
  <c r="U48" i="12"/>
  <c r="U15" i="12"/>
  <c r="S61" i="12" l="1"/>
  <c r="T61" i="12" s="1"/>
  <c r="U61" i="12" s="1"/>
  <c r="S32" i="12"/>
  <c r="T32" i="12" s="1"/>
  <c r="S56" i="12"/>
  <c r="T56" i="12" s="1"/>
  <c r="S36" i="12"/>
  <c r="T36" i="12" s="1"/>
  <c r="S51" i="12"/>
  <c r="T51" i="12" s="1"/>
  <c r="S24" i="12"/>
  <c r="T24" i="12" s="1"/>
  <c r="S57" i="12"/>
  <c r="T57" i="12" s="1"/>
  <c r="U57" i="12" s="1"/>
  <c r="S54" i="12"/>
  <c r="T54" i="12" s="1"/>
  <c r="U54" i="12" s="1"/>
  <c r="K50" i="11"/>
  <c r="N48" i="11" s="1"/>
  <c r="U62" i="12"/>
  <c r="U45" i="12"/>
  <c r="K35" i="11"/>
  <c r="N33" i="11" s="1"/>
  <c r="AC53" i="11"/>
  <c r="S53" i="11"/>
  <c r="R53" i="11"/>
  <c r="W53" i="11"/>
  <c r="V53" i="11"/>
  <c r="P53" i="11"/>
  <c r="Q53" i="11"/>
  <c r="U53" i="11"/>
  <c r="T53" i="11"/>
  <c r="Q38" i="11"/>
  <c r="U38" i="11"/>
  <c r="P38" i="11"/>
  <c r="V38" i="11"/>
  <c r="S38" i="11"/>
  <c r="W38" i="11"/>
  <c r="R38" i="11"/>
  <c r="T38" i="11"/>
  <c r="AC38" i="11"/>
  <c r="U14" i="12"/>
  <c r="K23" i="11"/>
  <c r="N21" i="11" s="1"/>
  <c r="S41" i="12" l="1"/>
  <c r="T41" i="12" s="1"/>
  <c r="T40" i="12" s="1"/>
  <c r="U40" i="12" s="1"/>
  <c r="S29" i="12"/>
  <c r="T29" i="12" s="1"/>
  <c r="T20" i="12" s="1"/>
  <c r="S44" i="12"/>
  <c r="T44" i="12" s="1"/>
  <c r="U44" i="12" s="1"/>
  <c r="S37" i="12"/>
  <c r="T37" i="12" s="1"/>
  <c r="U37" i="12" s="1"/>
  <c r="S52" i="12"/>
  <c r="T52" i="12" s="1"/>
  <c r="U52" i="12" s="1"/>
  <c r="T58" i="12"/>
  <c r="K47" i="11" s="1"/>
  <c r="N45" i="11" s="1"/>
  <c r="S23" i="11"/>
  <c r="W23" i="11"/>
  <c r="U23" i="11"/>
  <c r="AC23" i="11"/>
  <c r="R23" i="11"/>
  <c r="Q23" i="11"/>
  <c r="P23" i="11"/>
  <c r="T23" i="11"/>
  <c r="V23" i="11"/>
  <c r="R35" i="11"/>
  <c r="T35" i="11"/>
  <c r="W35" i="11"/>
  <c r="U35" i="11"/>
  <c r="Q35" i="11"/>
  <c r="P35" i="11"/>
  <c r="S35" i="11"/>
  <c r="V35" i="11"/>
  <c r="AC35" i="11"/>
  <c r="T55" i="12"/>
  <c r="U56" i="12"/>
  <c r="T31" i="12"/>
  <c r="U32" i="12"/>
  <c r="U24" i="12"/>
  <c r="T21" i="12"/>
  <c r="U21" i="12" s="1"/>
  <c r="Q50" i="11"/>
  <c r="AC50" i="11"/>
  <c r="P50" i="11"/>
  <c r="W50" i="11"/>
  <c r="V50" i="11"/>
  <c r="U50" i="11"/>
  <c r="R50" i="11"/>
  <c r="S50" i="11"/>
  <c r="T50" i="11"/>
  <c r="U51" i="12"/>
  <c r="U36" i="12"/>
  <c r="U58" i="12" l="1"/>
  <c r="U41" i="12"/>
  <c r="T35" i="12"/>
  <c r="U35" i="12" s="1"/>
  <c r="T34" i="12"/>
  <c r="U34" i="12" s="1"/>
  <c r="U29" i="12"/>
  <c r="T12" i="12"/>
  <c r="N14" i="11" s="1"/>
  <c r="T50" i="12"/>
  <c r="U50" i="12" s="1"/>
  <c r="T13" i="12"/>
  <c r="K20" i="11" s="1"/>
  <c r="N18" i="11" s="1"/>
  <c r="T25" i="12"/>
  <c r="U25" i="12" s="1"/>
  <c r="T47" i="11"/>
  <c r="P47" i="11"/>
  <c r="Q47" i="11"/>
  <c r="W47" i="11"/>
  <c r="R47" i="11"/>
  <c r="AC47" i="11"/>
  <c r="S47" i="11"/>
  <c r="V47" i="11"/>
  <c r="U47" i="11"/>
  <c r="K41" i="11"/>
  <c r="N39" i="11" s="1"/>
  <c r="K26" i="11"/>
  <c r="N24" i="11" s="1"/>
  <c r="U20" i="12"/>
  <c r="K29" i="11"/>
  <c r="N27" i="11" s="1"/>
  <c r="U31" i="12"/>
  <c r="K44" i="11"/>
  <c r="N42" i="11" s="1"/>
  <c r="U55" i="12"/>
  <c r="K32" i="11" l="1"/>
  <c r="N30" i="11" s="1"/>
  <c r="R32" i="11" s="1"/>
  <c r="U13" i="12"/>
  <c r="U5" i="12" s="1"/>
  <c r="V32" i="11"/>
  <c r="P32" i="11"/>
  <c r="W32" i="11"/>
  <c r="U32" i="11"/>
  <c r="AC41" i="11"/>
  <c r="R41" i="11"/>
  <c r="P41" i="11"/>
  <c r="W41" i="11"/>
  <c r="U41" i="11"/>
  <c r="T41" i="11"/>
  <c r="S41" i="11"/>
  <c r="Q41" i="11"/>
  <c r="V41" i="11"/>
  <c r="Q29" i="11"/>
  <c r="V29" i="11"/>
  <c r="P29" i="11"/>
  <c r="S29" i="11"/>
  <c r="T29" i="11"/>
  <c r="U29" i="11"/>
  <c r="W29" i="11"/>
  <c r="AC29" i="11"/>
  <c r="R29" i="11"/>
  <c r="P26" i="11"/>
  <c r="W26" i="11"/>
  <c r="T26" i="11"/>
  <c r="R26" i="11"/>
  <c r="U26" i="11"/>
  <c r="S26" i="11"/>
  <c r="Q26" i="11"/>
  <c r="V26" i="11"/>
  <c r="AC26" i="11"/>
  <c r="U44" i="11"/>
  <c r="Q44" i="11"/>
  <c r="V44" i="11"/>
  <c r="R44" i="11"/>
  <c r="AC44" i="11"/>
  <c r="T44" i="11"/>
  <c r="P44" i="11"/>
  <c r="S44" i="11"/>
  <c r="W44" i="11"/>
  <c r="Q32" i="11" l="1"/>
  <c r="Q20" i="11" s="1"/>
  <c r="S32" i="11"/>
  <c r="S20" i="11" s="1"/>
  <c r="AC32" i="11"/>
  <c r="T32" i="11"/>
  <c r="T20" i="11" s="1"/>
  <c r="U20" i="11"/>
  <c r="U19" i="11" s="1"/>
  <c r="R20" i="11"/>
  <c r="AC20" i="11"/>
  <c r="V20" i="11"/>
  <c r="W20" i="11"/>
  <c r="P20" i="11"/>
  <c r="S17" i="11" l="1"/>
  <c r="S19" i="11"/>
  <c r="U17" i="11"/>
  <c r="U16" i="11" s="1"/>
  <c r="V17" i="11"/>
  <c r="V19" i="11"/>
  <c r="V18" i="11" s="1"/>
  <c r="T17" i="11"/>
  <c r="T19" i="11"/>
  <c r="AC19" i="11"/>
  <c r="AC18" i="11" s="1"/>
  <c r="AC17" i="11"/>
  <c r="P19" i="11"/>
  <c r="P18" i="11" s="1"/>
  <c r="P17" i="11"/>
  <c r="Q19" i="11"/>
  <c r="Q17" i="11"/>
  <c r="W17" i="11"/>
  <c r="W19" i="11"/>
  <c r="S16" i="11"/>
  <c r="R17" i="11"/>
  <c r="R19" i="11"/>
  <c r="S18" i="11" l="1"/>
  <c r="T18" i="11"/>
  <c r="U15" i="11"/>
  <c r="U14" i="11" s="1"/>
  <c r="Q18" i="11"/>
  <c r="W18" i="11"/>
  <c r="P15" i="11"/>
  <c r="P14" i="11" s="1"/>
  <c r="P16" i="11"/>
  <c r="T16" i="11"/>
  <c r="T15" i="11"/>
  <c r="T14" i="11" s="1"/>
  <c r="R16" i="11"/>
  <c r="R15" i="11"/>
  <c r="R14" i="11" s="1"/>
  <c r="W15" i="11"/>
  <c r="W14" i="11" s="1"/>
  <c r="W16" i="11"/>
  <c r="AC16" i="11"/>
  <c r="AC15" i="11"/>
  <c r="AC14" i="11" s="1"/>
  <c r="V15" i="11"/>
  <c r="V14" i="11" s="1"/>
  <c r="V16" i="11"/>
  <c r="U18" i="11"/>
  <c r="S15" i="11"/>
  <c r="S14" i="11" s="1"/>
  <c r="Q16" i="11"/>
  <c r="Q15" i="11"/>
  <c r="Q14" i="11" s="1"/>
  <c r="R18" i="11"/>
  <c r="L8" i="11" l="1"/>
</calcChain>
</file>

<file path=xl/sharedStrings.xml><?xml version="1.0" encoding="utf-8"?>
<sst xmlns="http://schemas.openxmlformats.org/spreadsheetml/2006/main" count="826" uniqueCount="332">
  <si>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</si>
  <si>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</si>
  <si>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</si>
  <si>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</si>
  <si>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</si>
  <si>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</si>
  <si>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</si>
  <si>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</si>
  <si>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</si>
  <si>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</si>
  <si>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</si>
  <si>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</si>
  <si>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</si>
  <si>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</si>
  <si>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</si>
  <si>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</si>
  <si>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</si>
  <si>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</si>
  <si>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</si>
  <si>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</si>
  <si>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</si>
  <si>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</si>
  <si>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</si>
  <si>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</si>
  <si>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</si>
  <si>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</si>
  <si>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</si>
  <si>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</si>
  <si>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</si>
  <si>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</si>
  <si>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</si>
  <si>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</si>
  <si>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</si>
  <si>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</si>
  <si>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</si>
  <si>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</si>
  <si>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</si>
  <si>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</si>
  <si>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</si>
  <si>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</si>
  <si>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</si>
  <si>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</si>
  <si>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</si>
  <si>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</si>
  <si>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</si>
  <si>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</si>
  <si>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</si>
  <si>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</si>
  <si>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</si>
  <si>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</si>
  <si>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</si>
  <si>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</si>
  <si>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</si>
  <si>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</si>
  <si>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</si>
  <si>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</si>
  <si>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</si>
  <si>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</si>
  <si>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</si>
  <si>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</si>
  <si>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</si>
  <si>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</si>
  <si>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</si>
  <si>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</si>
  <si>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</si>
  <si>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</si>
  <si>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</si>
  <si>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</si>
  <si>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</si>
  <si>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</si>
  <si>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</si>
  <si>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</si>
  <si>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</si>
  <si>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</si>
  <si>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</si>
  <si>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</si>
  <si>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</si>
  <si>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</si>
  <si>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</si>
  <si>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</si>
  <si>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</si>
  <si>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</si>
  <si>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</si>
  <si>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</si>
  <si>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</si>
  <si>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</si>
  <si>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</si>
  <si>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</si>
  <si>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</si>
  <si>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</si>
  <si>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</si>
  <si>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</si>
  <si>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</si>
  <si>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</si>
  <si>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</si>
  <si>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</si>
  <si>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</si>
  <si>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</si>
  <si>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</si>
  <si>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</si>
  <si>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</si>
  <si>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</si>
  <si>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</si>
  <si>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</si>
  <si>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</si>
  <si>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</si>
  <si>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</si>
  <si>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</si>
  <si>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</si>
  <si>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</si>
  <si>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</si>
  <si>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</si>
  <si>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</si>
  <si>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</si>
  <si>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</si>
  <si>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</si>
  <si>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</si>
  <si>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</si>
  <si>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</si>
  <si>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</si>
  <si>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</si>
  <si>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</si>
  <si>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</si>
  <si>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</si>
  <si>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</si>
  <si>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</si>
  <si>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</si>
  <si>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</si>
  <si>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</si>
  <si>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</si>
  <si>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</si>
  <si>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</si>
  <si>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</si>
  <si>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</si>
  <si>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</si>
  <si>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</si>
  <si>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</si>
  <si>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</si>
  <si>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</si>
  <si>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</si>
  <si>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</si>
  <si>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</si>
  <si>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</si>
  <si>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</si>
  <si>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</si>
  <si>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</si>
  <si>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</si>
  <si>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</si>
  <si>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</si>
  <si>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</si>
  <si>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</si>
  <si>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</si>
  <si>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</si>
  <si>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</si>
  <si>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</si>
  <si>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</si>
  <si>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</si>
  <si>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</si>
  <si>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</si>
  <si>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</si>
  <si>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</si>
  <si>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</si>
  <si>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</si>
  <si>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</si>
  <si>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</si>
  <si>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</si>
  <si>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</si>
  <si>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</si>
  <si>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</si>
  <si>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</si>
  <si>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</si>
  <si>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</si>
  <si>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</si>
  <si>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</si>
  <si>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</si>
  <si>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</si>
  <si>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</si>
  <si>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</si>
  <si>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</si>
  <si>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</si>
  <si>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</si>
  <si>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</si>
  <si>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</si>
  <si>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</si>
  <si>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</si>
  <si>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</si>
  <si>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</si>
  <si>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</si>
  <si>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</si>
  <si>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</si>
  <si>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</si>
  <si>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</si>
  <si>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</si>
  <si>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</si>
  <si>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</si>
  <si>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</si>
  <si>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</si>
  <si>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</si>
  <si>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</si>
  <si>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</si>
  <si>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</si>
  <si>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</si>
  <si>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</si>
  <si>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</si>
  <si>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</si>
  <si>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</si>
  <si>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</si>
  <si>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</si>
  <si>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</si>
  <si>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</si>
  <si>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</si>
  <si>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</si>
  <si>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</si>
  <si>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</si>
  <si>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</si>
  <si>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</si>
  <si>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</si>
  <si>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</si>
  <si>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</si>
  <si>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</si>
  <si>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</si>
  <si>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</si>
  <si>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</si>
  <si>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</si>
  <si>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</si>
  <si>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</si>
  <si>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</si>
  <si>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</si>
  <si>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</si>
  <si>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MUNICÍPIO DE CONSTANTINA</t>
  </si>
  <si>
    <t>RS</t>
  </si>
  <si>
    <t>SINAPI</t>
  </si>
  <si>
    <t>REVESTIMENTOS</t>
  </si>
  <si>
    <t>87894</t>
  </si>
  <si>
    <t>PINTURA</t>
  </si>
  <si>
    <t>Única</t>
  </si>
  <si>
    <t>FIDELVINO MENEGAZZO</t>
  </si>
  <si>
    <t>PREFEITO MUNICIPAL</t>
  </si>
  <si>
    <t>SINAPI-I</t>
  </si>
  <si>
    <t>SERVIÇOS INICIAIS</t>
  </si>
  <si>
    <t>INFRAESTRUTURA</t>
  </si>
  <si>
    <t>96546</t>
  </si>
  <si>
    <t>SERVIÇOS FINAIS</t>
  </si>
  <si>
    <t>96543</t>
  </si>
  <si>
    <t>104108</t>
  </si>
  <si>
    <t>104111</t>
  </si>
  <si>
    <t>98557</t>
  </si>
  <si>
    <t>102723</t>
  </si>
  <si>
    <t>NÃO</t>
  </si>
  <si>
    <t>Não</t>
  </si>
  <si>
    <t>PISTA DE SKATE</t>
  </si>
  <si>
    <t>4813</t>
  </si>
  <si>
    <t>102491</t>
  </si>
  <si>
    <t>ELEMENTOS METÁLICOS - GUARDA-CORPO E CORRIMÃO</t>
  </si>
  <si>
    <t>96521</t>
  </si>
  <si>
    <t>96525</t>
  </si>
  <si>
    <t>SAPATAS CONCRETO ARMADO</t>
  </si>
  <si>
    <t>COMPOSIÇÃO</t>
  </si>
  <si>
    <t>001</t>
  </si>
  <si>
    <t>002</t>
  </si>
  <si>
    <t>VIGA DE BALDRAME CONCRETO ARMADO E IMPERMEABILIZAÇÃO</t>
  </si>
  <si>
    <t>PILARES</t>
  </si>
  <si>
    <t>003</t>
  </si>
  <si>
    <t>VIGAS SUPERIORES HORIZONTAIS E INCLINADAS</t>
  </si>
  <si>
    <t>004</t>
  </si>
  <si>
    <t>104236</t>
  </si>
  <si>
    <t>005</t>
  </si>
  <si>
    <t>006</t>
  </si>
  <si>
    <t>M3</t>
  </si>
  <si>
    <t>008</t>
  </si>
  <si>
    <t>007</t>
  </si>
  <si>
    <t>99837</t>
  </si>
  <si>
    <t>009</t>
  </si>
  <si>
    <t>11</t>
  </si>
  <si>
    <t>12</t>
  </si>
  <si>
    <t>88485</t>
  </si>
  <si>
    <t>88489</t>
  </si>
  <si>
    <t>PARQUE POLIESPORTIVO - RUA PADRE PEDRO</t>
  </si>
  <si>
    <t>CALÇADA DE CONTORNO</t>
  </si>
  <si>
    <t>99059</t>
  </si>
  <si>
    <t>97113</t>
  </si>
  <si>
    <t>PISO DA PISTA DE SKATE</t>
  </si>
  <si>
    <t>SUPRAESTUTURA- VIGAS SUPERIORES E PILARES</t>
  </si>
  <si>
    <t>103946</t>
  </si>
  <si>
    <t>CONSTANTINA, RS</t>
  </si>
  <si>
    <t>PAREDES</t>
  </si>
  <si>
    <t>IMPERMEABILIZAÇÃO DA ALVENARIA</t>
  </si>
  <si>
    <t>93382</t>
  </si>
  <si>
    <t>96558</t>
  </si>
  <si>
    <t>96557</t>
  </si>
  <si>
    <t>13</t>
  </si>
  <si>
    <t>14</t>
  </si>
  <si>
    <t>100757</t>
  </si>
  <si>
    <t>PLACA DE OBRA (PARA CONSTRUCAO CIVIL) EM CHAPA GALVANIZADA *N. 22*, ADESIVADA, DE *2,4 X 1,2* M (SEM POSTES PARA FIXACAO)</t>
  </si>
  <si>
    <t>LOCACAO CONVENCIONAL DE OBRA, UTILIZANDO GABARITO DE TÁBUAS CORRIDAS PONTALETADAS A CADA 2,00M -  2 UTILIZAÇÕES. AF_10/2018</t>
  </si>
  <si>
    <t>ESCAVAÇÃO MECANIZADA PARA BLOCO DE COROAMENTO OU SAPATA COM RETROESCAVADEIRA (INCLUINDO ESCAVAÇÃO PARA COLOCAÇÃO DE FÔRMAS). AF_06/2017</t>
  </si>
  <si>
    <t>ESCAVAÇÃO MECANIZADA PARA VIGA BALDRAME COM MINI-ESCAVADEIRA (INCLUINDO ESCAVAÇÃO PARA COLOCAÇÃO DE FÔRMAS). AF_06/2017</t>
  </si>
  <si>
    <t>REATERRO MANUAL DE VALAS COM COMPACTAÇÃO MECANIZADA. AF_04/2016</t>
  </si>
  <si>
    <t>ARMAÇÃO DE BLOCO, VIGA BALDRAME OU SAPATA UTILIZANDO AÇO CA-50 DE 10 MM - MONTAGEM. AF_06/2017</t>
  </si>
  <si>
    <t>CONCRETAGEM DE SAPATAS, FCK 30 MPA, COM USO DE BOMBA  LANÇAMENTO, ADENSAMENTO E ACABAMENTO. AF_11/2016</t>
  </si>
  <si>
    <t>FORMAS PINUS SAPATA</t>
  </si>
  <si>
    <t>ARMAÇÃO DE BLOCO, VIGA BALDRAME E SAPATA UTILIZANDO AÇO CA-60 DE 5 MM - MONTAGEM. AF_06/2017</t>
  </si>
  <si>
    <t>CONCRETAGEM DE BLOCOS DE COROAMENTO E VIGAS BALDRAMES, FCK 30 MPA, COM USO DE BOMBA  LANÇAMENTO, ADENSAMENTO E ACABAMENTO. AF_06/2017</t>
  </si>
  <si>
    <t>FORMAS PINUS  VIGA</t>
  </si>
  <si>
    <t>IMPERMEABILIZAÇÃO DE SUPERFÍCIE COM EMULSÃO ASFÁLTICA, 2 DEMÃOS AF_06/2018</t>
  </si>
  <si>
    <t>ALVENARIA DE TIJOLOS CERÂMICOS MACIÇOS 5X10X20 CM PAREDE 20 CM</t>
  </si>
  <si>
    <t>DRENO EM MURO DE CONTENÇÃO, EXECUTADO NO PÉ DO MURO, COM TUBO DE PVC CORRUGADO FLEXÍVEL PERFURADO, ENCHIMENTO COM BRITA, ENVOLVIDO COM MANTA GEOTÊXTIL. AF_07/2021</t>
  </si>
  <si>
    <t>FORMAS PINUS PILARES</t>
  </si>
  <si>
    <t>CONCRETAGEM DE PILARES FCK 30 MPA COM USO DE BOMBA-LANÇAMENTO, ADENSAMENTO E ACABAMENTO</t>
  </si>
  <si>
    <t>ARMAÇÃO DE PILAR OU VIGA DE ESTRUTURA DE CONCRETO ARMADO EMBUTIDA EM ALVENARIA DE VEDAÇÃO UTILIZANDO AÇO CA-50 DE 10,0 MM - MONTAGEM. AF_06/2022</t>
  </si>
  <si>
    <t>ARMAÇÃO DE PILAR OU VIGA DE ESTRUTURA DE CONCRETO ARMADO EMBUTIDA EM ALVENARIA DE VEDAÇÃO UTILIZANDO AÇO CA-60 DE 5,0 MM - MONTAGEM. AF_06/2022</t>
  </si>
  <si>
    <t>CONCRETAGEM DE VIGAS FCK 30 MPA COM USO DE BOMBA-LANÇAMENTO, ADENSAMENTO E ACABAMENTO</t>
  </si>
  <si>
    <t>CHAPISCO APLICADO EM ALVENARIA (SEM PRESENÇA DE VÃOS) E ESTRUTURAS DE CONCRETO DE FACHADA, COM COLHER DE PEDREIRO.  ARGAMASSA TRAÇO 1:3 COM PREPARO EM BETONEIRA 400L. AF_10/2022</t>
  </si>
  <si>
    <t>EMBOÇO OU MASSA ÚNICA EM ARGAMASSA TRAÇO 1:2:8, PREPARO MECÂNICA COM BETONEIRA 400 L, APLICADA COM PROJETOR TIPO CANEQUINHA EM PANOS DE FACHADA SEM PRESENÇA DE VÃOS, ESPESSURA DE 25 MM, ACESSO POR ANDAIME. AF_08/2022</t>
  </si>
  <si>
    <t>PISO EM CONCRETO 30 MPA 7 CM COM MALHA DE AÇO 4,2 MM 10X10 CM</t>
  </si>
  <si>
    <t>LASTRO DE BRITA 1 - 5 CM</t>
  </si>
  <si>
    <t>APLICAÇÃO DE LONA PLÁSTICA PARA EXECUÇÃO DE PAVIMENTOS DE CONCRETO. AF_04/2022</t>
  </si>
  <si>
    <t>JUNTA DE DILATAÇÃO - ABERTURA E PREENCHIMENTO COM PU</t>
  </si>
  <si>
    <t>CALÇADA DE CONCRETO ARMADO ESPESSURA 6 CM COM MALHA 4,2 MM 10x10 cm</t>
  </si>
  <si>
    <t>GUARDA-CORPO DE AÇO GALVANIZADO DE 1,10M, MONTANTES TUBULARES DE 1.1/4 ESPAÇADOS DE 1,20M, TRAVESSA SUPERIOR DE 1.1/2, GRADIL FORMADO POR TUBOS HORIZONTAIS DE 1 E VERTICAIS DE 3/4, FIXADO COM CHUMBADOR MECÂNICO. AF_04/2019_PS</t>
  </si>
  <si>
    <t>TUBO AÇO GALVANIZADO 3 POLEGADAS AÇO 3 MM CHUMBADO NO CONCRETO DO PISO</t>
  </si>
  <si>
    <t>CANTONEIRA 5 CM X 5 CM X 3 MM DE ESPESSURA</t>
  </si>
  <si>
    <t>PINTURA DE PISO COM TINTA ACRÍLICA, APLICAÇÃO MANUAL, 2 DEMÃOS, INCLUSO FUNDO PREPARADOR. AF_05/2021</t>
  </si>
  <si>
    <t>APLICAÇÃO DE FUNDO SELADOR ACRÍLICO EM PAREDES, UMA DEMÃO. AF_06/2014</t>
  </si>
  <si>
    <t>APLICAÇÃO MANUAL DE PINTURA COM TINTA LÁTEX ACRÍLICA EM PAREDES, DUAS DEMÃOS. AF_06/2014</t>
  </si>
  <si>
    <t>PINTURA COM TINTA ALQUÍDICA DE ACABAMENTO (ESMALTE SINTÉTICO ACETINADO) PULVERIZADA SOBRE SUPERFÍCIES METÁLICAS (EXCETO PERFIL) EXECUTADO EM OBRA (02 DEMÃOS). AF_01/2020_PE</t>
  </si>
  <si>
    <t>LIMPEZA DE PISO DE CONCRETO</t>
  </si>
  <si>
    <t>PLANTIO DE GRAMA ESMERALDA OU SÃO CARLOS OU CURITIBANA, EM PLACAS. AF_05/2022</t>
  </si>
  <si>
    <t xml:space="preserve">M2    </t>
  </si>
  <si>
    <t>M</t>
  </si>
  <si>
    <t>KG</t>
  </si>
  <si>
    <t>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</si>
</sst>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2">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0" fontId="22" fillId="0" borderId="0" xfId="72" applyFont="1" applyBorder="1" applyAlignment="1" applyProtection="1">
      <alignment horizontal="left" vertical="top"/>
    </xf>
    <xf numFmtId="4" fontId="26" fillId="0" borderId="14" xfId="71" applyNumberFormat="1" applyFont="1" applyFill="1" applyBorder="1" applyAlignment="1" applyProtection="1">
      <alignment horizontal="center" vertical="center" wrapText="1"/>
    </xf>
    <xf numFmtId="164" fontId="1" fillId="25" borderId="24" xfId="87" applyNumberFormat="1" applyFont="1" applyFill="1" applyBorder="1" applyAlignment="1" applyProtection="1">
      <alignment vertical="center" shrinkToFit="1"/>
      <protection locked="0"/>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1" fillId="25" borderId="18" xfId="0" applyNumberFormat="1" applyFon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0" fillId="25" borderId="18" xfId="0"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1" fillId="0" borderId="18"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0" fontId="1" fillId="0" borderId="13" xfId="0" applyFont="1" applyFill="1" applyBorder="1" applyAlignment="1" applyProtection="1">
      <alignment horizontal="left"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Border="1" applyAlignment="1" applyProtection="1">
      <alignment horizontal="left"/>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51" fillId="29" borderId="0" xfId="0" applyFont="1" applyFill="1" applyBorder="1" applyAlignment="1" applyProtection="1">
      <alignment horizontal="left" vertical="top" wrapText="1" indent="2"/>
    </xf>
    <xf numFmtId="0" fontId="51" fillId="29" borderId="0" xfId="0" applyFont="1" applyFill="1" applyAlignment="1" applyProtection="1">
      <alignment horizontal="left" vertical="top" indent="2"/>
    </xf>
    <xf numFmtId="49" fontId="1" fillId="25" borderId="0" xfId="0" applyNumberFormat="1" applyFont="1" applyFill="1" applyBorder="1" applyAlignment="1" applyProtection="1">
      <alignment horizontal="left"/>
      <protection locked="0"/>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49" fontId="1" fillId="0" borderId="0" xfId="71" applyNumberFormat="1" applyFont="1" applyFill="1" applyBorder="1" applyAlignment="1" applyProtection="1">
      <alignment horizontal="left"/>
      <protection locked="0"/>
    </xf>
    <xf numFmtId="0" fontId="26" fillId="0" borderId="0" xfId="71" applyFont="1" applyBorder="1" applyAlignment="1" applyProtection="1">
      <alignment horizontal="left" vertical="center"/>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wrapText="1"/>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35" fillId="0" borderId="14" xfId="71" applyFont="1" applyBorder="1" applyAlignment="1" applyProtection="1">
      <alignment horizontal="center" vertical="center" wrapText="1"/>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1" fillId="0" borderId="0" xfId="71" applyFont="1" applyBorder="1" applyAlignment="1" applyProtection="1">
      <alignment horizontal="center" vertical="center"/>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170" fontId="1" fillId="0" borderId="13" xfId="0" applyNumberFormat="1" applyFont="1" applyBorder="1" applyAlignment="1" applyProtection="1">
      <alignment horizontal="left" vertical="center"/>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0" fontId="49" fillId="0" borderId="0" xfId="0" applyFont="1" applyAlignment="1" applyProtection="1">
      <alignment horizontal="center" vertical="top"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5" xr:uid="{00000000-0005-0000-0000-000040000000}"/>
    <cellStyle name="Linked Cell" xfId="66" xr:uid="{00000000-0005-0000-0000-000041000000}"/>
    <cellStyle name="Moeda 2" xfId="67" xr:uid="{00000000-0005-0000-0000-000042000000}"/>
    <cellStyle name="Moeda_Composicao BDI v2.1" xfId="68" xr:uid="{00000000-0005-0000-0000-000043000000}"/>
    <cellStyle name="Neutral" xfId="70" xr:uid="{00000000-0005-0000-0000-000045000000}"/>
    <cellStyle name="Neutro" xfId="69" builtinId="28" customBuiltin="1"/>
    <cellStyle name="Normal" xfId="0" builtinId="0"/>
    <cellStyle name="Normal 2" xfId="71" xr:uid="{00000000-0005-0000-0000-000047000000}"/>
    <cellStyle name="Normal_FICHA DE VERIFICAÇÃO PRELIMINAR - Plano R" xfId="72" xr:uid="{00000000-0005-0000-0000-000048000000}"/>
    <cellStyle name="Nota" xfId="73" builtinId="10" customBuiltin="1"/>
    <cellStyle name="Note" xfId="74" xr:uid="{00000000-0005-0000-0000-00004A000000}"/>
    <cellStyle name="Output" xfId="75" xr:uid="{00000000-0005-0000-0000-00004B000000}"/>
    <cellStyle name="Porcentagem" xfId="76" builtinId="5"/>
    <cellStyle name="Ruim" xfId="64" builtinId="27" customBuiltin="1"/>
    <cellStyle name="Saída" xfId="77" builtinId="21" customBuiltin="1"/>
    <cellStyle name="Texto de Aviso" xfId="78" builtinId="11" customBuiltin="1"/>
    <cellStyle name="Texto Explicativo" xfId="79" builtinId="53" customBuiltin="1"/>
    <cellStyle name="Title" xfId="80" xr:uid="{00000000-0005-0000-0000-00005000000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xr:uid="{00000000-0005-0000-0000-000058000000}"/>
  </cellStyles>
  <dxfs count="561">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8.emf"/><Relationship Id="rId1" Type="http://schemas.openxmlformats.org/officeDocument/2006/relationships/image" Target="../media/image4.emf"/><Relationship Id="rId4"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8.emf"/><Relationship Id="rId1" Type="http://schemas.openxmlformats.org/officeDocument/2006/relationships/image" Target="../media/image4.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9.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9.emf"/><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1190832</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30480</xdr:colOff>
      <xdr:row>0</xdr:row>
      <xdr:rowOff>22860</xdr:rowOff>
    </xdr:from>
    <xdr:to>
      <xdr:col>10</xdr:col>
      <xdr:colOff>403860</xdr:colOff>
      <xdr:row>2</xdr:row>
      <xdr:rowOff>45720</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320040</xdr:colOff>
          <xdr:row>0</xdr:row>
          <xdr:rowOff>30480</xdr:rowOff>
        </xdr:from>
        <xdr:to>
          <xdr:col>18</xdr:col>
          <xdr:colOff>22860</xdr:colOff>
          <xdr:row>2</xdr:row>
          <xdr:rowOff>60960</xdr:rowOff>
        </xdr:to>
        <xdr:pic>
          <xdr:nvPicPr>
            <xdr:cNvPr id="156569" name="SigiloPic">
              <a:extLst>
                <a:ext uri="{FF2B5EF4-FFF2-40B4-BE49-F238E27FC236}">
                  <a16:creationId xmlns:a16="http://schemas.microsoft.com/office/drawing/2014/main" id="{00000000-0008-0000-0100-000099630200}"/>
                </a:ext>
              </a:extLst>
            </xdr:cNvPr>
            <xdr:cNvPicPr>
              <a:picLocks noChangeArrowheads="1"/>
              <a:extLst>
                <a:ext uri="{84589F7E-364E-4C9E-8A38-B11213B215E9}">
                  <a14:cameraTool cellRange="PO!$T$1:$T$2" spid="_x0000_s211679"/>
                </a:ext>
              </a:extLst>
            </xdr:cNvPicPr>
          </xdr:nvPicPr>
          <xdr:blipFill>
            <a:blip xmlns:r="http://schemas.openxmlformats.org/officeDocument/2006/relationships" r:embed="rId1"/>
            <a:srcRect/>
            <a:stretch>
              <a:fillRect/>
            </a:stretch>
          </xdr:blipFill>
          <xdr:spPr bwMode="auto">
            <a:xfrm>
              <a:off x="6324600" y="30480"/>
              <a:ext cx="1165860" cy="38862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30480</xdr:colOff>
      <xdr:row>0</xdr:row>
      <xdr:rowOff>22860</xdr:rowOff>
    </xdr:from>
    <xdr:to>
      <xdr:col>10</xdr:col>
      <xdr:colOff>403860</xdr:colOff>
      <xdr:row>2</xdr:row>
      <xdr:rowOff>45720</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 y="22860"/>
          <a:ext cx="183642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1190832</xdr:colOff>
      <xdr:row>7</xdr:row>
      <xdr:rowOff>142875</xdr:rowOff>
    </xdr:to>
    <xdr:sp macro="[0]!BDI_add" textlink="">
      <xdr:nvSpPr>
        <xdr:cNvPr id="2" name="FiltroButton">
          <a:extLst>
            <a:ext uri="{FF2B5EF4-FFF2-40B4-BE49-F238E27FC236}">
              <a16:creationId xmlns:a16="http://schemas.microsoft.com/office/drawing/2014/main" id="{00000000-0008-0000-0200-000002000000}"/>
            </a:ext>
          </a:extLst>
        </xdr:cNvPr>
        <xdr:cNvSpPr txBox="1">
          <a:spLocks noChangeArrowheads="1"/>
        </xdr:cNvSpPr>
      </xdr:nvSpPr>
      <xdr:spPr bwMode="auto">
        <a:xfrm>
          <a:off x="7814310" y="901065"/>
          <a:ext cx="1095582" cy="33909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30480</xdr:colOff>
      <xdr:row>0</xdr:row>
      <xdr:rowOff>22860</xdr:rowOff>
    </xdr:from>
    <xdr:to>
      <xdr:col>10</xdr:col>
      <xdr:colOff>403860</xdr:colOff>
      <xdr:row>2</xdr:row>
      <xdr:rowOff>45720</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200-000003000000}"/>
            </a:ext>
          </a:extLst>
        </xdr:cNvPr>
        <xdr:cNvSpPr/>
      </xdr:nvSpPr>
      <xdr:spPr bwMode="auto">
        <a:xfrm>
          <a:off x="30480" y="22860"/>
          <a:ext cx="1836420" cy="38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320040</xdr:colOff>
          <xdr:row>0</xdr:row>
          <xdr:rowOff>30480</xdr:rowOff>
        </xdr:from>
        <xdr:to>
          <xdr:col>17</xdr:col>
          <xdr:colOff>664845</xdr:colOff>
          <xdr:row>1</xdr:row>
          <xdr:rowOff>163830</xdr:rowOff>
        </xdr:to>
        <xdr:pic>
          <xdr:nvPicPr>
            <xdr:cNvPr id="4" name="SigiloPic">
              <a:extLst>
                <a:ext uri="{FF2B5EF4-FFF2-40B4-BE49-F238E27FC236}">
                  <a16:creationId xmlns:a16="http://schemas.microsoft.com/office/drawing/2014/main" id="{00000000-0008-0000-0200-000004000000}"/>
                </a:ext>
              </a:extLst>
            </xdr:cNvPr>
            <xdr:cNvPicPr>
              <a:picLocks noChangeArrowheads="1"/>
              <a:extLst>
                <a:ext uri="{84589F7E-364E-4C9E-8A38-B11213B215E9}">
                  <a14:cameraTool cellRange="PO!$T$1:$T$2" spid="_x0000_s202544"/>
                </a:ext>
              </a:extLst>
            </xdr:cNvPicPr>
          </xdr:nvPicPr>
          <xdr:blipFill>
            <a:blip xmlns:r="http://schemas.openxmlformats.org/officeDocument/2006/relationships" r:embed="rId1"/>
            <a:srcRect/>
            <a:stretch>
              <a:fillRect/>
            </a:stretch>
          </xdr:blipFill>
          <xdr:spPr bwMode="auto">
            <a:xfrm>
              <a:off x="6324600" y="30480"/>
              <a:ext cx="1076325" cy="3238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30480</xdr:colOff>
      <xdr:row>0</xdr:row>
      <xdr:rowOff>22860</xdr:rowOff>
    </xdr:from>
    <xdr:to>
      <xdr:col>10</xdr:col>
      <xdr:colOff>403860</xdr:colOff>
      <xdr:row>2</xdr:row>
      <xdr:rowOff>45720</xdr:rowOff>
    </xdr:to>
    <xdr:pic>
      <xdr:nvPicPr>
        <xdr:cNvPr id="5" name="Picture 476">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 y="22860"/>
          <a:ext cx="183642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944880</xdr:colOff>
          <xdr:row>6</xdr:row>
          <xdr:rowOff>220980</xdr:rowOff>
        </xdr:to>
        <xdr:pic>
          <xdr:nvPicPr>
            <xdr:cNvPr id="198585" name="Picture 482">
              <a:extLst>
                <a:ext uri="{FF2B5EF4-FFF2-40B4-BE49-F238E27FC236}">
                  <a16:creationId xmlns:a16="http://schemas.microsoft.com/office/drawing/2014/main" id="{00000000-0008-0000-0300-0000B9070300}"/>
                </a:ext>
              </a:extLst>
            </xdr:cNvPr>
            <xdr:cNvPicPr>
              <a:picLocks noChangeArrowheads="1"/>
              <a:extLst>
                <a:ext uri="{84589F7E-364E-4C9E-8A38-B11213B215E9}">
                  <a14:cameraTool cellRange="DADOS!$A$220:$X$230" spid="_x0000_s223974"/>
                </a:ext>
              </a:extLst>
            </xdr:cNvPicPr>
          </xdr:nvPicPr>
          <xdr:blipFill>
            <a:blip xmlns:r="http://schemas.openxmlformats.org/officeDocument/2006/relationships" r:embed="rId1"/>
            <a:srcRect/>
            <a:stretch>
              <a:fillRect/>
            </a:stretch>
          </xdr:blipFill>
          <xdr:spPr bwMode="auto">
            <a:xfrm>
              <a:off x="594360" y="480060"/>
              <a:ext cx="14180820" cy="11582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60960</xdr:colOff>
      <xdr:row>0</xdr:row>
      <xdr:rowOff>22860</xdr:rowOff>
    </xdr:from>
    <xdr:to>
      <xdr:col>11</xdr:col>
      <xdr:colOff>1036320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300-00002BD6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13</xdr:col>
          <xdr:colOff>3787140</xdr:colOff>
          <xdr:row>80</xdr:row>
          <xdr:rowOff>0</xdr:rowOff>
        </xdr:from>
        <xdr:to>
          <xdr:col>19</xdr:col>
          <xdr:colOff>95250</xdr:colOff>
          <xdr:row>84</xdr:row>
          <xdr:rowOff>152400</xdr:rowOff>
        </xdr:to>
        <xdr:pic>
          <xdr:nvPicPr>
            <xdr:cNvPr id="198588" name="Picture 483">
              <a:extLst>
                <a:ext uri="{FF2B5EF4-FFF2-40B4-BE49-F238E27FC236}">
                  <a16:creationId xmlns:a16="http://schemas.microsoft.com/office/drawing/2014/main" id="{00000000-0008-0000-0300-0000BC070300}"/>
                </a:ext>
              </a:extLst>
            </xdr:cNvPr>
            <xdr:cNvPicPr>
              <a:picLocks noChangeArrowheads="1"/>
              <a:extLst>
                <a:ext uri="{84589F7E-364E-4C9E-8A38-B11213B215E9}">
                  <a14:cameraTool cellRange="DADOS!$A$53:$K$57" spid="_x0000_s223975"/>
                </a:ext>
              </a:extLst>
            </xdr:cNvPicPr>
          </xdr:nvPicPr>
          <xdr:blipFill>
            <a:blip xmlns:r="http://schemas.openxmlformats.org/officeDocument/2006/relationships" r:embed="rId2"/>
            <a:srcRect/>
            <a:stretch>
              <a:fillRect/>
            </a:stretch>
          </xdr:blipFill>
          <xdr:spPr bwMode="auto">
            <a:xfrm>
              <a:off x="7397115" y="14601825"/>
              <a:ext cx="6537960" cy="8382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60960</xdr:colOff>
      <xdr:row>0</xdr:row>
      <xdr:rowOff>22860</xdr:rowOff>
    </xdr:from>
    <xdr:to>
      <xdr:col>11</xdr:col>
      <xdr:colOff>1036320</xdr:colOff>
      <xdr:row>2</xdr:row>
      <xdr:rowOff>76200</xdr:rowOff>
    </xdr:to>
    <xdr:pic>
      <xdr:nvPicPr>
        <xdr:cNvPr id="2" name="Picture 5675">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55320" y="22860"/>
          <a:ext cx="1844040" cy="3733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30480</xdr:colOff>
      <xdr:row>0</xdr:row>
      <xdr:rowOff>30480</xdr:rowOff>
    </xdr:from>
    <xdr:to>
      <xdr:col>2</xdr:col>
      <xdr:colOff>1135380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400-0000A0F4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830580</xdr:colOff>
          <xdr:row>5</xdr:row>
          <xdr:rowOff>121920</xdr:rowOff>
        </xdr:to>
        <xdr:pic>
          <xdr:nvPicPr>
            <xdr:cNvPr id="199394" name="PIC1">
              <a:extLst>
                <a:ext uri="{FF2B5EF4-FFF2-40B4-BE49-F238E27FC236}">
                  <a16:creationId xmlns:a16="http://schemas.microsoft.com/office/drawing/2014/main" id="{00000000-0008-0000-0400-0000E20A0300}"/>
                </a:ext>
              </a:extLst>
            </xdr:cNvPr>
            <xdr:cNvPicPr>
              <a:picLocks noChangeArrowheads="1"/>
              <a:extLst>
                <a:ext uri="{84589F7E-364E-4C9E-8A38-B11213B215E9}">
                  <a14:cameraTool cellRange="DADOS!$A$220:$X$230" spid="_x0000_s228305"/>
                </a:ext>
              </a:extLst>
            </xdr:cNvPicPr>
          </xdr:nvPicPr>
          <xdr:blipFill>
            <a:blip xmlns:r="http://schemas.openxmlformats.org/officeDocument/2006/relationships" r:embed="rId1"/>
            <a:srcRect r="56371"/>
            <a:stretch>
              <a:fillRect/>
            </a:stretch>
          </xdr:blipFill>
          <xdr:spPr bwMode="auto">
            <a:xfrm>
              <a:off x="868680" y="579120"/>
              <a:ext cx="6240780" cy="112776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782955</xdr:colOff>
          <xdr:row>5</xdr:row>
          <xdr:rowOff>121920</xdr:rowOff>
        </xdr:to>
        <xdr:pic>
          <xdr:nvPicPr>
            <xdr:cNvPr id="199395" name="PIC2">
              <a:extLst>
                <a:ext uri="{FF2B5EF4-FFF2-40B4-BE49-F238E27FC236}">
                  <a16:creationId xmlns:a16="http://schemas.microsoft.com/office/drawing/2014/main" id="{00000000-0008-0000-0400-0000E30A0300}"/>
                </a:ext>
              </a:extLst>
            </xdr:cNvPr>
            <xdr:cNvPicPr>
              <a:picLocks noChangeArrowheads="1"/>
              <a:extLst>
                <a:ext uri="{84589F7E-364E-4C9E-8A38-B11213B215E9}">
                  <a14:cameraTool cellRange="DADOS!$A$220:$X$230" spid="_x0000_s228306"/>
                </a:ext>
              </a:extLst>
            </xdr:cNvPicPr>
          </xdr:nvPicPr>
          <xdr:blipFill>
            <a:blip xmlns:r="http://schemas.openxmlformats.org/officeDocument/2006/relationships" r:embed="rId1"/>
            <a:srcRect l="44028"/>
            <a:stretch>
              <a:fillRect/>
            </a:stretch>
          </xdr:blipFill>
          <xdr:spPr bwMode="auto">
            <a:xfrm>
              <a:off x="7147560" y="579120"/>
              <a:ext cx="7993380" cy="112776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822915</xdr:colOff>
      <xdr:row>8</xdr:row>
      <xdr:rowOff>645852</xdr:rowOff>
    </xdr:to>
    <xdr:sp macro="" textlink="">
      <xdr:nvSpPr>
        <xdr:cNvPr id="5" name="AutoShape 68" descr="Frente de Obra:">
          <a:extLst>
            <a:ext uri="{FF2B5EF4-FFF2-40B4-BE49-F238E27FC236}">
              <a16:creationId xmlns:a16="http://schemas.microsoft.com/office/drawing/2014/main" id="{00000000-0008-0000-04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723900</xdr:colOff>
          <xdr:row>71</xdr:row>
          <xdr:rowOff>7620</xdr:rowOff>
        </xdr:from>
        <xdr:to>
          <xdr:col>14</xdr:col>
          <xdr:colOff>30480</xdr:colOff>
          <xdr:row>75</xdr:row>
          <xdr:rowOff>160020</xdr:rowOff>
        </xdr:to>
        <xdr:pic>
          <xdr:nvPicPr>
            <xdr:cNvPr id="199399" name="Picture 483">
              <a:extLst>
                <a:ext uri="{FF2B5EF4-FFF2-40B4-BE49-F238E27FC236}">
                  <a16:creationId xmlns:a16="http://schemas.microsoft.com/office/drawing/2014/main" id="{00000000-0008-0000-0400-0000E70A0300}"/>
                </a:ext>
              </a:extLst>
            </xdr:cNvPr>
            <xdr:cNvPicPr>
              <a:picLocks noChangeArrowheads="1"/>
              <a:extLst>
                <a:ext uri="{84589F7E-364E-4C9E-8A38-B11213B215E9}">
                  <a14:cameraTool cellRange="DADOS!$A$53:$K$57" spid="_x0000_s228307"/>
                </a:ext>
              </a:extLst>
            </xdr:cNvPicPr>
          </xdr:nvPicPr>
          <xdr:blipFill>
            <a:blip xmlns:r="http://schemas.openxmlformats.org/officeDocument/2006/relationships" r:embed="rId2"/>
            <a:srcRect/>
            <a:stretch>
              <a:fillRect/>
            </a:stretch>
          </xdr:blipFill>
          <xdr:spPr bwMode="auto">
            <a:xfrm>
              <a:off x="7871460" y="6629400"/>
              <a:ext cx="6507480" cy="82296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358140</xdr:colOff>
          <xdr:row>0</xdr:row>
          <xdr:rowOff>60960</xdr:rowOff>
        </xdr:from>
        <xdr:to>
          <xdr:col>14</xdr:col>
          <xdr:colOff>723900</xdr:colOff>
          <xdr:row>2</xdr:row>
          <xdr:rowOff>22860</xdr:rowOff>
        </xdr:to>
        <xdr:pic>
          <xdr:nvPicPr>
            <xdr:cNvPr id="199400" name="SigiloPic">
              <a:extLst>
                <a:ext uri="{FF2B5EF4-FFF2-40B4-BE49-F238E27FC236}">
                  <a16:creationId xmlns:a16="http://schemas.microsoft.com/office/drawing/2014/main" id="{00000000-0008-0000-0400-0000E80A0300}"/>
                </a:ext>
              </a:extLst>
            </xdr:cNvPr>
            <xdr:cNvPicPr>
              <a:picLocks noChangeArrowheads="1"/>
              <a:extLst>
                <a:ext uri="{84589F7E-364E-4C9E-8A38-B11213B215E9}">
                  <a14:cameraTool cellRange="PO!$T$1:$T$2" spid="_x0000_s228308"/>
                </a:ext>
              </a:extLst>
            </xdr:cNvPicPr>
          </xdr:nvPicPr>
          <xdr:blipFill>
            <a:blip xmlns:r="http://schemas.openxmlformats.org/officeDocument/2006/relationships" r:embed="rId3"/>
            <a:srcRect/>
            <a:stretch>
              <a:fillRect/>
            </a:stretch>
          </xdr:blipFill>
          <xdr:spPr bwMode="auto">
            <a:xfrm>
              <a:off x="13906500" y="60960"/>
              <a:ext cx="1165860" cy="3733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30480</xdr:colOff>
      <xdr:row>0</xdr:row>
      <xdr:rowOff>30480</xdr:rowOff>
    </xdr:from>
    <xdr:to>
      <xdr:col>2</xdr:col>
      <xdr:colOff>1135380</xdr:colOff>
      <xdr:row>1</xdr:row>
      <xdr:rowOff>190500</xdr:rowOff>
    </xdr:to>
    <xdr:pic>
      <xdr:nvPicPr>
        <xdr:cNvPr id="2" name="Picture 13472">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99160" y="30480"/>
          <a:ext cx="1836420" cy="3733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60960</xdr:colOff>
      <xdr:row>0</xdr:row>
      <xdr:rowOff>38100</xdr:rowOff>
    </xdr:from>
    <xdr:to>
      <xdr:col>12</xdr:col>
      <xdr:colOff>1165860</xdr:colOff>
      <xdr:row>2</xdr:row>
      <xdr:rowOff>99060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500-0000C2F3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636270</xdr:colOff>
      <xdr:row>7</xdr:row>
      <xdr:rowOff>209550</xdr:rowOff>
    </xdr:from>
    <xdr:to>
      <xdr:col>12</xdr:col>
      <xdr:colOff>1741170</xdr:colOff>
      <xdr:row>9</xdr:row>
      <xdr:rowOff>0</xdr:rowOff>
    </xdr:to>
    <xdr:sp macro="[0]!EditarCRONO" textlink="">
      <xdr:nvSpPr>
        <xdr:cNvPr id="7" name="AddCFF">
          <a:extLst>
            <a:ext uri="{FF2B5EF4-FFF2-40B4-BE49-F238E27FC236}">
              <a16:creationId xmlns:a16="http://schemas.microsoft.com/office/drawing/2014/main" id="{00000000-0008-0000-05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220980</xdr:rowOff>
        </xdr:to>
        <xdr:pic>
          <xdr:nvPicPr>
            <xdr:cNvPr id="200672" name="PIC2">
              <a:extLst>
                <a:ext uri="{FF2B5EF4-FFF2-40B4-BE49-F238E27FC236}">
                  <a16:creationId xmlns:a16="http://schemas.microsoft.com/office/drawing/2014/main" id="{00000000-0008-0000-0500-0000E00F0300}"/>
                </a:ext>
              </a:extLst>
            </xdr:cNvPr>
            <xdr:cNvPicPr>
              <a:picLocks noChangeArrowheads="1"/>
              <a:extLst>
                <a:ext uri="{84589F7E-364E-4C9E-8A38-B11213B215E9}">
                  <a14:cameraTool cellRange="DADOS!$A$220:$X$230" spid="_x0000_s232730"/>
                </a:ext>
              </a:extLst>
            </xdr:cNvPicPr>
          </xdr:nvPicPr>
          <xdr:blipFill>
            <a:blip xmlns:r="http://schemas.openxmlformats.org/officeDocument/2006/relationships" r:embed="rId1"/>
            <a:srcRect l="39473"/>
            <a:stretch>
              <a:fillRect/>
            </a:stretch>
          </xdr:blipFill>
          <xdr:spPr bwMode="auto">
            <a:xfrm>
              <a:off x="5775960" y="480060"/>
              <a:ext cx="8595360" cy="11582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15</xdr:col>
          <xdr:colOff>0</xdr:colOff>
          <xdr:row>6</xdr:row>
          <xdr:rowOff>220980</xdr:rowOff>
        </xdr:to>
        <xdr:pic>
          <xdr:nvPicPr>
            <xdr:cNvPr id="200673" name="PIC1">
              <a:extLst>
                <a:ext uri="{FF2B5EF4-FFF2-40B4-BE49-F238E27FC236}">
                  <a16:creationId xmlns:a16="http://schemas.microsoft.com/office/drawing/2014/main" id="{00000000-0008-0000-0500-0000E10F0300}"/>
                </a:ext>
              </a:extLst>
            </xdr:cNvPr>
            <xdr:cNvPicPr>
              <a:picLocks noChangeArrowheads="1"/>
              <a:extLst>
                <a:ext uri="{84589F7E-364E-4C9E-8A38-B11213B215E9}">
                  <a14:cameraTool cellRange="DADOS!$A$220:$X$230" spid="_x0000_s232731"/>
                </a:ext>
              </a:extLst>
            </xdr:cNvPicPr>
          </xdr:nvPicPr>
          <xdr:blipFill>
            <a:blip xmlns:r="http://schemas.openxmlformats.org/officeDocument/2006/relationships" r:embed="rId1"/>
            <a:srcRect r="60628"/>
            <a:stretch>
              <a:fillRect/>
            </a:stretch>
          </xdr:blipFill>
          <xdr:spPr bwMode="auto">
            <a:xfrm>
              <a:off x="152400" y="480060"/>
              <a:ext cx="5593080" cy="11582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998220</xdr:colOff>
          <xdr:row>55</xdr:row>
          <xdr:rowOff>0</xdr:rowOff>
        </xdr:from>
        <xdr:to>
          <xdr:col>22</xdr:col>
          <xdr:colOff>30480</xdr:colOff>
          <xdr:row>59</xdr:row>
          <xdr:rowOff>144780</xdr:rowOff>
        </xdr:to>
        <xdr:pic>
          <xdr:nvPicPr>
            <xdr:cNvPr id="200674" name="Picture 483">
              <a:extLst>
                <a:ext uri="{FF2B5EF4-FFF2-40B4-BE49-F238E27FC236}">
                  <a16:creationId xmlns:a16="http://schemas.microsoft.com/office/drawing/2014/main" id="{00000000-0008-0000-0500-0000E20F0300}"/>
                </a:ext>
              </a:extLst>
            </xdr:cNvPr>
            <xdr:cNvPicPr>
              <a:picLocks noChangeArrowheads="1"/>
              <a:extLst>
                <a:ext uri="{84589F7E-364E-4C9E-8A38-B11213B215E9}">
                  <a14:cameraTool cellRange="DADOS!$A$53:$K$57" spid="_x0000_s232732"/>
                </a:ext>
              </a:extLst>
            </xdr:cNvPicPr>
          </xdr:nvPicPr>
          <xdr:blipFill>
            <a:blip xmlns:r="http://schemas.openxmlformats.org/officeDocument/2006/relationships" r:embed="rId2"/>
            <a:srcRect/>
            <a:stretch>
              <a:fillRect/>
            </a:stretch>
          </xdr:blipFill>
          <xdr:spPr bwMode="auto">
            <a:xfrm>
              <a:off x="6774180" y="4107180"/>
              <a:ext cx="6553200" cy="8153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937260</xdr:colOff>
          <xdr:row>0</xdr:row>
          <xdr:rowOff>68580</xdr:rowOff>
        </xdr:from>
        <xdr:to>
          <xdr:col>22</xdr:col>
          <xdr:colOff>1028700</xdr:colOff>
          <xdr:row>2</xdr:row>
          <xdr:rowOff>121920</xdr:rowOff>
        </xdr:to>
        <xdr:pic>
          <xdr:nvPicPr>
            <xdr:cNvPr id="200675" name="SigiloPic">
              <a:extLst>
                <a:ext uri="{FF2B5EF4-FFF2-40B4-BE49-F238E27FC236}">
                  <a16:creationId xmlns:a16="http://schemas.microsoft.com/office/drawing/2014/main" id="{00000000-0008-0000-0500-0000E30F0300}"/>
                </a:ext>
              </a:extLst>
            </xdr:cNvPr>
            <xdr:cNvPicPr>
              <a:picLocks noChangeArrowheads="1"/>
              <a:extLst>
                <a:ext uri="{84589F7E-364E-4C9E-8A38-B11213B215E9}">
                  <a14:cameraTool cellRange="PO!$T$1:$T$2" spid="_x0000_s232733"/>
                </a:ext>
              </a:extLst>
            </xdr:cNvPicPr>
          </xdr:nvPicPr>
          <xdr:blipFill>
            <a:blip xmlns:r="http://schemas.openxmlformats.org/officeDocument/2006/relationships" r:embed="rId3"/>
            <a:srcRect/>
            <a:stretch>
              <a:fillRect/>
            </a:stretch>
          </xdr:blipFill>
          <xdr:spPr bwMode="auto">
            <a:xfrm>
              <a:off x="13159740" y="68580"/>
              <a:ext cx="1165860" cy="3733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55</xdr:row>
          <xdr:rowOff>0</xdr:rowOff>
        </xdr:from>
        <xdr:to>
          <xdr:col>23</xdr:col>
          <xdr:colOff>0</xdr:colOff>
          <xdr:row>59</xdr:row>
          <xdr:rowOff>144780</xdr:rowOff>
        </xdr:to>
        <xdr:pic>
          <xdr:nvPicPr>
            <xdr:cNvPr id="200676" name="Picture 483">
              <a:extLst>
                <a:ext uri="{FF2B5EF4-FFF2-40B4-BE49-F238E27FC236}">
                  <a16:creationId xmlns:a16="http://schemas.microsoft.com/office/drawing/2014/main" id="{00000000-0008-0000-0500-0000E40F0300}"/>
                </a:ext>
              </a:extLst>
            </xdr:cNvPr>
            <xdr:cNvPicPr>
              <a:picLocks noChangeArrowheads="1"/>
              <a:extLst>
                <a:ext uri="{84589F7E-364E-4C9E-8A38-B11213B215E9}">
                  <a14:cameraTool cellRange="DADOS!$A$53:$K$57" spid="_x0000_s232734"/>
                </a:ext>
              </a:extLst>
            </xdr:cNvPicPr>
          </xdr:nvPicPr>
          <xdr:blipFill>
            <a:blip xmlns:r="http://schemas.openxmlformats.org/officeDocument/2006/relationships" r:embed="rId2"/>
            <a:srcRect/>
            <a:stretch>
              <a:fillRect/>
            </a:stretch>
          </xdr:blipFill>
          <xdr:spPr bwMode="auto">
            <a:xfrm>
              <a:off x="14371320" y="4107180"/>
              <a:ext cx="0" cy="8153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68580</xdr:rowOff>
        </xdr:from>
        <xdr:to>
          <xdr:col>23</xdr:col>
          <xdr:colOff>0</xdr:colOff>
          <xdr:row>2</xdr:row>
          <xdr:rowOff>121920</xdr:rowOff>
        </xdr:to>
        <xdr:pic>
          <xdr:nvPicPr>
            <xdr:cNvPr id="200677" name="SigiloPic">
              <a:extLst>
                <a:ext uri="{FF2B5EF4-FFF2-40B4-BE49-F238E27FC236}">
                  <a16:creationId xmlns:a16="http://schemas.microsoft.com/office/drawing/2014/main" id="{00000000-0008-0000-0500-0000E50F0300}"/>
                </a:ext>
              </a:extLst>
            </xdr:cNvPr>
            <xdr:cNvPicPr>
              <a:picLocks noChangeArrowheads="1"/>
              <a:extLst>
                <a:ext uri="{84589F7E-364E-4C9E-8A38-B11213B215E9}">
                  <a14:cameraTool cellRange="PO!$T$1:$T$2" spid="_x0000_s232735"/>
                </a:ext>
              </a:extLst>
            </xdr:cNvPicPr>
          </xdr:nvPicPr>
          <xdr:blipFill>
            <a:blip xmlns:r="http://schemas.openxmlformats.org/officeDocument/2006/relationships" r:embed="rId3"/>
            <a:srcRect/>
            <a:stretch>
              <a:fillRect/>
            </a:stretch>
          </xdr:blipFill>
          <xdr:spPr bwMode="auto">
            <a:xfrm>
              <a:off x="14371320" y="68580"/>
              <a:ext cx="0" cy="3733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55</xdr:row>
          <xdr:rowOff>0</xdr:rowOff>
        </xdr:from>
        <xdr:to>
          <xdr:col>23</xdr:col>
          <xdr:colOff>0</xdr:colOff>
          <xdr:row>59</xdr:row>
          <xdr:rowOff>144780</xdr:rowOff>
        </xdr:to>
        <xdr:pic>
          <xdr:nvPicPr>
            <xdr:cNvPr id="200678" name="Picture 483">
              <a:extLst>
                <a:ext uri="{FF2B5EF4-FFF2-40B4-BE49-F238E27FC236}">
                  <a16:creationId xmlns:a16="http://schemas.microsoft.com/office/drawing/2014/main" id="{00000000-0008-0000-0500-0000E60F0300}"/>
                </a:ext>
              </a:extLst>
            </xdr:cNvPr>
            <xdr:cNvPicPr>
              <a:picLocks noChangeArrowheads="1"/>
              <a:extLst>
                <a:ext uri="{84589F7E-364E-4C9E-8A38-B11213B215E9}">
                  <a14:cameraTool cellRange="DADOS!$A$53:$K$57" spid="_x0000_s232736"/>
                </a:ext>
              </a:extLst>
            </xdr:cNvPicPr>
          </xdr:nvPicPr>
          <xdr:blipFill>
            <a:blip xmlns:r="http://schemas.openxmlformats.org/officeDocument/2006/relationships" r:embed="rId2"/>
            <a:srcRect/>
            <a:stretch>
              <a:fillRect/>
            </a:stretch>
          </xdr:blipFill>
          <xdr:spPr bwMode="auto">
            <a:xfrm>
              <a:off x="14371320" y="4107180"/>
              <a:ext cx="0" cy="8153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68580</xdr:rowOff>
        </xdr:from>
        <xdr:to>
          <xdr:col>23</xdr:col>
          <xdr:colOff>0</xdr:colOff>
          <xdr:row>2</xdr:row>
          <xdr:rowOff>121920</xdr:rowOff>
        </xdr:to>
        <xdr:pic>
          <xdr:nvPicPr>
            <xdr:cNvPr id="200679" name="SigiloPic">
              <a:extLst>
                <a:ext uri="{FF2B5EF4-FFF2-40B4-BE49-F238E27FC236}">
                  <a16:creationId xmlns:a16="http://schemas.microsoft.com/office/drawing/2014/main" id="{00000000-0008-0000-0500-0000E70F0300}"/>
                </a:ext>
              </a:extLst>
            </xdr:cNvPr>
            <xdr:cNvPicPr>
              <a:picLocks noChangeArrowheads="1"/>
              <a:extLst>
                <a:ext uri="{84589F7E-364E-4C9E-8A38-B11213B215E9}">
                  <a14:cameraTool cellRange="PO!$T$1:$T$2" spid="_x0000_s232737"/>
                </a:ext>
              </a:extLst>
            </xdr:cNvPicPr>
          </xdr:nvPicPr>
          <xdr:blipFill>
            <a:blip xmlns:r="http://schemas.openxmlformats.org/officeDocument/2006/relationships" r:embed="rId3"/>
            <a:srcRect/>
            <a:stretch>
              <a:fillRect/>
            </a:stretch>
          </xdr:blipFill>
          <xdr:spPr bwMode="auto">
            <a:xfrm>
              <a:off x="14371320" y="68580"/>
              <a:ext cx="0" cy="3733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55</xdr:row>
          <xdr:rowOff>0</xdr:rowOff>
        </xdr:from>
        <xdr:to>
          <xdr:col>23</xdr:col>
          <xdr:colOff>0</xdr:colOff>
          <xdr:row>59</xdr:row>
          <xdr:rowOff>144780</xdr:rowOff>
        </xdr:to>
        <xdr:pic>
          <xdr:nvPicPr>
            <xdr:cNvPr id="200680" name="Picture 483">
              <a:extLst>
                <a:ext uri="{FF2B5EF4-FFF2-40B4-BE49-F238E27FC236}">
                  <a16:creationId xmlns:a16="http://schemas.microsoft.com/office/drawing/2014/main" id="{00000000-0008-0000-0500-0000E80F0300}"/>
                </a:ext>
              </a:extLst>
            </xdr:cNvPr>
            <xdr:cNvPicPr>
              <a:picLocks noChangeArrowheads="1"/>
              <a:extLst>
                <a:ext uri="{84589F7E-364E-4C9E-8A38-B11213B215E9}">
                  <a14:cameraTool cellRange="DADOS!$A$53:$K$57" spid="_x0000_s232738"/>
                </a:ext>
              </a:extLst>
            </xdr:cNvPicPr>
          </xdr:nvPicPr>
          <xdr:blipFill>
            <a:blip xmlns:r="http://schemas.openxmlformats.org/officeDocument/2006/relationships" r:embed="rId2"/>
            <a:srcRect/>
            <a:stretch>
              <a:fillRect/>
            </a:stretch>
          </xdr:blipFill>
          <xdr:spPr bwMode="auto">
            <a:xfrm>
              <a:off x="14371320" y="4107180"/>
              <a:ext cx="0" cy="8153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68580</xdr:rowOff>
        </xdr:from>
        <xdr:to>
          <xdr:col>23</xdr:col>
          <xdr:colOff>0</xdr:colOff>
          <xdr:row>2</xdr:row>
          <xdr:rowOff>121920</xdr:rowOff>
        </xdr:to>
        <xdr:pic>
          <xdr:nvPicPr>
            <xdr:cNvPr id="200681" name="SigiloPic">
              <a:extLst>
                <a:ext uri="{FF2B5EF4-FFF2-40B4-BE49-F238E27FC236}">
                  <a16:creationId xmlns:a16="http://schemas.microsoft.com/office/drawing/2014/main" id="{00000000-0008-0000-0500-0000E90F0300}"/>
                </a:ext>
              </a:extLst>
            </xdr:cNvPr>
            <xdr:cNvPicPr>
              <a:picLocks noChangeArrowheads="1"/>
              <a:extLst>
                <a:ext uri="{84589F7E-364E-4C9E-8A38-B11213B215E9}">
                  <a14:cameraTool cellRange="PO!$T$1:$T$2" spid="_x0000_s232739"/>
                </a:ext>
              </a:extLst>
            </xdr:cNvPicPr>
          </xdr:nvPicPr>
          <xdr:blipFill>
            <a:blip xmlns:r="http://schemas.openxmlformats.org/officeDocument/2006/relationships" r:embed="rId3"/>
            <a:srcRect/>
            <a:stretch>
              <a:fillRect/>
            </a:stretch>
          </xdr:blipFill>
          <xdr:spPr bwMode="auto">
            <a:xfrm>
              <a:off x="14371320" y="68580"/>
              <a:ext cx="0" cy="3733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55</xdr:row>
          <xdr:rowOff>0</xdr:rowOff>
        </xdr:from>
        <xdr:to>
          <xdr:col>23</xdr:col>
          <xdr:colOff>0</xdr:colOff>
          <xdr:row>59</xdr:row>
          <xdr:rowOff>144780</xdr:rowOff>
        </xdr:to>
        <xdr:pic>
          <xdr:nvPicPr>
            <xdr:cNvPr id="200682" name="Picture 483">
              <a:extLst>
                <a:ext uri="{FF2B5EF4-FFF2-40B4-BE49-F238E27FC236}">
                  <a16:creationId xmlns:a16="http://schemas.microsoft.com/office/drawing/2014/main" id="{00000000-0008-0000-0500-0000EA0F0300}"/>
                </a:ext>
              </a:extLst>
            </xdr:cNvPr>
            <xdr:cNvPicPr>
              <a:picLocks noChangeArrowheads="1"/>
              <a:extLst>
                <a:ext uri="{84589F7E-364E-4C9E-8A38-B11213B215E9}">
                  <a14:cameraTool cellRange="DADOS!$A$53:$K$57" spid="_x0000_s232740"/>
                </a:ext>
              </a:extLst>
            </xdr:cNvPicPr>
          </xdr:nvPicPr>
          <xdr:blipFill>
            <a:blip xmlns:r="http://schemas.openxmlformats.org/officeDocument/2006/relationships" r:embed="rId2"/>
            <a:srcRect/>
            <a:stretch>
              <a:fillRect/>
            </a:stretch>
          </xdr:blipFill>
          <xdr:spPr bwMode="auto">
            <a:xfrm>
              <a:off x="14371320" y="4107180"/>
              <a:ext cx="0" cy="8153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68580</xdr:rowOff>
        </xdr:from>
        <xdr:to>
          <xdr:col>23</xdr:col>
          <xdr:colOff>0</xdr:colOff>
          <xdr:row>2</xdr:row>
          <xdr:rowOff>121920</xdr:rowOff>
        </xdr:to>
        <xdr:pic>
          <xdr:nvPicPr>
            <xdr:cNvPr id="200683" name="SigiloPic">
              <a:extLst>
                <a:ext uri="{FF2B5EF4-FFF2-40B4-BE49-F238E27FC236}">
                  <a16:creationId xmlns:a16="http://schemas.microsoft.com/office/drawing/2014/main" id="{00000000-0008-0000-0500-0000EB0F0300}"/>
                </a:ext>
              </a:extLst>
            </xdr:cNvPr>
            <xdr:cNvPicPr>
              <a:picLocks noChangeArrowheads="1"/>
              <a:extLst>
                <a:ext uri="{84589F7E-364E-4C9E-8A38-B11213B215E9}">
                  <a14:cameraTool cellRange="PO!$T$1:$T$2" spid="_x0000_s232741"/>
                </a:ext>
              </a:extLst>
            </xdr:cNvPicPr>
          </xdr:nvPicPr>
          <xdr:blipFill>
            <a:blip xmlns:r="http://schemas.openxmlformats.org/officeDocument/2006/relationships" r:embed="rId3"/>
            <a:srcRect/>
            <a:stretch>
              <a:fillRect/>
            </a:stretch>
          </xdr:blipFill>
          <xdr:spPr bwMode="auto">
            <a:xfrm>
              <a:off x="14371320" y="68580"/>
              <a:ext cx="0" cy="3733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55</xdr:row>
          <xdr:rowOff>0</xdr:rowOff>
        </xdr:from>
        <xdr:to>
          <xdr:col>23</xdr:col>
          <xdr:colOff>0</xdr:colOff>
          <xdr:row>59</xdr:row>
          <xdr:rowOff>144780</xdr:rowOff>
        </xdr:to>
        <xdr:pic>
          <xdr:nvPicPr>
            <xdr:cNvPr id="200684" name="Picture 483">
              <a:extLst>
                <a:ext uri="{FF2B5EF4-FFF2-40B4-BE49-F238E27FC236}">
                  <a16:creationId xmlns:a16="http://schemas.microsoft.com/office/drawing/2014/main" id="{00000000-0008-0000-0500-0000EC0F0300}"/>
                </a:ext>
              </a:extLst>
            </xdr:cNvPr>
            <xdr:cNvPicPr>
              <a:picLocks noChangeArrowheads="1"/>
              <a:extLst>
                <a:ext uri="{84589F7E-364E-4C9E-8A38-B11213B215E9}">
                  <a14:cameraTool cellRange="DADOS!$A$53:$K$57" spid="_x0000_s232742"/>
                </a:ext>
              </a:extLst>
            </xdr:cNvPicPr>
          </xdr:nvPicPr>
          <xdr:blipFill>
            <a:blip xmlns:r="http://schemas.openxmlformats.org/officeDocument/2006/relationships" r:embed="rId2"/>
            <a:srcRect/>
            <a:stretch>
              <a:fillRect/>
            </a:stretch>
          </xdr:blipFill>
          <xdr:spPr bwMode="auto">
            <a:xfrm>
              <a:off x="14371320" y="4107180"/>
              <a:ext cx="0" cy="81534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68580</xdr:rowOff>
        </xdr:from>
        <xdr:to>
          <xdr:col>23</xdr:col>
          <xdr:colOff>0</xdr:colOff>
          <xdr:row>2</xdr:row>
          <xdr:rowOff>121920</xdr:rowOff>
        </xdr:to>
        <xdr:pic>
          <xdr:nvPicPr>
            <xdr:cNvPr id="200685" name="SigiloPic">
              <a:extLst>
                <a:ext uri="{FF2B5EF4-FFF2-40B4-BE49-F238E27FC236}">
                  <a16:creationId xmlns:a16="http://schemas.microsoft.com/office/drawing/2014/main" id="{00000000-0008-0000-0500-0000ED0F0300}"/>
                </a:ext>
              </a:extLst>
            </xdr:cNvPr>
            <xdr:cNvPicPr>
              <a:picLocks noChangeArrowheads="1"/>
              <a:extLst>
                <a:ext uri="{84589F7E-364E-4C9E-8A38-B11213B215E9}">
                  <a14:cameraTool cellRange="PO!$T$1:$T$2" spid="_x0000_s232743"/>
                </a:ext>
              </a:extLst>
            </xdr:cNvPicPr>
          </xdr:nvPicPr>
          <xdr:blipFill>
            <a:blip xmlns:r="http://schemas.openxmlformats.org/officeDocument/2006/relationships" r:embed="rId3"/>
            <a:srcRect/>
            <a:stretch>
              <a:fillRect/>
            </a:stretch>
          </xdr:blipFill>
          <xdr:spPr bwMode="auto">
            <a:xfrm>
              <a:off x="14371320" y="68580"/>
              <a:ext cx="0" cy="37338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60960</xdr:colOff>
      <xdr:row>0</xdr:row>
      <xdr:rowOff>38100</xdr:rowOff>
    </xdr:from>
    <xdr:to>
      <xdr:col>12</xdr:col>
      <xdr:colOff>1165860</xdr:colOff>
      <xdr:row>2</xdr:row>
      <xdr:rowOff>99060</xdr:rowOff>
    </xdr:to>
    <xdr:pic>
      <xdr:nvPicPr>
        <xdr:cNvPr id="2" name="Picture 125890">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0960" y="38100"/>
          <a:ext cx="183642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topLeftCell="A31" zoomScaleNormal="100" zoomScaleSheetLayoutView="100" workbookViewId="0">
      <selection activeCell="A49" sqref="A49"/>
    </sheetView>
  </sheetViews>
  <sheetFormatPr defaultColWidth="9.140625" defaultRowHeight="12.75" x14ac:dyDescent="0.2"/>
  <cols>
    <col min="1" max="2" width="8.7109375" style="8" customWidth="1"/>
    <col min="3" max="5" width="8.7109375" style="1" customWidth="1"/>
    <col min="6" max="8" width="8.7109375" style="7" customWidth="1"/>
    <col min="9" max="24" width="8.7109375" style="1" customWidth="1"/>
    <col min="25" max="16384" width="9.140625" style="1"/>
  </cols>
  <sheetData>
    <row r="1" spans="1:25" ht="12.75" customHeight="1" x14ac:dyDescent="0.2">
      <c r="A1" s="103">
        <v>27476</v>
      </c>
      <c r="B1" s="292" t="s">
        <v>2</v>
      </c>
      <c r="C1" s="292"/>
      <c r="D1" s="292"/>
      <c r="E1" s="292"/>
      <c r="F1" s="292"/>
      <c r="G1" s="292"/>
      <c r="H1" s="292"/>
      <c r="I1" s="292"/>
      <c r="J1" s="292"/>
      <c r="K1" s="292"/>
      <c r="L1" s="292"/>
      <c r="M1" s="292"/>
      <c r="N1" s="292"/>
      <c r="O1" s="292"/>
      <c r="P1" s="292"/>
      <c r="Q1" s="292"/>
      <c r="R1" s="292"/>
      <c r="S1" s="292"/>
      <c r="T1" s="292"/>
      <c r="U1" s="292"/>
      <c r="V1" s="292"/>
      <c r="W1" s="292"/>
      <c r="X1" s="293"/>
    </row>
    <row r="2" spans="1:25" ht="13.5" customHeight="1" x14ac:dyDescent="0.2">
      <c r="A2" s="105" t="s">
        <v>228</v>
      </c>
      <c r="B2" s="294"/>
      <c r="C2" s="294"/>
      <c r="D2" s="294"/>
      <c r="E2" s="294"/>
      <c r="F2" s="294"/>
      <c r="G2" s="294"/>
      <c r="H2" s="294"/>
      <c r="I2" s="294"/>
      <c r="J2" s="294"/>
      <c r="K2" s="294"/>
      <c r="L2" s="294"/>
      <c r="M2" s="294"/>
      <c r="N2" s="294"/>
      <c r="O2" s="294"/>
      <c r="P2" s="294"/>
      <c r="Q2" s="294"/>
      <c r="R2" s="294"/>
      <c r="S2" s="294"/>
      <c r="T2" s="294"/>
      <c r="U2" s="294"/>
      <c r="V2" s="294"/>
      <c r="W2" s="294"/>
      <c r="X2" s="295"/>
    </row>
    <row r="3" spans="1:25" ht="13.5" customHeight="1" x14ac:dyDescent="0.2">
      <c r="A3" s="1"/>
      <c r="B3" s="1"/>
      <c r="F3" s="1"/>
      <c r="G3" s="1"/>
      <c r="H3" s="1"/>
    </row>
    <row r="4" spans="1:25" s="21" customFormat="1" ht="12.75" customHeight="1" x14ac:dyDescent="0.2">
      <c r="A4" s="305" t="s">
        <v>168</v>
      </c>
      <c r="B4" s="305"/>
      <c r="C4" s="305"/>
      <c r="D4" s="305"/>
      <c r="E4" s="305"/>
      <c r="F4" s="305"/>
      <c r="G4" s="305"/>
      <c r="H4" s="305"/>
      <c r="I4" s="305"/>
      <c r="J4" s="305"/>
      <c r="K4" s="305"/>
      <c r="L4" s="305"/>
      <c r="M4" s="305"/>
      <c r="N4" s="305"/>
      <c r="O4" s="305"/>
      <c r="P4" s="305"/>
      <c r="Q4" s="305"/>
      <c r="R4" s="305"/>
      <c r="S4" s="305"/>
      <c r="T4" s="305"/>
      <c r="U4" s="305"/>
      <c r="V4" s="305"/>
      <c r="W4" s="305"/>
      <c r="X4" s="305"/>
    </row>
    <row r="5" spans="1:25" s="21" customFormat="1" x14ac:dyDescent="0.2">
      <c r="A5" s="22"/>
      <c r="B5" s="22"/>
      <c r="F5" s="23"/>
      <c r="G5" s="23"/>
      <c r="H5" s="23"/>
    </row>
    <row r="6" spans="1:25" s="22" customFormat="1" ht="24.95" customHeight="1" x14ac:dyDescent="0.2">
      <c r="A6" s="306" t="s">
        <v>179</v>
      </c>
      <c r="B6" s="307"/>
      <c r="C6" s="307"/>
      <c r="D6" s="307"/>
      <c r="E6" s="307"/>
      <c r="F6" s="307"/>
      <c r="G6" s="307"/>
      <c r="H6" s="307"/>
      <c r="I6" s="307"/>
      <c r="J6" s="307"/>
      <c r="K6" s="307"/>
      <c r="L6" s="307"/>
      <c r="M6" s="307"/>
      <c r="N6" s="307"/>
      <c r="O6" s="307"/>
      <c r="P6" s="307"/>
      <c r="Q6" s="307"/>
      <c r="R6" s="307"/>
      <c r="S6" s="307"/>
      <c r="T6" s="307"/>
      <c r="U6" s="307"/>
      <c r="V6" s="307"/>
      <c r="W6" s="307"/>
      <c r="X6" s="307"/>
    </row>
    <row r="7" spans="1:25" s="21" customFormat="1" ht="12.75" customHeight="1" x14ac:dyDescent="0.2">
      <c r="A7" s="22"/>
      <c r="B7" s="22"/>
      <c r="F7" s="23"/>
      <c r="G7" s="23"/>
      <c r="H7" s="23"/>
    </row>
    <row r="8" spans="1:25" s="21" customFormat="1" ht="12.75" customHeight="1" x14ac:dyDescent="0.2">
      <c r="A8" s="308" t="s">
        <v>23</v>
      </c>
      <c r="B8" s="308"/>
      <c r="C8" s="308"/>
      <c r="D8" s="308"/>
      <c r="E8" s="308"/>
      <c r="F8" s="308"/>
      <c r="G8" s="308"/>
      <c r="H8" s="308"/>
      <c r="I8" s="308"/>
      <c r="J8" s="308"/>
      <c r="K8" s="308"/>
      <c r="L8" s="308"/>
      <c r="M8" s="308"/>
      <c r="N8" s="308"/>
      <c r="O8" s="308"/>
      <c r="P8" s="308"/>
      <c r="Q8" s="308"/>
      <c r="R8" s="308"/>
      <c r="S8" s="308"/>
      <c r="T8" s="308"/>
      <c r="U8" s="308"/>
      <c r="V8" s="308"/>
      <c r="W8" s="308"/>
      <c r="X8" s="308"/>
      <c r="Y8" s="24"/>
    </row>
    <row r="9" spans="1:25" s="21" customFormat="1" ht="6" customHeight="1" x14ac:dyDescent="0.2">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
      <c r="A10" s="310" t="s">
        <v>169</v>
      </c>
      <c r="B10" s="310"/>
      <c r="C10" s="310"/>
      <c r="D10" s="310"/>
      <c r="E10" s="310"/>
      <c r="F10" s="310"/>
      <c r="G10" s="310"/>
      <c r="H10" s="310"/>
      <c r="I10" s="310"/>
      <c r="J10" s="310"/>
      <c r="K10" s="310"/>
      <c r="L10" s="310"/>
      <c r="M10" s="310"/>
      <c r="N10" s="310"/>
      <c r="O10" s="310"/>
      <c r="P10" s="310"/>
      <c r="Q10" s="310"/>
      <c r="R10" s="310"/>
      <c r="S10" s="310"/>
      <c r="T10" s="310"/>
      <c r="U10" s="310"/>
      <c r="V10" s="310"/>
      <c r="W10" s="310"/>
      <c r="X10" s="310"/>
    </row>
    <row r="11" spans="1:25" s="21" customFormat="1" ht="6" customHeight="1" x14ac:dyDescent="0.2">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5" customHeight="1" x14ac:dyDescent="0.2">
      <c r="A12" s="310" t="s">
        <v>1</v>
      </c>
      <c r="B12" s="310"/>
      <c r="C12" s="310"/>
      <c r="D12" s="310"/>
      <c r="E12" s="310"/>
      <c r="F12" s="310"/>
      <c r="G12" s="310"/>
      <c r="H12" s="310"/>
      <c r="I12" s="310"/>
      <c r="J12" s="310"/>
      <c r="K12" s="310"/>
      <c r="L12" s="310"/>
      <c r="M12" s="310"/>
      <c r="N12" s="310"/>
      <c r="O12" s="310"/>
      <c r="P12" s="310"/>
      <c r="Q12" s="310"/>
      <c r="R12" s="310"/>
      <c r="S12" s="310"/>
      <c r="T12" s="310"/>
      <c r="U12" s="310"/>
      <c r="V12" s="310"/>
      <c r="W12" s="310"/>
      <c r="X12" s="310"/>
    </row>
    <row r="13" spans="1:25" s="21" customFormat="1" x14ac:dyDescent="0.2">
      <c r="A13" s="22"/>
      <c r="B13" s="22"/>
      <c r="F13" s="23"/>
      <c r="G13" s="23"/>
      <c r="H13" s="23"/>
    </row>
    <row r="14" spans="1:25" s="21" customFormat="1" x14ac:dyDescent="0.2">
      <c r="A14" s="309" t="s">
        <v>24</v>
      </c>
      <c r="B14" s="308"/>
      <c r="C14" s="308"/>
      <c r="D14" s="308"/>
      <c r="E14" s="308"/>
      <c r="F14" s="308"/>
      <c r="G14" s="308"/>
      <c r="H14" s="308"/>
      <c r="I14" s="308"/>
      <c r="J14" s="308"/>
      <c r="K14" s="308"/>
      <c r="L14" s="308"/>
      <c r="M14" s="308"/>
      <c r="N14" s="308"/>
      <c r="O14" s="308"/>
      <c r="P14" s="308"/>
      <c r="Q14" s="308"/>
      <c r="R14" s="308"/>
      <c r="S14" s="308"/>
      <c r="T14" s="308"/>
      <c r="U14" s="308"/>
      <c r="V14" s="308"/>
      <c r="W14" s="308"/>
      <c r="X14" s="308"/>
    </row>
    <row r="15" spans="1:25" s="21" customFormat="1" x14ac:dyDescent="0.2">
      <c r="A15" s="22"/>
      <c r="B15" s="22"/>
      <c r="F15" s="23"/>
      <c r="G15" s="23"/>
      <c r="H15" s="23"/>
    </row>
    <row r="16" spans="1:25" s="21" customFormat="1" x14ac:dyDescent="0.2">
      <c r="A16" s="314" t="s">
        <v>186</v>
      </c>
      <c r="B16" s="315"/>
      <c r="C16" s="315"/>
      <c r="D16" s="315"/>
      <c r="E16" s="315"/>
      <c r="F16" s="315"/>
      <c r="G16" s="315"/>
      <c r="H16" s="315"/>
      <c r="I16" s="315"/>
      <c r="J16" s="315"/>
      <c r="K16" s="315"/>
      <c r="L16" s="315"/>
      <c r="M16" s="315"/>
      <c r="N16" s="315"/>
      <c r="O16" s="315"/>
      <c r="P16" s="315"/>
      <c r="Q16" s="315"/>
      <c r="R16" s="315"/>
      <c r="S16" s="315"/>
      <c r="T16" s="315"/>
      <c r="U16" s="315"/>
      <c r="V16" s="315"/>
      <c r="W16" s="315"/>
      <c r="X16" s="315"/>
    </row>
    <row r="17" spans="1:25" s="21" customFormat="1" ht="6" customHeight="1" x14ac:dyDescent="0.2">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
      <c r="A18" s="287" t="s">
        <v>187</v>
      </c>
      <c r="B18" s="287"/>
      <c r="C18" s="288"/>
      <c r="D18" s="288"/>
      <c r="E18" s="288"/>
      <c r="F18" s="288"/>
      <c r="G18" s="288"/>
      <c r="H18" s="288"/>
      <c r="I18" s="288"/>
      <c r="J18" s="288"/>
      <c r="K18" s="288"/>
      <c r="L18" s="288"/>
      <c r="M18" s="288"/>
      <c r="N18" s="288"/>
      <c r="O18" s="288"/>
      <c r="P18" s="288"/>
      <c r="Q18" s="288"/>
      <c r="R18" s="288"/>
      <c r="S18" s="288"/>
      <c r="T18" s="288"/>
      <c r="U18" s="288"/>
      <c r="V18" s="288"/>
      <c r="W18" s="288"/>
      <c r="X18" s="288"/>
    </row>
    <row r="19" spans="1:25" s="21" customFormat="1" x14ac:dyDescent="0.2">
      <c r="A19" s="22"/>
      <c r="B19" s="22"/>
      <c r="F19" s="23"/>
      <c r="G19" s="23"/>
      <c r="H19" s="23"/>
    </row>
    <row r="20" spans="1:25" s="21" customFormat="1" x14ac:dyDescent="0.2">
      <c r="A20" s="22"/>
      <c r="B20" s="22"/>
      <c r="F20" s="23"/>
      <c r="G20" s="23"/>
      <c r="H20" s="23"/>
    </row>
    <row r="21" spans="1:25" s="21" customFormat="1" x14ac:dyDescent="0.2">
      <c r="B21" s="22"/>
      <c r="F21" s="23"/>
      <c r="G21" s="23"/>
      <c r="H21" s="23"/>
    </row>
    <row r="22" spans="1:25" s="21" customFormat="1" ht="12.75" customHeight="1" x14ac:dyDescent="0.2">
      <c r="A22" s="314" t="s">
        <v>189</v>
      </c>
      <c r="B22" s="315"/>
      <c r="C22" s="315"/>
      <c r="D22" s="315"/>
      <c r="E22" s="315"/>
      <c r="F22" s="315"/>
      <c r="G22" s="315"/>
      <c r="H22" s="315"/>
      <c r="I22" s="315"/>
      <c r="J22" s="223"/>
      <c r="K22" s="223"/>
      <c r="L22" s="223"/>
      <c r="M22" s="223"/>
      <c r="N22" s="223"/>
      <c r="O22" s="223"/>
      <c r="P22" s="223"/>
      <c r="Q22" s="223"/>
      <c r="R22" s="223"/>
      <c r="S22" s="223"/>
      <c r="T22" s="223"/>
      <c r="U22" s="223"/>
      <c r="V22" s="223"/>
      <c r="W22" s="223"/>
      <c r="X22" s="223"/>
      <c r="Y22" s="223"/>
    </row>
    <row r="23" spans="1:25" s="21" customFormat="1" ht="6" customHeight="1" x14ac:dyDescent="0.2">
      <c r="A23" s="48"/>
    </row>
    <row r="24" spans="1:25" s="21" customFormat="1" ht="12.75" customHeight="1" x14ac:dyDescent="0.2">
      <c r="A24" s="287" t="s">
        <v>190</v>
      </c>
      <c r="B24" s="287"/>
      <c r="C24" s="288"/>
      <c r="D24" s="288"/>
      <c r="E24" s="288"/>
      <c r="F24" s="288"/>
      <c r="G24" s="288"/>
      <c r="H24" s="288"/>
      <c r="I24" s="288"/>
      <c r="J24" s="288"/>
      <c r="K24" s="288"/>
      <c r="L24" s="288"/>
      <c r="M24" s="288"/>
      <c r="N24" s="288"/>
      <c r="O24" s="288"/>
      <c r="P24" s="288"/>
      <c r="Q24" s="288"/>
      <c r="R24" s="288"/>
      <c r="S24" s="288"/>
      <c r="T24" s="288"/>
      <c r="U24" s="288"/>
      <c r="V24" s="288"/>
      <c r="W24" s="288"/>
      <c r="X24" s="288"/>
    </row>
    <row r="25" spans="1:25" s="21" customFormat="1" ht="6" customHeight="1" x14ac:dyDescent="0.2">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
      <c r="A26" s="253" t="s">
        <v>191</v>
      </c>
      <c r="B26" s="253"/>
      <c r="C26" s="254"/>
      <c r="D26" s="254"/>
      <c r="E26" s="254"/>
      <c r="F26" s="254"/>
      <c r="G26" s="254"/>
      <c r="H26" s="254"/>
      <c r="I26" s="254"/>
      <c r="J26" s="254"/>
      <c r="K26" s="254"/>
      <c r="L26" s="254"/>
      <c r="M26" s="254"/>
      <c r="N26" s="254"/>
      <c r="O26" s="254"/>
      <c r="P26" s="254"/>
      <c r="Q26" s="254"/>
      <c r="R26" s="254"/>
      <c r="S26" s="254"/>
      <c r="T26" s="254"/>
      <c r="U26" s="254"/>
      <c r="V26" s="254"/>
      <c r="W26" s="254"/>
      <c r="X26" s="254"/>
    </row>
    <row r="27" spans="1:25" s="21" customFormat="1" ht="6" customHeight="1" x14ac:dyDescent="0.2">
      <c r="A27" s="25"/>
      <c r="B27" s="25"/>
      <c r="F27" s="23"/>
      <c r="G27" s="23"/>
      <c r="H27" s="23"/>
    </row>
    <row r="28" spans="1:25" ht="12.75" customHeight="1" x14ac:dyDescent="0.2">
      <c r="A28" s="241" t="s">
        <v>177</v>
      </c>
      <c r="B28" s="243"/>
      <c r="C28" s="241" t="s">
        <v>170</v>
      </c>
      <c r="D28" s="242"/>
      <c r="E28" s="243"/>
      <c r="F28" s="241" t="s">
        <v>171</v>
      </c>
      <c r="G28" s="242"/>
      <c r="H28" s="242"/>
      <c r="I28" s="243"/>
      <c r="J28" s="241" t="s">
        <v>172</v>
      </c>
      <c r="K28" s="242"/>
      <c r="L28" s="242"/>
      <c r="M28" s="242"/>
      <c r="N28" s="242"/>
      <c r="O28" s="243"/>
      <c r="P28" s="241" t="s">
        <v>0</v>
      </c>
      <c r="Q28" s="242"/>
      <c r="R28" s="242"/>
      <c r="S28" s="242"/>
      <c r="T28" s="242"/>
      <c r="U28" s="242"/>
      <c r="V28" s="242"/>
      <c r="W28" s="242"/>
      <c r="X28" s="243"/>
    </row>
    <row r="29" spans="1:25" ht="12.75" customHeight="1" x14ac:dyDescent="0.2">
      <c r="A29" s="244"/>
      <c r="B29" s="248"/>
      <c r="C29" s="244" t="s">
        <v>229</v>
      </c>
      <c r="D29" s="245"/>
      <c r="E29" s="246"/>
      <c r="F29" s="244"/>
      <c r="G29" s="247"/>
      <c r="H29" s="247"/>
      <c r="I29" s="248"/>
      <c r="J29" s="252"/>
      <c r="K29" s="247"/>
      <c r="L29" s="247"/>
      <c r="M29" s="247"/>
      <c r="N29" s="247"/>
      <c r="O29" s="248"/>
      <c r="P29" s="244" t="s">
        <v>250</v>
      </c>
      <c r="Q29" s="247"/>
      <c r="R29" s="247"/>
      <c r="S29" s="247"/>
      <c r="T29" s="247"/>
      <c r="U29" s="247"/>
      <c r="V29" s="247"/>
      <c r="W29" s="247"/>
      <c r="X29" s="248"/>
    </row>
    <row r="30" spans="1:25" ht="6" customHeight="1" x14ac:dyDescent="0.2">
      <c r="A30" s="3"/>
      <c r="B30" s="3"/>
      <c r="C30" s="3"/>
      <c r="D30" s="3"/>
      <c r="E30" s="3"/>
      <c r="F30" s="3"/>
      <c r="G30" s="3"/>
      <c r="H30" s="3"/>
      <c r="I30" s="3"/>
      <c r="J30" s="3"/>
      <c r="K30" s="3"/>
      <c r="L30" s="3"/>
      <c r="M30" s="3"/>
      <c r="N30" s="3"/>
      <c r="O30" s="3"/>
      <c r="P30" s="3"/>
      <c r="Q30" s="3"/>
      <c r="R30" s="3"/>
      <c r="S30" s="3"/>
      <c r="T30" s="3"/>
      <c r="U30" s="3"/>
      <c r="V30" s="3"/>
    </row>
    <row r="31" spans="1:25" x14ac:dyDescent="0.2">
      <c r="A31" s="241" t="s">
        <v>173</v>
      </c>
      <c r="B31" s="242"/>
      <c r="C31" s="242"/>
      <c r="D31" s="242"/>
      <c r="E31" s="242"/>
      <c r="F31" s="243"/>
      <c r="G31" s="241" t="s">
        <v>174</v>
      </c>
      <c r="H31" s="242"/>
      <c r="I31" s="242"/>
      <c r="J31" s="243"/>
      <c r="K31" s="241" t="s">
        <v>175</v>
      </c>
      <c r="L31" s="242"/>
      <c r="M31" s="242"/>
      <c r="N31" s="242"/>
      <c r="O31" s="242"/>
      <c r="P31" s="243"/>
      <c r="Q31" s="241" t="s">
        <v>180</v>
      </c>
      <c r="R31" s="242"/>
      <c r="S31" s="242"/>
      <c r="T31" s="242"/>
      <c r="U31" s="242"/>
      <c r="V31" s="242"/>
      <c r="W31" s="242"/>
      <c r="X31" s="243"/>
    </row>
    <row r="32" spans="1:25" x14ac:dyDescent="0.2">
      <c r="A32" s="249" t="s">
        <v>229</v>
      </c>
      <c r="B32" s="250"/>
      <c r="C32" s="250"/>
      <c r="D32" s="250"/>
      <c r="E32" s="250"/>
      <c r="F32" s="251"/>
      <c r="G32" s="244" t="s">
        <v>230</v>
      </c>
      <c r="H32" s="245"/>
      <c r="I32" s="245"/>
      <c r="J32" s="246"/>
      <c r="K32" s="244" t="s">
        <v>277</v>
      </c>
      <c r="L32" s="247"/>
      <c r="M32" s="247"/>
      <c r="N32" s="247"/>
      <c r="O32" s="247"/>
      <c r="P32" s="248"/>
      <c r="Q32" s="244" t="s">
        <v>250</v>
      </c>
      <c r="R32" s="247"/>
      <c r="S32" s="247"/>
      <c r="T32" s="247"/>
      <c r="U32" s="247"/>
      <c r="V32" s="247"/>
      <c r="W32" s="247"/>
      <c r="X32" s="248"/>
    </row>
    <row r="33" spans="1:24" s="21" customFormat="1" ht="9" customHeight="1" x14ac:dyDescent="0.2">
      <c r="A33" s="22"/>
      <c r="B33" s="22"/>
      <c r="F33" s="23"/>
      <c r="G33" s="23"/>
      <c r="H33" s="23"/>
    </row>
    <row r="34" spans="1:24" s="27" customFormat="1" x14ac:dyDescent="0.2"/>
    <row r="35" spans="1:24" s="21" customFormat="1" ht="12.75" customHeight="1" x14ac:dyDescent="0.2">
      <c r="A35" s="253" t="s">
        <v>192</v>
      </c>
      <c r="B35" s="253"/>
      <c r="C35" s="254"/>
      <c r="D35" s="254"/>
      <c r="E35" s="254"/>
      <c r="F35" s="254"/>
      <c r="G35" s="254"/>
      <c r="H35" s="254"/>
      <c r="I35" s="254"/>
      <c r="J35" s="254"/>
      <c r="K35" s="254"/>
      <c r="L35" s="254"/>
      <c r="M35" s="254"/>
      <c r="N35" s="254"/>
      <c r="O35" s="254"/>
      <c r="P35" s="254"/>
      <c r="Q35" s="254"/>
      <c r="R35" s="254"/>
      <c r="S35" s="254"/>
      <c r="T35" s="254"/>
      <c r="U35" s="254"/>
      <c r="V35" s="254"/>
      <c r="W35" s="254"/>
      <c r="X35" s="254"/>
    </row>
    <row r="36" spans="1:24" s="21" customFormat="1" ht="6" customHeight="1" x14ac:dyDescent="0.2">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
      <c r="A37" s="241" t="s">
        <v>16</v>
      </c>
      <c r="B37" s="243"/>
      <c r="C37" s="92" t="s">
        <v>91</v>
      </c>
      <c r="D37" s="241" t="s">
        <v>14</v>
      </c>
      <c r="E37" s="242"/>
      <c r="F37" s="243"/>
      <c r="G37" s="241" t="s">
        <v>12</v>
      </c>
      <c r="H37" s="242"/>
      <c r="I37" s="242"/>
      <c r="J37" s="242"/>
      <c r="K37" s="242"/>
      <c r="L37" s="242"/>
      <c r="M37" s="242"/>
      <c r="N37" s="242"/>
      <c r="O37" s="242"/>
      <c r="P37" s="242"/>
      <c r="Q37" s="242"/>
      <c r="R37" s="242"/>
      <c r="S37" s="243"/>
      <c r="T37" s="93" t="s">
        <v>7</v>
      </c>
      <c r="U37" s="93" t="s">
        <v>8</v>
      </c>
      <c r="V37" s="93" t="s">
        <v>9</v>
      </c>
      <c r="W37" s="93" t="s">
        <v>10</v>
      </c>
      <c r="X37" s="93" t="s">
        <v>11</v>
      </c>
    </row>
    <row r="38" spans="1:24" s="21" customFormat="1" ht="12.75" customHeight="1" x14ac:dyDescent="0.2">
      <c r="A38" s="277">
        <v>44986</v>
      </c>
      <c r="B38" s="278"/>
      <c r="C38" s="91" t="s">
        <v>249</v>
      </c>
      <c r="D38" s="244" t="s">
        <v>78</v>
      </c>
      <c r="E38" s="245"/>
      <c r="F38" s="246"/>
      <c r="G38" s="244" t="s">
        <v>250</v>
      </c>
      <c r="H38" s="245"/>
      <c r="I38" s="245"/>
      <c r="J38" s="245"/>
      <c r="K38" s="245"/>
      <c r="L38" s="245"/>
      <c r="M38" s="245"/>
      <c r="N38" s="245"/>
      <c r="O38" s="245"/>
      <c r="P38" s="245"/>
      <c r="Q38" s="245"/>
      <c r="R38" s="245"/>
      <c r="S38" s="246"/>
      <c r="T38" s="95">
        <f ca="1">IF(ISERROR(INDIRECT("'BDI ("&amp;RIGHT(T37,1)&amp;")'!N27")),"",INDIRECT("'BDI ("&amp;RIGHT(T37,1)&amp;")'!N27"))</f>
        <v>0.20699999999999999</v>
      </c>
      <c r="U38" s="96">
        <f ca="1">IF(ISERROR(INDIRECT("'BDI ("&amp;RIGHT(U37,1)&amp;")'!N27")),"",INDIRECT("'BDI ("&amp;RIGHT(U37,1)&amp;")'!N27"))</f>
        <v>0.20699999999999999</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
      <c r="A40" s="253" t="s">
        <v>162</v>
      </c>
      <c r="B40" s="253"/>
      <c r="C40" s="254"/>
      <c r="D40" s="254"/>
      <c r="E40" s="254"/>
      <c r="F40" s="254"/>
      <c r="G40" s="254"/>
      <c r="H40" s="254"/>
      <c r="I40" s="254"/>
      <c r="J40" s="254"/>
      <c r="K40" s="254"/>
      <c r="L40" s="254"/>
      <c r="M40" s="254"/>
      <c r="N40" s="254"/>
      <c r="O40" s="254"/>
      <c r="P40" s="254"/>
      <c r="Q40" s="254"/>
      <c r="R40" s="254"/>
      <c r="S40" s="254"/>
      <c r="T40" s="254"/>
      <c r="U40" s="254"/>
      <c r="V40" s="254"/>
      <c r="W40" s="254"/>
      <c r="X40" s="254"/>
    </row>
    <row r="41" spans="1:24" s="21" customFormat="1" ht="6" customHeight="1" x14ac:dyDescent="0.2">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
      <c r="A42" s="241" t="s">
        <v>87</v>
      </c>
      <c r="B42" s="243"/>
      <c r="C42" s="241" t="s">
        <v>111</v>
      </c>
      <c r="D42" s="242"/>
      <c r="E42" s="242"/>
      <c r="F42" s="242"/>
      <c r="G42" s="242"/>
      <c r="H42" s="241" t="s">
        <v>16</v>
      </c>
      <c r="I42" s="242"/>
      <c r="J42" s="28" t="s">
        <v>91</v>
      </c>
      <c r="K42" s="241" t="s">
        <v>88</v>
      </c>
      <c r="L42" s="242"/>
      <c r="M42" s="243"/>
      <c r="N42" s="28" t="s">
        <v>92</v>
      </c>
      <c r="O42" s="241" t="s">
        <v>93</v>
      </c>
      <c r="P42" s="242"/>
      <c r="Q42" s="242"/>
      <c r="R42" s="242"/>
      <c r="S42" s="242"/>
      <c r="T42" s="243"/>
      <c r="U42" s="296" t="s">
        <v>89</v>
      </c>
      <c r="V42" s="297"/>
      <c r="W42" s="296" t="s">
        <v>90</v>
      </c>
      <c r="X42" s="297"/>
    </row>
    <row r="43" spans="1:24" s="21" customFormat="1" ht="12.75" customHeight="1" x14ac:dyDescent="0.2">
      <c r="A43" s="249"/>
      <c r="B43" s="311"/>
      <c r="C43" s="244"/>
      <c r="D43" s="245"/>
      <c r="E43" s="245"/>
      <c r="F43" s="245"/>
      <c r="G43" s="245"/>
      <c r="H43" s="277"/>
      <c r="I43" s="278"/>
      <c r="J43" s="88"/>
      <c r="K43" s="255"/>
      <c r="L43" s="256"/>
      <c r="M43" s="257"/>
      <c r="N43" s="104"/>
      <c r="O43" s="300"/>
      <c r="P43" s="301"/>
      <c r="Q43" s="301"/>
      <c r="R43" s="302"/>
      <c r="S43" s="302"/>
      <c r="T43" s="303"/>
      <c r="U43" s="298"/>
      <c r="V43" s="304"/>
      <c r="W43" s="298"/>
      <c r="X43" s="299"/>
    </row>
    <row r="44" spans="1:24" s="21" customFormat="1" ht="12.75" customHeight="1" x14ac:dyDescent="0.2">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
      <c r="A45" s="253" t="s">
        <v>193</v>
      </c>
      <c r="B45" s="253"/>
      <c r="C45" s="254"/>
      <c r="D45" s="254"/>
      <c r="E45" s="254"/>
      <c r="F45" s="254"/>
      <c r="G45" s="254"/>
      <c r="H45" s="254"/>
      <c r="I45" s="254"/>
      <c r="J45" s="254"/>
      <c r="K45" s="254"/>
      <c r="L45" s="254"/>
      <c r="M45" s="254"/>
      <c r="N45" s="254"/>
      <c r="O45" s="254"/>
      <c r="P45" s="254"/>
      <c r="Q45" s="254"/>
      <c r="R45" s="254"/>
      <c r="S45" s="254"/>
      <c r="T45" s="254"/>
      <c r="U45" s="254"/>
      <c r="V45" s="254"/>
      <c r="W45" s="254"/>
      <c r="X45" s="254"/>
    </row>
    <row r="46" spans="1:24" s="21" customFormat="1" ht="6" customHeight="1" x14ac:dyDescent="0.2">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
      <c r="A47" s="28" t="s">
        <v>15</v>
      </c>
      <c r="B47" s="29"/>
      <c r="C47" s="30"/>
    </row>
    <row r="48" spans="1:24" s="21" customFormat="1" x14ac:dyDescent="0.2">
      <c r="A48" s="281">
        <v>45199</v>
      </c>
      <c r="B48" s="282"/>
      <c r="C48" s="283"/>
      <c r="E48" s="37"/>
    </row>
    <row r="49" spans="1:24" s="21" customFormat="1" x14ac:dyDescent="0.2">
      <c r="A49" s="22"/>
      <c r="B49" s="22"/>
      <c r="F49" s="33"/>
      <c r="G49" s="34"/>
      <c r="H49" s="35"/>
    </row>
    <row r="50" spans="1:24" s="21" customFormat="1" x14ac:dyDescent="0.2">
      <c r="A50" s="253" t="s">
        <v>194</v>
      </c>
      <c r="B50" s="253"/>
      <c r="C50" s="254"/>
      <c r="D50" s="254"/>
      <c r="E50" s="254"/>
      <c r="F50" s="254"/>
      <c r="G50" s="254"/>
      <c r="H50" s="254"/>
      <c r="I50" s="254"/>
      <c r="J50" s="254"/>
      <c r="K50" s="254"/>
      <c r="L50" s="254"/>
      <c r="M50" s="254"/>
      <c r="N50" s="254"/>
      <c r="O50" s="254"/>
      <c r="P50" s="254"/>
      <c r="Q50" s="254"/>
      <c r="R50" s="254"/>
      <c r="S50" s="254"/>
      <c r="T50" s="254"/>
      <c r="U50" s="254"/>
      <c r="V50" s="254"/>
      <c r="W50" s="254"/>
      <c r="X50" s="254"/>
    </row>
    <row r="51" spans="1:24" s="21" customFormat="1" x14ac:dyDescent="0.2">
      <c r="A51" s="26"/>
      <c r="B51" s="26"/>
      <c r="C51" s="32"/>
      <c r="D51" s="32"/>
      <c r="E51" s="32"/>
      <c r="F51" s="32"/>
      <c r="G51" s="32"/>
      <c r="H51" s="32"/>
      <c r="I51" s="32"/>
      <c r="J51" s="32"/>
      <c r="K51" s="32"/>
      <c r="L51" s="32"/>
      <c r="M51"/>
      <c r="N51"/>
      <c r="O51"/>
      <c r="P51"/>
      <c r="Q51"/>
      <c r="R51"/>
      <c r="S51"/>
      <c r="T51"/>
      <c r="U51"/>
      <c r="V51"/>
      <c r="W51"/>
      <c r="X51"/>
    </row>
    <row r="52" spans="1:24" s="21" customFormat="1" x14ac:dyDescent="0.2">
      <c r="A52" s="26"/>
      <c r="B52" s="26"/>
      <c r="C52" s="32"/>
      <c r="D52" s="32"/>
      <c r="E52" s="32"/>
      <c r="F52" s="32"/>
      <c r="G52" s="8" t="s">
        <v>18</v>
      </c>
      <c r="H52" s="32"/>
      <c r="I52" s="32"/>
      <c r="K52" s="86" t="s">
        <v>248</v>
      </c>
      <c r="L52" s="32"/>
      <c r="M52"/>
      <c r="N52"/>
      <c r="O52"/>
      <c r="P52"/>
      <c r="Q52"/>
      <c r="R52"/>
      <c r="S52"/>
      <c r="T52"/>
      <c r="U52"/>
      <c r="V52"/>
      <c r="W52"/>
      <c r="X52"/>
    </row>
    <row r="53" spans="1:24" s="21" customFormat="1" x14ac:dyDescent="0.2">
      <c r="A53" s="39"/>
      <c r="B53" s="39"/>
      <c r="C53" s="40"/>
      <c r="D53" s="40"/>
      <c r="E53" s="40"/>
      <c r="F53" s="33"/>
      <c r="G53" s="39"/>
      <c r="H53" s="39"/>
      <c r="I53" s="40"/>
      <c r="J53" s="40"/>
      <c r="K53" s="40"/>
      <c r="L53" s="2"/>
      <c r="M53"/>
      <c r="N53"/>
      <c r="O53"/>
      <c r="P53"/>
      <c r="Q53"/>
      <c r="R53"/>
      <c r="S53"/>
      <c r="T53"/>
      <c r="U53"/>
      <c r="V53"/>
      <c r="W53"/>
      <c r="X53"/>
    </row>
    <row r="54" spans="1:24" s="21" customFormat="1" x14ac:dyDescent="0.2">
      <c r="A54" s="101" t="s">
        <v>140</v>
      </c>
      <c r="B54" s="285"/>
      <c r="C54" s="286"/>
      <c r="D54" s="286"/>
      <c r="E54" s="286"/>
      <c r="F54" s="33"/>
      <c r="G54" s="101" t="s">
        <v>140</v>
      </c>
      <c r="H54" s="286"/>
      <c r="I54" s="286"/>
      <c r="J54" s="286"/>
      <c r="K54" s="286"/>
      <c r="L54" s="2"/>
      <c r="M54"/>
      <c r="N54"/>
      <c r="O54"/>
      <c r="P54"/>
      <c r="Q54"/>
      <c r="R54"/>
      <c r="S54"/>
      <c r="T54"/>
      <c r="U54"/>
      <c r="V54"/>
      <c r="W54"/>
      <c r="X54"/>
    </row>
    <row r="55" spans="1:24" s="21" customFormat="1" x14ac:dyDescent="0.2">
      <c r="A55" s="101" t="str">
        <f>IF(OR(TipoOrçamento="BASE",TipoOrçamento="REPROGRAMADONPL"),"Título:","Cargo:")</f>
        <v>Cargo:</v>
      </c>
      <c r="B55" s="285"/>
      <c r="C55" s="286"/>
      <c r="D55" s="286"/>
      <c r="E55" s="286"/>
      <c r="F55" s="33"/>
      <c r="G55" s="101" t="str">
        <f>A55</f>
        <v>Cargo:</v>
      </c>
      <c r="H55" s="286"/>
      <c r="I55" s="286"/>
      <c r="J55" s="286"/>
      <c r="K55" s="286"/>
      <c r="L55" s="2"/>
      <c r="M55"/>
      <c r="N55"/>
      <c r="O55"/>
      <c r="P55"/>
      <c r="Q55"/>
      <c r="R55"/>
      <c r="S55"/>
      <c r="T55"/>
      <c r="U55"/>
      <c r="V55"/>
      <c r="W55"/>
      <c r="X55"/>
    </row>
    <row r="56" spans="1:24" s="21" customFormat="1" x14ac:dyDescent="0.2">
      <c r="A56" s="101" t="str">
        <f>IF(OR(TipoOrçamento="BASE",TipoOrçamento="REPROGRAMADONPL"),"CREA/CAU:","Empresa:")</f>
        <v>Empresa:</v>
      </c>
      <c r="B56" s="291"/>
      <c r="C56" s="284"/>
      <c r="D56" s="284"/>
      <c r="E56" s="284"/>
      <c r="F56" s="33"/>
      <c r="G56" s="101" t="str">
        <f>A56</f>
        <v>Empresa:</v>
      </c>
      <c r="H56" s="284"/>
      <c r="I56" s="284"/>
      <c r="J56" s="284"/>
      <c r="K56" s="284"/>
      <c r="L56" s="2"/>
      <c r="M56"/>
      <c r="N56"/>
      <c r="O56"/>
      <c r="P56"/>
      <c r="Q56"/>
      <c r="R56"/>
      <c r="S56"/>
      <c r="T56"/>
      <c r="U56"/>
      <c r="V56"/>
      <c r="W56"/>
      <c r="X56"/>
    </row>
    <row r="57" spans="1:24" s="21" customFormat="1" x14ac:dyDescent="0.2">
      <c r="A57" s="101" t="str">
        <f>IF(OR(TipoOrçamento="BASE",TipoOrçamento="REPROGRAMADONPL"),"ART/RRT:","CNPJ:")</f>
        <v>CNPJ:</v>
      </c>
      <c r="B57" s="291"/>
      <c r="C57" s="284"/>
      <c r="D57" s="284"/>
      <c r="E57" s="284"/>
      <c r="F57" s="33"/>
      <c r="G57" s="101" t="str">
        <f>A57</f>
        <v>CNPJ:</v>
      </c>
      <c r="H57" s="284"/>
      <c r="I57" s="284"/>
      <c r="J57" s="284"/>
      <c r="K57" s="284"/>
      <c r="L57" s="2"/>
      <c r="M57"/>
      <c r="N57"/>
      <c r="O57"/>
      <c r="P57"/>
      <c r="Q57"/>
      <c r="R57"/>
      <c r="S57"/>
      <c r="T57"/>
      <c r="U57"/>
      <c r="V57"/>
      <c r="W57"/>
      <c r="X57"/>
    </row>
    <row r="58" spans="1:24" s="21" customFormat="1" x14ac:dyDescent="0.2">
      <c r="A58" s="22"/>
      <c r="B58" s="22"/>
      <c r="F58" s="33"/>
      <c r="G58" s="34"/>
      <c r="H58" s="35"/>
      <c r="M58"/>
      <c r="N58"/>
      <c r="O58"/>
      <c r="P58"/>
      <c r="Q58"/>
      <c r="R58"/>
      <c r="S58"/>
      <c r="T58"/>
      <c r="U58"/>
      <c r="V58"/>
      <c r="W58"/>
      <c r="X58"/>
    </row>
    <row r="59" spans="1:24" s="21" customFormat="1" x14ac:dyDescent="0.2">
      <c r="A59" s="22"/>
      <c r="B59" s="22"/>
      <c r="F59" s="33"/>
      <c r="G59" s="34"/>
      <c r="H59" s="35"/>
      <c r="M59"/>
      <c r="N59"/>
      <c r="O59"/>
      <c r="P59"/>
      <c r="Q59"/>
      <c r="R59"/>
      <c r="S59"/>
      <c r="T59"/>
      <c r="U59"/>
      <c r="V59"/>
      <c r="W59"/>
      <c r="X59"/>
    </row>
    <row r="60" spans="1:24" s="21" customFormat="1" ht="12.75" customHeight="1" x14ac:dyDescent="0.2">
      <c r="A60" s="287" t="s">
        <v>195</v>
      </c>
      <c r="B60" s="287"/>
      <c r="C60" s="288"/>
      <c r="D60" s="288"/>
      <c r="E60" s="288"/>
      <c r="F60" s="288"/>
      <c r="G60" s="288"/>
      <c r="H60" s="288"/>
      <c r="I60" s="288"/>
      <c r="J60" s="288"/>
      <c r="K60" s="288"/>
      <c r="L60" s="288"/>
      <c r="M60" s="288"/>
      <c r="N60" s="288"/>
      <c r="O60" s="288"/>
      <c r="P60" s="288"/>
      <c r="Q60" s="288"/>
      <c r="R60" s="288"/>
      <c r="S60" s="288"/>
      <c r="T60" s="288"/>
      <c r="U60" s="288"/>
      <c r="V60" s="288"/>
      <c r="W60" s="288"/>
      <c r="X60" s="288"/>
    </row>
    <row r="61" spans="1:24" s="21" customFormat="1" x14ac:dyDescent="0.2">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
      <c r="A62" s="289" t="s">
        <v>196</v>
      </c>
      <c r="B62" s="312"/>
      <c r="C62" s="313"/>
      <c r="D62" s="313"/>
      <c r="E62" s="313"/>
      <c r="F62" s="313"/>
      <c r="G62" s="313"/>
      <c r="H62" s="313"/>
      <c r="I62" s="313"/>
      <c r="J62" s="313"/>
      <c r="K62" s="313"/>
      <c r="L62" s="313"/>
      <c r="M62" s="313"/>
      <c r="N62" s="313"/>
      <c r="O62" s="313"/>
      <c r="P62" s="313"/>
      <c r="Q62" s="313"/>
      <c r="R62" s="313"/>
      <c r="S62" s="313"/>
      <c r="T62" s="313"/>
      <c r="U62" s="313"/>
      <c r="V62" s="313"/>
      <c r="W62" s="313"/>
      <c r="X62" s="313"/>
    </row>
    <row r="63" spans="1:24" s="21" customFormat="1" ht="30" customHeight="1" x14ac:dyDescent="0.2">
      <c r="A63" s="289" t="s">
        <v>197</v>
      </c>
      <c r="B63" s="289"/>
      <c r="C63" s="290"/>
      <c r="D63" s="290"/>
      <c r="E63" s="290"/>
      <c r="F63" s="290"/>
      <c r="G63" s="290"/>
      <c r="H63" s="290"/>
      <c r="I63" s="290"/>
      <c r="J63" s="290"/>
      <c r="K63" s="290"/>
      <c r="L63" s="290"/>
      <c r="M63" s="290"/>
      <c r="N63" s="290"/>
      <c r="O63" s="290"/>
      <c r="P63" s="290"/>
      <c r="Q63" s="290"/>
      <c r="R63" s="290"/>
      <c r="S63" s="290"/>
      <c r="T63" s="290"/>
      <c r="U63" s="290"/>
      <c r="V63" s="290"/>
      <c r="W63" s="290"/>
      <c r="X63" s="290"/>
    </row>
    <row r="64" spans="1:24" s="21" customFormat="1" x14ac:dyDescent="0.2">
      <c r="A64" s="22"/>
      <c r="B64" s="22"/>
      <c r="F64" s="33"/>
      <c r="G64" s="34"/>
      <c r="H64" s="35"/>
      <c r="M64"/>
      <c r="N64"/>
      <c r="O64"/>
      <c r="P64"/>
      <c r="Q64"/>
      <c r="R64"/>
      <c r="S64"/>
      <c r="T64"/>
      <c r="U64"/>
      <c r="V64"/>
      <c r="W64"/>
      <c r="X64"/>
    </row>
    <row r="65" spans="1:24" s="21" customFormat="1" ht="12.75" customHeight="1" x14ac:dyDescent="0.2">
      <c r="A65" s="287" t="s">
        <v>198</v>
      </c>
      <c r="B65" s="287"/>
      <c r="C65" s="288"/>
      <c r="D65" s="288"/>
      <c r="E65" s="288"/>
      <c r="F65" s="288"/>
      <c r="G65" s="288"/>
      <c r="H65" s="288"/>
      <c r="I65" s="288"/>
      <c r="J65" s="288"/>
      <c r="K65" s="288"/>
      <c r="L65" s="288"/>
      <c r="M65" s="288"/>
      <c r="N65" s="288"/>
      <c r="O65" s="288"/>
      <c r="P65" s="288"/>
      <c r="Q65" s="288"/>
      <c r="R65" s="288"/>
      <c r="S65" s="288"/>
      <c r="T65" s="288"/>
      <c r="U65" s="288"/>
      <c r="V65" s="288"/>
      <c r="W65" s="288"/>
      <c r="X65" s="288"/>
    </row>
    <row r="66" spans="1:24" s="21" customFormat="1" x14ac:dyDescent="0.2">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
      <c r="A67" s="253" t="s">
        <v>199</v>
      </c>
      <c r="B67" s="253"/>
      <c r="C67" s="254"/>
      <c r="D67" s="254"/>
      <c r="E67" s="254"/>
      <c r="F67" s="254"/>
      <c r="G67" s="254"/>
      <c r="H67" s="254"/>
      <c r="I67" s="254"/>
      <c r="J67" s="254"/>
      <c r="K67" s="254"/>
      <c r="L67" s="254"/>
      <c r="M67" s="254"/>
      <c r="N67" s="254"/>
      <c r="O67" s="254"/>
      <c r="P67" s="254"/>
      <c r="Q67" s="254"/>
      <c r="R67" s="254"/>
      <c r="S67" s="254"/>
      <c r="T67" s="254"/>
      <c r="U67" s="254"/>
      <c r="V67" s="254"/>
      <c r="W67" s="254"/>
      <c r="X67" s="254"/>
    </row>
    <row r="68" spans="1:24" s="21" customFormat="1" x14ac:dyDescent="0.2">
      <c r="A68" s="253" t="s">
        <v>200</v>
      </c>
      <c r="B68" s="253"/>
      <c r="C68" s="254"/>
      <c r="D68" s="254"/>
      <c r="E68" s="254"/>
      <c r="F68" s="254"/>
      <c r="G68" s="254"/>
      <c r="H68" s="254"/>
      <c r="I68" s="254"/>
      <c r="J68" s="254"/>
      <c r="K68" s="254"/>
      <c r="L68" s="254"/>
      <c r="M68" s="254"/>
      <c r="N68" s="254"/>
      <c r="O68" s="254"/>
      <c r="P68" s="254"/>
      <c r="Q68" s="254"/>
      <c r="R68" s="254"/>
      <c r="S68" s="254"/>
      <c r="T68" s="254"/>
      <c r="U68" s="254"/>
      <c r="V68" s="254"/>
      <c r="W68" s="254"/>
      <c r="X68" s="254"/>
    </row>
    <row r="69" spans="1:24" s="21" customFormat="1" ht="12.75" customHeight="1" x14ac:dyDescent="0.2">
      <c r="A69" s="253" t="s">
        <v>201</v>
      </c>
      <c r="B69" s="253"/>
      <c r="C69" s="254"/>
      <c r="D69" s="254"/>
      <c r="E69" s="254"/>
      <c r="F69" s="254"/>
      <c r="G69" s="254"/>
      <c r="H69" s="254"/>
      <c r="I69" s="254"/>
      <c r="J69" s="254"/>
      <c r="K69" s="254"/>
      <c r="L69" s="254"/>
      <c r="M69" s="254"/>
      <c r="N69" s="254"/>
      <c r="O69" s="254"/>
      <c r="P69" s="254"/>
      <c r="Q69" s="254"/>
      <c r="R69" s="254"/>
      <c r="S69" s="254"/>
      <c r="T69" s="254"/>
      <c r="U69" s="254"/>
      <c r="V69" s="254"/>
      <c r="W69" s="254"/>
      <c r="X69" s="254"/>
    </row>
    <row r="70" spans="1:24" s="21" customFormat="1" ht="12.75" customHeight="1" x14ac:dyDescent="0.2">
      <c r="A70" s="253" t="s">
        <v>202</v>
      </c>
      <c r="B70" s="253"/>
      <c r="C70" s="254"/>
      <c r="D70" s="254"/>
      <c r="E70" s="254"/>
      <c r="F70" s="254"/>
      <c r="G70" s="254"/>
      <c r="H70" s="254"/>
      <c r="I70" s="254"/>
      <c r="J70" s="254"/>
      <c r="K70" s="254"/>
      <c r="L70" s="254"/>
      <c r="M70" s="254"/>
      <c r="N70" s="254"/>
      <c r="O70" s="254"/>
      <c r="P70" s="254"/>
      <c r="Q70" s="254"/>
      <c r="R70" s="254"/>
      <c r="S70" s="254"/>
      <c r="T70" s="254"/>
      <c r="U70" s="254"/>
      <c r="V70" s="254"/>
      <c r="W70" s="254"/>
      <c r="X70" s="254"/>
    </row>
    <row r="71" spans="1:24" s="21" customFormat="1" ht="12.75" customHeight="1" x14ac:dyDescent="0.2">
      <c r="A71" s="253" t="s">
        <v>203</v>
      </c>
      <c r="B71" s="253"/>
      <c r="C71" s="254"/>
      <c r="D71" s="254"/>
      <c r="E71" s="254"/>
      <c r="F71" s="254"/>
      <c r="G71" s="254"/>
      <c r="H71" s="254"/>
      <c r="I71" s="254"/>
      <c r="J71" s="254"/>
      <c r="K71" s="254"/>
      <c r="L71" s="254"/>
      <c r="M71" s="254"/>
      <c r="N71" s="254"/>
      <c r="O71" s="254"/>
      <c r="P71" s="254"/>
      <c r="Q71" s="254"/>
      <c r="R71" s="254"/>
      <c r="S71" s="254"/>
      <c r="T71" s="254"/>
      <c r="U71" s="254"/>
      <c r="V71" s="254"/>
      <c r="W71" s="254"/>
      <c r="X71" s="254"/>
    </row>
    <row r="72" spans="1:24" s="21" customFormat="1" ht="12.75" customHeight="1" x14ac:dyDescent="0.2">
      <c r="A72" s="253" t="s">
        <v>204</v>
      </c>
      <c r="B72" s="253"/>
      <c r="C72" s="254"/>
      <c r="D72" s="254"/>
      <c r="E72" s="254"/>
      <c r="F72" s="254"/>
      <c r="G72" s="254"/>
      <c r="H72" s="254"/>
      <c r="I72" s="254"/>
      <c r="J72" s="254"/>
      <c r="K72" s="254"/>
      <c r="L72" s="254"/>
      <c r="M72" s="254"/>
      <c r="N72" s="254"/>
      <c r="O72" s="254"/>
      <c r="P72" s="254"/>
      <c r="Q72" s="254"/>
      <c r="R72" s="254"/>
      <c r="S72" s="254"/>
      <c r="T72" s="254"/>
      <c r="U72" s="254"/>
      <c r="V72" s="254"/>
      <c r="W72" s="254"/>
      <c r="X72" s="254"/>
    </row>
    <row r="73" spans="1:24" s="21" customFormat="1" x14ac:dyDescent="0.2">
      <c r="A73" s="22"/>
      <c r="B73" s="22"/>
      <c r="F73" s="33"/>
      <c r="G73" s="34"/>
      <c r="H73" s="35"/>
    </row>
    <row r="74" spans="1:24" s="21" customFormat="1" ht="12.75" customHeight="1" x14ac:dyDescent="0.2">
      <c r="A74" s="287" t="s">
        <v>205</v>
      </c>
      <c r="B74" s="287"/>
      <c r="C74" s="288"/>
      <c r="D74" s="288"/>
      <c r="E74" s="288"/>
      <c r="F74" s="288"/>
      <c r="G74" s="288"/>
      <c r="H74" s="288"/>
      <c r="I74" s="288"/>
      <c r="J74" s="288"/>
      <c r="K74" s="288"/>
      <c r="L74" s="288"/>
      <c r="M74" s="288"/>
      <c r="N74" s="288"/>
      <c r="O74" s="288"/>
      <c r="P74" s="288"/>
      <c r="Q74" s="288"/>
      <c r="R74" s="288"/>
      <c r="S74" s="288"/>
      <c r="T74" s="288"/>
      <c r="U74" s="288"/>
      <c r="V74" s="288"/>
      <c r="W74" s="288"/>
      <c r="X74" s="288"/>
    </row>
    <row r="75" spans="1:24" s="21" customFormat="1" x14ac:dyDescent="0.2">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
      <c r="A76" s="253" t="s">
        <v>206</v>
      </c>
      <c r="B76" s="253"/>
      <c r="C76" s="254"/>
      <c r="D76" s="254"/>
      <c r="E76" s="254"/>
      <c r="F76" s="254"/>
      <c r="G76" s="254"/>
      <c r="H76" s="254"/>
      <c r="I76" s="254"/>
      <c r="J76" s="254"/>
      <c r="K76" s="254"/>
      <c r="L76" s="254"/>
      <c r="M76" s="254"/>
      <c r="N76" s="254"/>
      <c r="O76" s="254"/>
      <c r="P76" s="254"/>
      <c r="Q76" s="254"/>
      <c r="R76" s="254"/>
      <c r="S76" s="254"/>
      <c r="T76" s="254"/>
      <c r="U76" s="254"/>
      <c r="V76" s="254"/>
      <c r="W76" s="254"/>
      <c r="X76" s="254"/>
    </row>
    <row r="77" spans="1:24" s="21" customFormat="1" ht="26.1" customHeight="1" x14ac:dyDescent="0.2">
      <c r="A77" s="264" t="s">
        <v>207</v>
      </c>
      <c r="B77" s="264"/>
      <c r="C77" s="265"/>
      <c r="D77" s="265"/>
      <c r="E77" s="265"/>
      <c r="F77" s="265"/>
      <c r="G77" s="265"/>
      <c r="H77" s="265"/>
      <c r="I77" s="265"/>
      <c r="J77" s="265"/>
      <c r="K77" s="265"/>
      <c r="L77" s="265"/>
      <c r="M77" s="265"/>
      <c r="N77" s="265"/>
      <c r="O77" s="265"/>
      <c r="P77" s="265"/>
      <c r="Q77" s="265"/>
      <c r="R77" s="265"/>
      <c r="S77" s="265"/>
      <c r="T77" s="265"/>
      <c r="U77" s="265"/>
      <c r="V77" s="265"/>
      <c r="W77" s="265"/>
      <c r="X77" s="265"/>
    </row>
    <row r="78" spans="1:24" s="21" customFormat="1" ht="12.75" customHeight="1" x14ac:dyDescent="0.2">
      <c r="A78" s="253" t="s">
        <v>208</v>
      </c>
      <c r="B78" s="253"/>
      <c r="C78" s="254"/>
      <c r="D78" s="254"/>
      <c r="E78" s="254"/>
      <c r="F78" s="254"/>
      <c r="G78" s="254"/>
      <c r="H78" s="254"/>
      <c r="I78" s="254"/>
      <c r="J78" s="254"/>
      <c r="K78" s="254"/>
      <c r="L78" s="254"/>
      <c r="M78" s="254"/>
      <c r="N78" s="254"/>
      <c r="O78" s="254"/>
      <c r="P78" s="254"/>
      <c r="Q78" s="254"/>
      <c r="R78" s="254"/>
      <c r="S78" s="254"/>
      <c r="T78" s="254"/>
      <c r="U78" s="254"/>
      <c r="V78" s="254"/>
      <c r="W78" s="254"/>
      <c r="X78" s="254"/>
    </row>
    <row r="79" spans="1:24" s="21" customFormat="1" ht="25.5" customHeight="1" x14ac:dyDescent="0.2">
      <c r="A79" s="253" t="s">
        <v>209</v>
      </c>
      <c r="B79" s="253"/>
      <c r="C79" s="254"/>
      <c r="D79" s="254"/>
      <c r="E79" s="254"/>
      <c r="F79" s="254"/>
      <c r="G79" s="254"/>
      <c r="H79" s="254"/>
      <c r="I79" s="254"/>
      <c r="J79" s="254"/>
      <c r="K79" s="254"/>
      <c r="L79" s="254"/>
      <c r="M79" s="254"/>
      <c r="N79" s="254"/>
      <c r="O79" s="254"/>
      <c r="P79" s="254"/>
      <c r="Q79" s="254"/>
      <c r="R79" s="254"/>
      <c r="S79" s="254"/>
      <c r="T79" s="254"/>
      <c r="U79" s="254"/>
      <c r="V79" s="254"/>
      <c r="W79" s="254"/>
      <c r="X79" s="254"/>
    </row>
    <row r="80" spans="1:24" s="21" customFormat="1" x14ac:dyDescent="0.2">
      <c r="A80" s="264" t="s">
        <v>210</v>
      </c>
      <c r="B80" s="264"/>
      <c r="C80" s="265"/>
      <c r="D80" s="265"/>
      <c r="E80" s="265"/>
      <c r="F80" s="265"/>
      <c r="G80" s="265"/>
      <c r="H80" s="265"/>
      <c r="I80" s="265"/>
      <c r="J80" s="265"/>
      <c r="K80" s="265"/>
      <c r="L80" s="265"/>
      <c r="M80" s="265"/>
      <c r="N80" s="265"/>
      <c r="O80" s="265"/>
      <c r="P80" s="265"/>
      <c r="Q80" s="265"/>
      <c r="R80" s="265"/>
      <c r="S80" s="265"/>
      <c r="T80" s="265"/>
      <c r="U80" s="265"/>
      <c r="V80" s="265"/>
      <c r="W80" s="265"/>
      <c r="X80" s="265"/>
    </row>
    <row r="81" spans="1:24" ht="12.75" customHeight="1" x14ac:dyDescent="0.2">
      <c r="A81" s="253" t="s">
        <v>211</v>
      </c>
      <c r="B81" s="253"/>
      <c r="C81" s="254"/>
      <c r="D81" s="254"/>
      <c r="E81" s="254"/>
      <c r="F81" s="254"/>
      <c r="G81" s="254"/>
      <c r="H81" s="254"/>
      <c r="I81" s="254"/>
      <c r="J81" s="254"/>
      <c r="K81" s="254"/>
      <c r="L81" s="254"/>
      <c r="M81" s="254"/>
      <c r="N81" s="254"/>
      <c r="O81" s="254"/>
      <c r="P81" s="254"/>
      <c r="Q81" s="254"/>
      <c r="R81" s="254"/>
      <c r="S81" s="254"/>
      <c r="T81" s="254"/>
      <c r="U81" s="254"/>
      <c r="V81" s="254"/>
      <c r="W81" s="254"/>
      <c r="X81" s="254"/>
    </row>
    <row r="82" spans="1:24" ht="26.1" customHeight="1" x14ac:dyDescent="0.2">
      <c r="A82" s="253" t="s">
        <v>212</v>
      </c>
      <c r="B82" s="253"/>
      <c r="C82" s="254"/>
      <c r="D82" s="254"/>
      <c r="E82" s="254"/>
      <c r="F82" s="254"/>
      <c r="G82" s="254"/>
      <c r="H82" s="254"/>
      <c r="I82" s="254"/>
      <c r="J82" s="254"/>
      <c r="K82" s="254"/>
      <c r="L82" s="254"/>
      <c r="M82" s="254"/>
      <c r="N82" s="254"/>
      <c r="O82" s="254"/>
      <c r="P82" s="254"/>
      <c r="Q82" s="254"/>
      <c r="R82" s="254"/>
      <c r="S82" s="254"/>
      <c r="T82" s="254"/>
      <c r="U82" s="254"/>
      <c r="V82" s="254"/>
      <c r="W82" s="254"/>
      <c r="X82" s="254"/>
    </row>
    <row r="83" spans="1:24" s="21" customFormat="1" ht="26.1" customHeight="1" x14ac:dyDescent="0.2">
      <c r="A83" s="253" t="s">
        <v>213</v>
      </c>
      <c r="B83" s="253"/>
      <c r="C83" s="254"/>
      <c r="D83" s="254"/>
      <c r="E83" s="254"/>
      <c r="F83" s="254"/>
      <c r="G83" s="254"/>
      <c r="H83" s="254"/>
      <c r="I83" s="254"/>
      <c r="J83" s="254"/>
      <c r="K83" s="254"/>
      <c r="L83" s="254"/>
      <c r="M83" s="254"/>
      <c r="N83" s="254"/>
      <c r="O83" s="254"/>
      <c r="P83" s="254"/>
      <c r="Q83" s="254"/>
      <c r="R83" s="254"/>
      <c r="S83" s="254"/>
      <c r="T83" s="254"/>
      <c r="U83" s="254"/>
      <c r="V83" s="254"/>
      <c r="W83" s="254"/>
      <c r="X83" s="254"/>
    </row>
    <row r="84" spans="1:24" s="21" customFormat="1" ht="12.75" customHeight="1" x14ac:dyDescent="0.2">
      <c r="A84" s="253" t="s">
        <v>214</v>
      </c>
      <c r="B84" s="253"/>
      <c r="C84" s="254"/>
      <c r="D84" s="254"/>
      <c r="E84" s="254"/>
      <c r="F84" s="254"/>
      <c r="G84" s="254"/>
      <c r="H84" s="254"/>
      <c r="I84" s="254"/>
      <c r="J84" s="254"/>
      <c r="K84" s="254"/>
      <c r="L84" s="254"/>
      <c r="M84" s="254"/>
      <c r="N84" s="254"/>
      <c r="O84" s="254"/>
      <c r="P84" s="254"/>
      <c r="Q84" s="254"/>
      <c r="R84" s="254"/>
      <c r="S84" s="254"/>
      <c r="T84" s="254"/>
      <c r="U84" s="254"/>
      <c r="V84" s="254"/>
      <c r="W84" s="254"/>
      <c r="X84" s="254"/>
    </row>
    <row r="85" spans="1:24" s="21" customFormat="1" x14ac:dyDescent="0.2">
      <c r="A85" s="253" t="s">
        <v>215</v>
      </c>
      <c r="B85" s="253"/>
      <c r="C85" s="254"/>
      <c r="D85" s="254"/>
      <c r="E85" s="254"/>
      <c r="F85" s="254"/>
      <c r="G85" s="254"/>
      <c r="H85" s="254"/>
      <c r="I85" s="254"/>
      <c r="J85" s="254"/>
      <c r="K85" s="254"/>
      <c r="L85" s="254"/>
      <c r="M85" s="254"/>
      <c r="N85" s="254"/>
      <c r="O85" s="254"/>
      <c r="P85" s="254"/>
      <c r="Q85" s="254"/>
      <c r="R85" s="254"/>
      <c r="S85" s="254"/>
      <c r="T85" s="254"/>
      <c r="U85" s="254"/>
      <c r="V85" s="254"/>
      <c r="W85" s="254"/>
      <c r="X85" s="254"/>
    </row>
    <row r="86" spans="1:24" ht="12.75" customHeight="1" x14ac:dyDescent="0.2">
      <c r="A86" s="264" t="s">
        <v>216</v>
      </c>
      <c r="B86" s="264"/>
      <c r="C86" s="265"/>
      <c r="D86" s="265"/>
      <c r="E86" s="265"/>
      <c r="F86" s="265"/>
      <c r="G86" s="265"/>
      <c r="H86" s="265"/>
      <c r="I86" s="265"/>
      <c r="J86" s="265"/>
      <c r="K86" s="265"/>
      <c r="L86" s="265"/>
      <c r="M86" s="265"/>
      <c r="N86" s="265"/>
      <c r="O86" s="265"/>
      <c r="P86" s="265"/>
      <c r="Q86" s="265"/>
      <c r="R86" s="265"/>
      <c r="S86" s="265"/>
      <c r="T86" s="265"/>
      <c r="U86" s="265"/>
      <c r="V86" s="265"/>
      <c r="W86" s="265"/>
      <c r="X86" s="265"/>
    </row>
    <row r="87" spans="1:24" x14ac:dyDescent="0.2">
      <c r="A87" s="253" t="s">
        <v>217</v>
      </c>
      <c r="B87" s="253"/>
      <c r="C87" s="254"/>
      <c r="D87" s="254"/>
      <c r="E87" s="254"/>
      <c r="F87" s="254"/>
      <c r="G87" s="254"/>
      <c r="H87" s="254"/>
      <c r="I87" s="254"/>
      <c r="J87" s="254"/>
      <c r="K87" s="254"/>
      <c r="L87" s="254"/>
      <c r="M87" s="254"/>
      <c r="N87" s="254"/>
      <c r="O87" s="254"/>
      <c r="P87" s="254"/>
      <c r="Q87" s="254"/>
      <c r="R87" s="254"/>
      <c r="S87" s="254"/>
      <c r="T87" s="254"/>
      <c r="U87" s="254"/>
      <c r="V87" s="254"/>
      <c r="W87" s="254"/>
      <c r="X87" s="254"/>
    </row>
    <row r="88" spans="1:24" x14ac:dyDescent="0.2">
      <c r="A88" s="253" t="s">
        <v>218</v>
      </c>
      <c r="B88" s="253"/>
      <c r="C88" s="254"/>
      <c r="D88" s="254"/>
      <c r="E88" s="254"/>
      <c r="F88" s="254"/>
      <c r="G88" s="254"/>
      <c r="H88" s="254"/>
      <c r="I88" s="254"/>
      <c r="J88" s="254"/>
      <c r="K88" s="254"/>
      <c r="L88" s="254"/>
      <c r="M88" s="254"/>
      <c r="N88" s="254"/>
      <c r="O88" s="254"/>
      <c r="P88" s="254"/>
      <c r="Q88" s="254"/>
      <c r="R88" s="254"/>
      <c r="S88" s="254"/>
      <c r="T88" s="254"/>
      <c r="U88" s="254"/>
      <c r="V88" s="254"/>
      <c r="W88" s="254"/>
      <c r="X88" s="254"/>
    </row>
    <row r="90" spans="1:24" x14ac:dyDescent="0.2">
      <c r="A90" s="287" t="s">
        <v>219</v>
      </c>
      <c r="B90" s="287"/>
      <c r="C90" s="288"/>
      <c r="D90" s="288"/>
      <c r="E90" s="288"/>
      <c r="F90" s="288"/>
      <c r="G90" s="288"/>
      <c r="H90" s="288"/>
      <c r="I90" s="288"/>
      <c r="J90" s="288"/>
      <c r="K90" s="288"/>
      <c r="L90" s="288"/>
      <c r="M90" s="288"/>
      <c r="N90" s="288"/>
      <c r="O90" s="288"/>
      <c r="P90" s="288"/>
      <c r="Q90" s="288"/>
      <c r="R90" s="288"/>
      <c r="S90" s="288"/>
      <c r="T90" s="288"/>
      <c r="U90" s="288"/>
      <c r="V90" s="288"/>
      <c r="W90" s="288"/>
      <c r="X90" s="288"/>
    </row>
    <row r="91" spans="1:24" x14ac:dyDescent="0.2">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
      <c r="A92" s="253" t="s">
        <v>220</v>
      </c>
      <c r="B92" s="253"/>
      <c r="C92" s="254"/>
      <c r="D92" s="254"/>
      <c r="E92" s="254"/>
      <c r="F92" s="254"/>
      <c r="G92" s="254"/>
      <c r="H92" s="254"/>
      <c r="I92" s="254"/>
      <c r="J92" s="254"/>
      <c r="K92" s="254"/>
      <c r="L92" s="254"/>
      <c r="M92" s="254"/>
      <c r="N92" s="254"/>
      <c r="O92" s="254"/>
      <c r="P92" s="254"/>
      <c r="Q92" s="254"/>
      <c r="R92" s="254"/>
      <c r="S92" s="254"/>
      <c r="T92" s="254"/>
      <c r="U92" s="254"/>
      <c r="V92" s="254"/>
      <c r="W92" s="254"/>
      <c r="X92" s="254"/>
    </row>
    <row r="93" spans="1:24" ht="12.75" customHeight="1" x14ac:dyDescent="0.2">
      <c r="A93" s="264" t="s">
        <v>221</v>
      </c>
      <c r="B93" s="264"/>
      <c r="C93" s="265"/>
      <c r="D93" s="265"/>
      <c r="E93" s="265"/>
      <c r="F93" s="265"/>
      <c r="G93" s="265"/>
      <c r="H93" s="265"/>
      <c r="I93" s="265"/>
      <c r="J93" s="265"/>
      <c r="K93" s="265"/>
      <c r="L93" s="265"/>
      <c r="M93" s="265"/>
      <c r="N93" s="265"/>
      <c r="O93" s="265"/>
      <c r="P93" s="265"/>
      <c r="Q93" s="265"/>
      <c r="R93" s="265"/>
      <c r="S93" s="265"/>
      <c r="T93" s="265"/>
      <c r="U93" s="265"/>
      <c r="V93" s="265"/>
      <c r="W93" s="265"/>
      <c r="X93" s="265"/>
    </row>
    <row r="94" spans="1:24" ht="12.75" customHeight="1" x14ac:dyDescent="0.2">
      <c r="A94" s="253" t="s">
        <v>222</v>
      </c>
      <c r="B94" s="253"/>
      <c r="C94" s="254"/>
      <c r="D94" s="254"/>
      <c r="E94" s="254"/>
      <c r="F94" s="254"/>
      <c r="G94" s="254"/>
      <c r="H94" s="254"/>
      <c r="I94" s="254"/>
      <c r="J94" s="254"/>
      <c r="K94" s="254"/>
      <c r="L94" s="254"/>
      <c r="M94" s="254"/>
      <c r="N94" s="254"/>
      <c r="O94" s="254"/>
      <c r="P94" s="254"/>
      <c r="Q94" s="254"/>
      <c r="R94" s="254"/>
      <c r="S94" s="254"/>
      <c r="T94" s="254"/>
      <c r="U94" s="254"/>
      <c r="V94" s="254"/>
      <c r="W94" s="254"/>
      <c r="X94" s="254"/>
    </row>
    <row r="95" spans="1:24" x14ac:dyDescent="0.2">
      <c r="A95" s="253" t="s">
        <v>223</v>
      </c>
      <c r="B95" s="253"/>
      <c r="C95" s="254"/>
      <c r="D95" s="254"/>
      <c r="E95" s="254"/>
      <c r="F95" s="254"/>
      <c r="G95" s="254"/>
      <c r="H95" s="254"/>
      <c r="I95" s="254"/>
      <c r="J95" s="254"/>
      <c r="K95" s="254"/>
      <c r="L95" s="254"/>
      <c r="M95" s="254"/>
      <c r="N95" s="254"/>
      <c r="O95" s="254"/>
      <c r="P95" s="254"/>
      <c r="Q95" s="254"/>
      <c r="R95" s="254"/>
      <c r="S95" s="254"/>
      <c r="T95" s="254"/>
      <c r="U95" s="254"/>
      <c r="V95" s="254"/>
      <c r="W95" s="254"/>
      <c r="X95" s="254"/>
    </row>
    <row r="96" spans="1:24" ht="12.75" customHeight="1" x14ac:dyDescent="0.2">
      <c r="A96" s="264"/>
      <c r="B96" s="264"/>
      <c r="C96" s="265"/>
      <c r="D96" s="265"/>
      <c r="E96" s="265"/>
      <c r="F96" s="265"/>
      <c r="G96" s="265"/>
      <c r="H96" s="265"/>
      <c r="I96" s="265"/>
      <c r="J96" s="265"/>
      <c r="K96" s="265"/>
      <c r="L96" s="265"/>
      <c r="M96" s="265"/>
      <c r="N96" s="265"/>
      <c r="O96" s="265"/>
      <c r="P96" s="265"/>
      <c r="Q96" s="265"/>
      <c r="R96" s="265"/>
      <c r="S96" s="265"/>
      <c r="T96" s="265"/>
      <c r="U96" s="265"/>
      <c r="V96" s="265"/>
      <c r="W96" s="265"/>
      <c r="X96" s="265"/>
    </row>
    <row r="97" spans="1:24" x14ac:dyDescent="0.2">
      <c r="A97" s="287" t="s">
        <v>224</v>
      </c>
      <c r="B97" s="287"/>
      <c r="C97" s="288"/>
      <c r="D97" s="288"/>
      <c r="E97" s="288"/>
      <c r="F97" s="288"/>
      <c r="G97" s="288"/>
      <c r="H97" s="288"/>
      <c r="I97" s="288"/>
      <c r="J97" s="288"/>
      <c r="K97" s="288"/>
      <c r="L97" s="288"/>
      <c r="M97" s="288"/>
      <c r="N97" s="288"/>
      <c r="O97" s="288"/>
      <c r="P97" s="288"/>
      <c r="Q97" s="288"/>
      <c r="R97" s="288"/>
      <c r="S97" s="288"/>
      <c r="T97" s="288"/>
      <c r="U97" s="288"/>
      <c r="V97" s="288"/>
      <c r="W97" s="288"/>
      <c r="X97" s="288"/>
    </row>
    <row r="98" spans="1:24" ht="12.75" customHeight="1" x14ac:dyDescent="0.2">
      <c r="A98" s="264"/>
      <c r="B98" s="264"/>
      <c r="C98" s="265"/>
      <c r="D98" s="265"/>
      <c r="E98" s="265"/>
      <c r="F98" s="265"/>
      <c r="G98" s="265"/>
      <c r="H98" s="265"/>
      <c r="I98" s="265"/>
      <c r="J98" s="265"/>
      <c r="K98" s="265"/>
      <c r="L98" s="265"/>
      <c r="M98" s="265"/>
      <c r="N98" s="265"/>
      <c r="O98" s="265"/>
      <c r="P98" s="265"/>
      <c r="Q98" s="265"/>
      <c r="R98" s="265"/>
      <c r="S98" s="265"/>
      <c r="T98" s="265"/>
      <c r="U98" s="265"/>
      <c r="V98" s="265"/>
      <c r="W98" s="265"/>
      <c r="X98" s="265"/>
    </row>
    <row r="99" spans="1:24" ht="12.75" customHeight="1" x14ac:dyDescent="0.2">
      <c r="A99" s="253" t="s">
        <v>225</v>
      </c>
      <c r="B99" s="253"/>
      <c r="C99" s="254"/>
      <c r="D99" s="254"/>
      <c r="E99" s="254"/>
      <c r="F99" s="254"/>
      <c r="G99" s="254"/>
      <c r="H99" s="254"/>
      <c r="I99" s="254"/>
      <c r="J99" s="254"/>
      <c r="K99" s="254"/>
      <c r="L99" s="254"/>
      <c r="M99" s="254"/>
      <c r="N99" s="254"/>
      <c r="O99" s="254"/>
      <c r="P99" s="254"/>
      <c r="Q99" s="254"/>
      <c r="R99" s="254"/>
      <c r="S99" s="254"/>
      <c r="T99" s="254"/>
      <c r="U99" s="254"/>
      <c r="V99" s="254"/>
      <c r="W99" s="254"/>
      <c r="X99" s="254"/>
    </row>
    <row r="100" spans="1:24" ht="12.75" customHeight="1" x14ac:dyDescent="0.2">
      <c r="A100" s="253" t="s">
        <v>226</v>
      </c>
      <c r="B100" s="253"/>
      <c r="C100" s="254"/>
      <c r="D100" s="254"/>
      <c r="E100" s="254"/>
      <c r="F100" s="254"/>
      <c r="G100" s="254"/>
      <c r="H100" s="254"/>
      <c r="I100" s="254"/>
      <c r="J100" s="254"/>
      <c r="K100" s="254"/>
      <c r="L100" s="254"/>
      <c r="M100" s="254"/>
      <c r="N100" s="254"/>
      <c r="O100" s="254"/>
      <c r="P100" s="254"/>
      <c r="Q100" s="254"/>
      <c r="R100" s="254"/>
      <c r="S100" s="254"/>
      <c r="T100" s="254"/>
      <c r="U100" s="254"/>
      <c r="V100" s="254"/>
      <c r="W100" s="254"/>
      <c r="X100" s="254"/>
    </row>
    <row r="101" spans="1:24" x14ac:dyDescent="0.2">
      <c r="A101" s="253" t="s">
        <v>227</v>
      </c>
      <c r="B101" s="253"/>
      <c r="C101" s="254"/>
      <c r="D101" s="254"/>
      <c r="E101" s="254"/>
      <c r="F101" s="254"/>
      <c r="G101" s="254"/>
      <c r="H101" s="254"/>
      <c r="I101" s="254"/>
      <c r="J101" s="254"/>
      <c r="K101" s="254"/>
      <c r="L101" s="254"/>
      <c r="M101" s="254"/>
      <c r="N101" s="254"/>
      <c r="O101" s="254"/>
      <c r="P101" s="254"/>
      <c r="Q101" s="254"/>
      <c r="R101" s="254"/>
      <c r="S101" s="254"/>
      <c r="T101" s="254"/>
      <c r="U101" s="254"/>
      <c r="V101" s="254"/>
      <c r="W101" s="254"/>
      <c r="X101" s="254"/>
    </row>
    <row r="102" spans="1:24" ht="12.75" customHeight="1" x14ac:dyDescent="0.2">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
    <row r="107" spans="1:24" x14ac:dyDescent="0.2">
      <c r="A107"/>
      <c r="E107"/>
      <c r="F107"/>
      <c r="H107" s="38"/>
      <c r="L107" s="82" t="s">
        <v>131</v>
      </c>
      <c r="O107" s="82"/>
      <c r="P107" s="38"/>
      <c r="Q107" s="82"/>
    </row>
    <row r="108" spans="1:24" ht="12.75" customHeight="1" x14ac:dyDescent="0.2">
      <c r="A108"/>
      <c r="E108"/>
      <c r="F108"/>
      <c r="G108" s="31"/>
      <c r="H108" s="31"/>
      <c r="L108" s="82" t="s">
        <v>132</v>
      </c>
      <c r="P108" s="31"/>
      <c r="S108" s="208">
        <f ca="1">T38</f>
        <v>0.20699999999999999</v>
      </c>
    </row>
    <row r="109" spans="1:24" x14ac:dyDescent="0.2">
      <c r="A109"/>
      <c r="E109"/>
      <c r="F109"/>
      <c r="G109" s="31"/>
      <c r="H109" s="31"/>
      <c r="L109" s="82" t="s">
        <v>133</v>
      </c>
      <c r="P109" s="31"/>
      <c r="S109" s="208">
        <f ca="1">U38</f>
        <v>0.20699999999999999</v>
      </c>
    </row>
    <row r="110" spans="1:24" ht="12.75" customHeight="1" x14ac:dyDescent="0.2">
      <c r="A110"/>
      <c r="E110"/>
      <c r="F110"/>
      <c r="G110" s="31"/>
      <c r="H110" s="31"/>
      <c r="L110" s="82" t="s">
        <v>134</v>
      </c>
      <c r="P110" s="31"/>
      <c r="S110" s="208" t="str">
        <f ca="1">V38</f>
        <v/>
      </c>
    </row>
    <row r="111" spans="1:24" x14ac:dyDescent="0.2">
      <c r="A111"/>
      <c r="E111"/>
      <c r="F111"/>
      <c r="G111" s="31"/>
      <c r="H111" s="31"/>
      <c r="L111" s="82" t="s">
        <v>135</v>
      </c>
      <c r="P111" s="31"/>
      <c r="S111" s="208" t="str">
        <f ca="1">W38</f>
        <v/>
      </c>
    </row>
    <row r="112" spans="1:24" ht="12.75" customHeight="1" x14ac:dyDescent="0.2">
      <c r="A112"/>
      <c r="E112"/>
      <c r="F112"/>
      <c r="G112" s="31"/>
      <c r="H112" s="31"/>
      <c r="L112" s="82" t="s">
        <v>136</v>
      </c>
      <c r="P112" s="31"/>
      <c r="S112" s="208" t="str">
        <f ca="1">X38</f>
        <v/>
      </c>
    </row>
    <row r="113" spans="1:16" x14ac:dyDescent="0.2">
      <c r="A113"/>
      <c r="H113" s="38"/>
      <c r="L113" s="82" t="s">
        <v>66</v>
      </c>
    </row>
    <row r="114" spans="1:16" ht="12.75" customHeight="1" x14ac:dyDescent="0.2">
      <c r="A114"/>
      <c r="H114" s="38"/>
      <c r="L114" s="82" t="s">
        <v>67</v>
      </c>
    </row>
    <row r="115" spans="1:16" x14ac:dyDescent="0.2">
      <c r="A115"/>
      <c r="H115" s="38"/>
      <c r="L115" s="82" t="s">
        <v>68</v>
      </c>
      <c r="P115" s="1" t="s">
        <v>112</v>
      </c>
    </row>
    <row r="116" spans="1:16" x14ac:dyDescent="0.2">
      <c r="A116"/>
      <c r="H116" s="38"/>
      <c r="L116" s="82" t="s">
        <v>69</v>
      </c>
      <c r="P116" s="1" t="s">
        <v>113</v>
      </c>
    </row>
    <row r="117" spans="1:16" x14ac:dyDescent="0.2">
      <c r="A117"/>
      <c r="L117" s="82" t="s">
        <v>70</v>
      </c>
      <c r="P117" s="1" t="s">
        <v>114</v>
      </c>
    </row>
    <row r="118" spans="1:16" x14ac:dyDescent="0.2">
      <c r="A118"/>
      <c r="L118" s="82" t="s">
        <v>71</v>
      </c>
      <c r="P118" s="1" t="s">
        <v>94</v>
      </c>
    </row>
    <row r="119" spans="1:16" x14ac:dyDescent="0.2">
      <c r="A119"/>
      <c r="L119" s="82" t="s">
        <v>72</v>
      </c>
      <c r="P119" s="1" t="s">
        <v>95</v>
      </c>
    </row>
    <row r="120" spans="1:16" x14ac:dyDescent="0.2">
      <c r="A120"/>
      <c r="L120" s="82" t="s">
        <v>73</v>
      </c>
      <c r="P120" s="1" t="s">
        <v>96</v>
      </c>
    </row>
    <row r="121" spans="1:16" x14ac:dyDescent="0.2">
      <c r="A121"/>
      <c r="L121" s="82" t="s">
        <v>74</v>
      </c>
    </row>
    <row r="122" spans="1:16" x14ac:dyDescent="0.2">
      <c r="A122"/>
      <c r="L122" s="82" t="s">
        <v>75</v>
      </c>
      <c r="P122" s="94" t="s">
        <v>97</v>
      </c>
    </row>
    <row r="123" spans="1:16" x14ac:dyDescent="0.2">
      <c r="A123"/>
      <c r="L123" s="82" t="s">
        <v>76</v>
      </c>
      <c r="P123" s="94" t="s">
        <v>98</v>
      </c>
    </row>
    <row r="124" spans="1:16" x14ac:dyDescent="0.2">
      <c r="A124"/>
      <c r="L124" s="82" t="s">
        <v>77</v>
      </c>
    </row>
    <row r="125" spans="1:16" x14ac:dyDescent="0.2">
      <c r="A125"/>
      <c r="L125" s="82" t="s">
        <v>78</v>
      </c>
    </row>
    <row r="126" spans="1:16" x14ac:dyDescent="0.2">
      <c r="A126"/>
      <c r="L126" s="82" t="s">
        <v>79</v>
      </c>
    </row>
    <row r="127" spans="1:16" x14ac:dyDescent="0.2">
      <c r="A127"/>
      <c r="L127" s="82" t="s">
        <v>80</v>
      </c>
    </row>
    <row r="128" spans="1:16" x14ac:dyDescent="0.2">
      <c r="A128"/>
      <c r="L128" s="82" t="s">
        <v>81</v>
      </c>
    </row>
    <row r="129" spans="1:12" x14ac:dyDescent="0.2">
      <c r="A129"/>
      <c r="L129" s="82" t="s">
        <v>82</v>
      </c>
    </row>
    <row r="130" spans="1:12" x14ac:dyDescent="0.2">
      <c r="A130"/>
      <c r="L130" s="82" t="s">
        <v>83</v>
      </c>
    </row>
    <row r="131" spans="1:12" x14ac:dyDescent="0.2">
      <c r="A131"/>
      <c r="L131" s="82" t="s">
        <v>84</v>
      </c>
    </row>
    <row r="132" spans="1:12" x14ac:dyDescent="0.2">
      <c r="A132"/>
      <c r="L132" s="82" t="s">
        <v>65</v>
      </c>
    </row>
    <row r="133" spans="1:12" x14ac:dyDescent="0.2">
      <c r="A133"/>
      <c r="L133" s="82" t="s">
        <v>85</v>
      </c>
    </row>
    <row r="134" spans="1:12" x14ac:dyDescent="0.2">
      <c r="A134"/>
      <c r="L134" s="82"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38" t="str">
        <f>A28</f>
        <v>Nº OPERAÇÃO</v>
      </c>
      <c r="B220" s="240"/>
      <c r="C220" s="238" t="str">
        <f>C28</f>
        <v>GESTOR</v>
      </c>
      <c r="D220" s="239"/>
      <c r="E220" s="240"/>
      <c r="F220" s="238" t="str">
        <f>F28</f>
        <v>PROGRAMA</v>
      </c>
      <c r="G220" s="239"/>
      <c r="H220" s="239"/>
      <c r="I220" s="240"/>
      <c r="J220" s="238" t="str">
        <f>J28</f>
        <v>AÇÃO / MODALIDADE</v>
      </c>
      <c r="K220" s="239"/>
      <c r="L220" s="239"/>
      <c r="M220" s="239"/>
      <c r="N220" s="239"/>
      <c r="O220" s="240"/>
      <c r="P220" s="238" t="str">
        <f>P28</f>
        <v>OBJETO</v>
      </c>
      <c r="Q220" s="239"/>
      <c r="R220" s="239"/>
      <c r="S220" s="239"/>
      <c r="T220" s="239"/>
      <c r="U220" s="239"/>
      <c r="V220" s="239"/>
      <c r="W220" s="239"/>
      <c r="X220" s="240"/>
    </row>
    <row r="221" spans="1:24" ht="12.75" customHeight="1" x14ac:dyDescent="0.2">
      <c r="A221" s="235" t="str">
        <f>IF(A29="","",A29)</f>
        <v/>
      </c>
      <c r="B221" s="237"/>
      <c r="C221" s="235" t="str">
        <f>IF(C29="","",C29)</f>
        <v>MUNICÍPIO DE CONSTANTINA</v>
      </c>
      <c r="D221" s="236"/>
      <c r="E221" s="237"/>
      <c r="F221" s="235" t="str">
        <f>IF(F29="","",F29)</f>
        <v/>
      </c>
      <c r="G221" s="236"/>
      <c r="H221" s="236"/>
      <c r="I221" s="237"/>
      <c r="J221" s="235" t="str">
        <f>IF(J29="","",J29)</f>
        <v/>
      </c>
      <c r="K221" s="236"/>
      <c r="L221" s="236" t="e">
        <f>IF(#REF!="","",#REF!)</f>
        <v>#REF!</v>
      </c>
      <c r="M221" s="236"/>
      <c r="N221" s="236" t="e">
        <f>IF(#REF!="","",#REF!)</f>
        <v>#REF!</v>
      </c>
      <c r="O221" s="237"/>
      <c r="P221" s="235" t="str">
        <f>IF(P29="","",P29)</f>
        <v>PISTA DE SKATE</v>
      </c>
      <c r="Q221" s="236"/>
      <c r="R221" s="236"/>
      <c r="S221" s="236"/>
      <c r="T221" s="236"/>
      <c r="U221" s="236"/>
      <c r="V221" s="236"/>
      <c r="W221" s="236"/>
      <c r="X221" s="237"/>
    </row>
    <row r="222" spans="1:24" ht="6"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
      <c r="A223" s="238" t="str">
        <f>A31</f>
        <v>PROPONENTE / TOMADOR</v>
      </c>
      <c r="B223" s="239"/>
      <c r="C223" s="239"/>
      <c r="D223" s="239"/>
      <c r="E223" s="239"/>
      <c r="F223" s="239"/>
      <c r="G223" s="238" t="str">
        <f>G31</f>
        <v>MUNICÍPIO / UF</v>
      </c>
      <c r="H223" s="239"/>
      <c r="I223" s="239"/>
      <c r="J223" s="240"/>
      <c r="K223" s="238" t="str">
        <f>K31</f>
        <v>LOCALIDADE / ENDEREÇO</v>
      </c>
      <c r="L223" s="239"/>
      <c r="M223" s="239"/>
      <c r="N223" s="239"/>
      <c r="O223" s="239"/>
      <c r="P223" s="240"/>
      <c r="Q223" s="238" t="str">
        <f>Q31</f>
        <v>APELIDO DO EMPREENDIMENTO</v>
      </c>
      <c r="R223" s="239"/>
      <c r="S223" s="239"/>
      <c r="T223" s="239"/>
      <c r="U223" s="239"/>
      <c r="V223" s="239"/>
      <c r="W223" s="239"/>
      <c r="X223" s="240"/>
    </row>
    <row r="224" spans="1:24" ht="12.75" customHeight="1" x14ac:dyDescent="0.2">
      <c r="A224" s="273" t="str">
        <f>IF(A32="","",A32)</f>
        <v>MUNICÍPIO DE CONSTANTINA</v>
      </c>
      <c r="B224" s="274"/>
      <c r="C224" s="274"/>
      <c r="D224" s="274"/>
      <c r="E224" s="274"/>
      <c r="F224" s="274"/>
      <c r="G224" s="235" t="str">
        <f>IF(G32="","",G32)</f>
        <v>RS</v>
      </c>
      <c r="H224" s="236" t="str">
        <f>IF(I32="","",I32)</f>
        <v/>
      </c>
      <c r="I224" s="236"/>
      <c r="J224" s="237" t="e">
        <f>IF(#REF!="","",#REF!)</f>
        <v>#REF!</v>
      </c>
      <c r="K224" s="235" t="str">
        <f>IF(K32="","",K32)</f>
        <v>PARQUE POLIESPORTIVO - RUA PADRE PEDRO</v>
      </c>
      <c r="L224" s="236"/>
      <c r="M224" s="236"/>
      <c r="N224" s="236"/>
      <c r="O224" s="236"/>
      <c r="P224" s="237"/>
      <c r="Q224" s="235" t="str">
        <f>IF(Q32="","",Q32)</f>
        <v>PISTA DE SKATE</v>
      </c>
      <c r="R224" s="236"/>
      <c r="S224" s="236"/>
      <c r="T224" s="236"/>
      <c r="U224" s="236"/>
      <c r="V224" s="236"/>
      <c r="W224" s="236"/>
      <c r="X224" s="237"/>
    </row>
    <row r="225" spans="1:24" ht="6" hidden="1"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
      <c r="A226" s="238" t="str">
        <f>A37</f>
        <v>DATA BASE</v>
      </c>
      <c r="B226" s="240"/>
      <c r="C226" s="135" t="str">
        <f>C37</f>
        <v>DESON.</v>
      </c>
      <c r="D226" s="238" t="str">
        <f>D37</f>
        <v>LOCALIDADE DO SINAPI</v>
      </c>
      <c r="E226" s="239"/>
      <c r="F226" s="240"/>
      <c r="G226" s="238" t="str">
        <f>G37</f>
        <v>DESCRIÇÃO DO LOTE</v>
      </c>
      <c r="H226" s="239"/>
      <c r="I226" s="239"/>
      <c r="J226" s="239"/>
      <c r="K226" s="239"/>
      <c r="L226" s="239"/>
      <c r="M226" s="239"/>
      <c r="N226" s="239"/>
      <c r="O226" s="239"/>
      <c r="P226" s="239"/>
      <c r="Q226" s="239"/>
      <c r="R226" s="239"/>
      <c r="S226" s="240"/>
      <c r="T226" s="136" t="str">
        <f>T37</f>
        <v>BDI 1</v>
      </c>
      <c r="U226" s="136" t="str">
        <f>U37</f>
        <v>BDI 2</v>
      </c>
      <c r="V226" s="136" t="str">
        <f>V37</f>
        <v>BDI 3</v>
      </c>
      <c r="W226" s="136" t="str">
        <f>W37</f>
        <v>BDI 4</v>
      </c>
      <c r="X226" s="136" t="str">
        <f>X37</f>
        <v>BDI 5</v>
      </c>
    </row>
    <row r="227" spans="1:24" ht="12.75" hidden="1" customHeight="1" x14ac:dyDescent="0.2">
      <c r="A227" s="279">
        <f>IF(A38="","",A38)</f>
        <v>44986</v>
      </c>
      <c r="B227" s="280"/>
      <c r="C227" s="137" t="str">
        <f t="shared" ref="C227:X227" si="0">IF(C38="","",C38)</f>
        <v>Não</v>
      </c>
      <c r="D227" s="266" t="str">
        <f t="shared" si="0"/>
        <v>Porto Alegre / RS</v>
      </c>
      <c r="E227" s="270" t="str">
        <f t="shared" si="0"/>
        <v/>
      </c>
      <c r="F227" s="267" t="str">
        <f t="shared" si="0"/>
        <v/>
      </c>
      <c r="G227" s="266" t="str">
        <f t="shared" si="0"/>
        <v>PISTA DE SKATE</v>
      </c>
      <c r="H227" s="270" t="str">
        <f t="shared" si="0"/>
        <v/>
      </c>
      <c r="I227" s="270" t="str">
        <f t="shared" si="0"/>
        <v/>
      </c>
      <c r="J227" s="270" t="str">
        <f t="shared" si="0"/>
        <v/>
      </c>
      <c r="K227" s="270" t="str">
        <f t="shared" si="0"/>
        <v/>
      </c>
      <c r="L227" s="270" t="str">
        <f t="shared" si="0"/>
        <v/>
      </c>
      <c r="M227" s="270" t="str">
        <f t="shared" si="0"/>
        <v/>
      </c>
      <c r="N227" s="270" t="str">
        <f t="shared" si="0"/>
        <v/>
      </c>
      <c r="O227" s="270" t="str">
        <f t="shared" si="0"/>
        <v/>
      </c>
      <c r="P227" s="270" t="str">
        <f t="shared" si="0"/>
        <v/>
      </c>
      <c r="Q227" s="270" t="str">
        <f t="shared" si="0"/>
        <v/>
      </c>
      <c r="R227" s="270" t="str">
        <f t="shared" si="0"/>
        <v/>
      </c>
      <c r="S227" s="267" t="str">
        <f t="shared" si="0"/>
        <v/>
      </c>
      <c r="T227" s="139">
        <f t="shared" ca="1" si="0"/>
        <v>0.20699999999999999</v>
      </c>
      <c r="U227" s="96">
        <f t="shared" ca="1" si="0"/>
        <v>0.20699999999999999</v>
      </c>
      <c r="V227" s="96" t="str">
        <f t="shared" ca="1" si="0"/>
        <v/>
      </c>
      <c r="W227" s="96" t="str">
        <f t="shared" ca="1" si="0"/>
        <v/>
      </c>
      <c r="X227" s="96" t="str">
        <f t="shared" ca="1" si="0"/>
        <v/>
      </c>
    </row>
    <row r="228" spans="1:24" ht="6"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
      <c r="A229" s="238" t="s">
        <v>87</v>
      </c>
      <c r="B229" s="240"/>
      <c r="C229" s="238" t="s">
        <v>163</v>
      </c>
      <c r="D229" s="239"/>
      <c r="E229" s="239"/>
      <c r="F229" s="239"/>
      <c r="G229" s="239"/>
      <c r="H229" s="238" t="s">
        <v>16</v>
      </c>
      <c r="I229" s="239"/>
      <c r="J229" s="134" t="s">
        <v>91</v>
      </c>
      <c r="K229" s="238" t="s">
        <v>88</v>
      </c>
      <c r="L229" s="239"/>
      <c r="M229" s="240"/>
      <c r="N229" s="134" t="s">
        <v>92</v>
      </c>
      <c r="O229" s="238" t="s">
        <v>93</v>
      </c>
      <c r="P229" s="239"/>
      <c r="Q229" s="239"/>
      <c r="R229" s="239"/>
      <c r="S229" s="239"/>
      <c r="T229" s="240"/>
      <c r="U229" s="275" t="s">
        <v>89</v>
      </c>
      <c r="V229" s="276"/>
      <c r="W229" s="275" t="s">
        <v>90</v>
      </c>
      <c r="X229" s="276"/>
    </row>
    <row r="230" spans="1:24" s="21" customFormat="1" ht="12.75" customHeight="1" x14ac:dyDescent="0.2">
      <c r="A230" s="266" t="str">
        <f>IF(A43="","",A43)</f>
        <v/>
      </c>
      <c r="B230" s="267"/>
      <c r="C230" s="266" t="str">
        <f>IF(C43="","",C43)</f>
        <v/>
      </c>
      <c r="D230" s="270"/>
      <c r="E230" s="270" t="str">
        <f>IF(E43="","",E43)</f>
        <v/>
      </c>
      <c r="F230" s="270"/>
      <c r="G230" s="270" t="str">
        <f>IF(G43="","",G43)</f>
        <v/>
      </c>
      <c r="H230" s="271" t="str">
        <f>IF(H43="","",H43)</f>
        <v/>
      </c>
      <c r="I230" s="272" t="str">
        <f>IF(I43="","",I43)</f>
        <v/>
      </c>
      <c r="J230" s="138" t="str">
        <f>IF(J43="","",J43)</f>
        <v/>
      </c>
      <c r="K230" s="258" t="str">
        <f>IF(K43="","",K43)</f>
        <v/>
      </c>
      <c r="L230" s="260"/>
      <c r="M230" s="261" t="str">
        <f>IF(M43="","",M43)</f>
        <v/>
      </c>
      <c r="N230" s="140" t="str">
        <f>IF(N43="","",N43)</f>
        <v/>
      </c>
      <c r="O230" s="258" t="str">
        <f>IF(O43="","",O43)</f>
        <v/>
      </c>
      <c r="P230" s="259"/>
      <c r="Q230" s="259" t="str">
        <f>IF(Q43="","",Q43)</f>
        <v/>
      </c>
      <c r="R230" s="260"/>
      <c r="S230" s="260" t="str">
        <f>IF(S43="","",S43)</f>
        <v/>
      </c>
      <c r="T230" s="261"/>
      <c r="U230" s="268" t="str">
        <f>IF(U43="","",U43)</f>
        <v/>
      </c>
      <c r="V230" s="269"/>
      <c r="W230" s="262" t="str">
        <f>IF(W43="","",W43)</f>
        <v/>
      </c>
      <c r="X230" s="263"/>
    </row>
    <row r="231" spans="1:24" x14ac:dyDescent="0.2">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
      <c r="A232" s="1"/>
      <c r="B232" s="1"/>
      <c r="F232" s="1"/>
      <c r="G232" s="1"/>
      <c r="H232" s="1"/>
    </row>
    <row r="233" spans="1:24" x14ac:dyDescent="0.2">
      <c r="A233" s="1"/>
      <c r="B233" s="1"/>
      <c r="F233" s="1"/>
      <c r="G233" s="1"/>
      <c r="H233" s="1"/>
    </row>
    <row r="234" spans="1:24" x14ac:dyDescent="0.2">
      <c r="A234" s="1"/>
      <c r="B234" s="1"/>
      <c r="F234" s="1"/>
      <c r="G234" s="1"/>
      <c r="H234" s="1"/>
    </row>
    <row r="235" spans="1:24" x14ac:dyDescent="0.2">
      <c r="A235" s="1"/>
      <c r="B235" s="1"/>
      <c r="F235" s="1"/>
      <c r="G235" s="1"/>
      <c r="H235" s="1"/>
    </row>
    <row r="236" spans="1:24" ht="12.75" hidden="1" customHeight="1" x14ac:dyDescent="0.2">
      <c r="A236" s="1"/>
      <c r="B236" s="1"/>
      <c r="F236" s="1"/>
      <c r="G236" s="1"/>
      <c r="H236" s="1"/>
    </row>
    <row r="237" spans="1:24" ht="6" hidden="1" customHeight="1" x14ac:dyDescent="0.2">
      <c r="A237" s="1"/>
      <c r="B237" s="1"/>
      <c r="F237" s="1"/>
      <c r="G237" s="1"/>
      <c r="H237" s="1"/>
    </row>
    <row r="238" spans="1:24" ht="12.75" hidden="1" customHeight="1" x14ac:dyDescent="0.2">
      <c r="A238" s="1"/>
      <c r="B238" s="1"/>
      <c r="F238" s="1"/>
      <c r="G238" s="1"/>
      <c r="H238" s="1"/>
    </row>
    <row r="239" spans="1:24" ht="12.75" hidden="1" customHeight="1" x14ac:dyDescent="0.2">
      <c r="A239" s="1"/>
      <c r="B239" s="1"/>
      <c r="F239" s="1"/>
      <c r="G239" s="1"/>
      <c r="H239" s="1"/>
    </row>
    <row r="240" spans="1:24" ht="6" hidden="1" customHeight="1" x14ac:dyDescent="0.2">
      <c r="A240" s="1"/>
      <c r="B240" s="1"/>
      <c r="F240" s="1"/>
      <c r="G240" s="1"/>
      <c r="H240" s="1"/>
    </row>
    <row r="241" s="1" customFormat="1" ht="12.75" hidden="1" customHeight="1" x14ac:dyDescent="0.2"/>
    <row r="242" s="1" customFormat="1" ht="12.75" hidden="1" customHeight="1" x14ac:dyDescent="0.2"/>
    <row r="243" s="1" customFormat="1" ht="12.75" hidden="1" customHeight="1" x14ac:dyDescent="0.2"/>
    <row r="244" s="1" customFormat="1" ht="12.75" customHeight="1" x14ac:dyDescent="0.2"/>
    <row r="245" s="1" customFormat="1" ht="6" customHeight="1" x14ac:dyDescent="0.2"/>
    <row r="246" s="1" customFormat="1" ht="12.75" customHeight="1" x14ac:dyDescent="0.2"/>
    <row r="247" s="1" customFormat="1" ht="12.75" customHeight="1" x14ac:dyDescent="0.2"/>
    <row r="248" s="1" customFormat="1" ht="12.75" customHeight="1" x14ac:dyDescent="0.2"/>
    <row r="249" s="1" customFormat="1" ht="12.75" customHeight="1" x14ac:dyDescent="0.2"/>
    <row r="250" s="1" customFormat="1" ht="6" customHeight="1" x14ac:dyDescent="0.2"/>
    <row r="251" s="1" customFormat="1" x14ac:dyDescent="0.2"/>
    <row r="252" s="1" customFormat="1" x14ac:dyDescent="0.2"/>
    <row r="253" s="1" customFormat="1" x14ac:dyDescent="0.2"/>
    <row r="254" s="1" customFormat="1" x14ac:dyDescent="0.2"/>
    <row r="255" s="1" customFormat="1" x14ac:dyDescent="0.2"/>
    <row r="256" s="1" customFormat="1" x14ac:dyDescent="0.2"/>
    <row r="257" s="1" customFormat="1" x14ac:dyDescent="0.2"/>
  </sheetData>
  <sheetProtection algorithmName="SHA-512" hashValue="093xIAD2J+XZO6brl4s25YXXuNQ/lyoLzPCCxRoPsdZcNS8YU+ckNqXQDTnl9Js1U7rb9yAkEcYuKmvhCwmvgw==" saltValue="LBgG32Z7f+sFjBPMA3iAEQ==" spinCount="100000"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560" priority="42" stopIfTrue="1">
      <formula>$B54&lt;&gt;""</formula>
    </cfRule>
  </conditionalFormatting>
  <conditionalFormatting sqref="A48 H54:K54 H55:H56 H57:K57 A29:C29 J29 F29 A32 P29 G32 K32">
    <cfRule type="expression" dxfId="559" priority="48" stopIfTrue="1">
      <formula>A29&lt;&gt;""</formula>
    </cfRule>
  </conditionalFormatting>
  <conditionalFormatting sqref="G53:K54 G55:H56 G57:K57">
    <cfRule type="expression" dxfId="558" priority="43" stopIfTrue="1">
      <formula>$K$52&lt;&gt;"SIM"</formula>
    </cfRule>
  </conditionalFormatting>
  <conditionalFormatting sqref="A40:X43">
    <cfRule type="expression" dxfId="557" priority="56" stopIfTrue="1">
      <formula>OR(TipoOrçamento="BASE",TipoOrçamento="REPROGRAMADONPL")</formula>
    </cfRule>
    <cfRule type="expression" dxfId="556" priority="57" stopIfTrue="1">
      <formula>A40&lt;&gt;""</formula>
    </cfRule>
  </conditionalFormatting>
  <conditionalFormatting sqref="A35:X38">
    <cfRule type="expression" dxfId="555" priority="58" stopIfTrue="1">
      <formula>OR(TipoOrçamento="LICITADO",TipoOrçamento="REPROGRAMADOAC")</formula>
    </cfRule>
    <cfRule type="expression" dxfId="554" priority="59" stopIfTrue="1">
      <formula>A35&lt;&gt;""</formula>
    </cfRule>
  </conditionalFormatting>
  <conditionalFormatting sqref="Q32">
    <cfRule type="expression" dxfId="553"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orientation="portrait"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10" zoomScaleNormal="100" zoomScaleSheetLayoutView="100" zoomScalePageLayoutView="70" workbookViewId="0">
      <selection activeCell="Q11" sqref="Q11:R11"/>
    </sheetView>
  </sheetViews>
  <sheetFormatPr defaultColWidth="0" defaultRowHeight="12.75"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1</v>
      </c>
      <c r="Q1"/>
      <c r="R1"/>
    </row>
    <row r="2" spans="1:29" x14ac:dyDescent="0.2">
      <c r="A2" s="52" t="s">
        <v>28</v>
      </c>
      <c r="B2" s="54" t="s">
        <v>29</v>
      </c>
      <c r="C2" s="52" t="str">
        <f t="shared" ref="C2:C49" si="0">CONCATENATE(A2,"-",B2)</f>
        <v>Construção e Reforma de Edifícios-AC</v>
      </c>
      <c r="E2" s="55">
        <v>0.03</v>
      </c>
      <c r="F2" s="55">
        <v>0.04</v>
      </c>
      <c r="G2" s="55">
        <v>5.5E-2</v>
      </c>
      <c r="Q2"/>
      <c r="R2"/>
    </row>
    <row r="3" spans="1:29" x14ac:dyDescent="0.2">
      <c r="A3" s="52" t="str">
        <f>A2</f>
        <v>Construção e Reforma de Edifícios</v>
      </c>
      <c r="B3" s="54" t="s">
        <v>30</v>
      </c>
      <c r="C3" s="52" t="str">
        <f t="shared" si="0"/>
        <v>Construção e Reforma de Edifícios-SG</v>
      </c>
      <c r="E3" s="55">
        <v>8.0000000000000002E-3</v>
      </c>
      <c r="F3" s="55">
        <v>8.0000000000000002E-3</v>
      </c>
      <c r="G3" s="55">
        <v>0.01</v>
      </c>
    </row>
    <row r="4" spans="1:29"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41" t="s">
        <v>150</v>
      </c>
      <c r="J4" s="243"/>
      <c r="K4" s="241" t="s">
        <v>173</v>
      </c>
      <c r="L4" s="242"/>
      <c r="M4" s="242"/>
      <c r="N4" s="242"/>
      <c r="O4" s="242"/>
      <c r="P4" s="242"/>
      <c r="Q4" s="242"/>
      <c r="R4" s="243"/>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30">
        <f>DADOS!A29</f>
        <v>0</v>
      </c>
      <c r="J5" s="331"/>
      <c r="K5" s="332" t="str">
        <f>DADOS!A32</f>
        <v>MUNICÍPIO DE CONSTANTINA</v>
      </c>
      <c r="L5" s="333"/>
      <c r="M5" s="333"/>
      <c r="N5" s="333"/>
      <c r="O5" s="333"/>
      <c r="P5" s="333"/>
      <c r="Q5" s="333"/>
      <c r="R5" s="334"/>
      <c r="S5" s="57"/>
    </row>
    <row r="6" spans="1:29" ht="6" customHeight="1" x14ac:dyDescent="0.2">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41" t="s">
        <v>0</v>
      </c>
      <c r="J7" s="242"/>
      <c r="K7" s="242"/>
      <c r="L7" s="242"/>
      <c r="M7" s="242"/>
      <c r="N7" s="242"/>
      <c r="O7" s="242"/>
      <c r="P7" s="242"/>
      <c r="Q7" s="242"/>
      <c r="R7" s="243"/>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35" t="str">
        <f>DADOS!P29</f>
        <v>PISTA DE SKATE</v>
      </c>
      <c r="J8" s="335"/>
      <c r="K8" s="335"/>
      <c r="L8" s="335"/>
      <c r="M8" s="335"/>
      <c r="N8" s="335"/>
      <c r="O8" s="335"/>
      <c r="P8" s="335"/>
      <c r="Q8" s="335"/>
      <c r="R8" s="335"/>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1" t="s">
        <v>35</v>
      </c>
      <c r="J10" s="242"/>
      <c r="K10" s="242"/>
      <c r="L10" s="242"/>
      <c r="M10" s="242"/>
      <c r="N10" s="242"/>
      <c r="O10" s="242"/>
      <c r="P10" s="242"/>
      <c r="Q10" s="241" t="s">
        <v>13</v>
      </c>
      <c r="R10" s="243"/>
    </row>
    <row r="11" spans="1:29"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25" t="s">
        <v>34</v>
      </c>
      <c r="J11" s="326"/>
      <c r="K11" s="326"/>
      <c r="L11" s="326"/>
      <c r="M11" s="326"/>
      <c r="N11" s="326"/>
      <c r="O11" s="326"/>
      <c r="P11" s="327"/>
      <c r="Q11" s="328" t="str">
        <f>DADOS!$C$38</f>
        <v>Não</v>
      </c>
      <c r="R11" s="329"/>
    </row>
    <row r="12" spans="1:29" x14ac:dyDescent="0.2">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22" t="s">
        <v>36</v>
      </c>
      <c r="J13" s="322"/>
      <c r="K13" s="322"/>
      <c r="L13" s="322"/>
      <c r="M13" s="322"/>
      <c r="N13" s="322"/>
      <c r="O13" s="322"/>
      <c r="P13" s="322"/>
      <c r="Q13" s="319">
        <v>1</v>
      </c>
      <c r="R13" s="319"/>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20" t="s">
        <v>38</v>
      </c>
      <c r="J14" s="320"/>
      <c r="K14" s="320"/>
      <c r="L14" s="320"/>
      <c r="M14" s="320"/>
      <c r="N14" s="320"/>
      <c r="O14" s="320"/>
      <c r="P14" s="320"/>
      <c r="Q14" s="319">
        <v>0.02</v>
      </c>
      <c r="R14" s="319"/>
    </row>
    <row r="15" spans="1:29"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21" t="s">
        <v>39</v>
      </c>
      <c r="J16" s="321"/>
      <c r="K16" s="321"/>
      <c r="L16" s="321"/>
      <c r="M16" s="321" t="s">
        <v>40</v>
      </c>
      <c r="N16" s="324" t="s">
        <v>41</v>
      </c>
      <c r="O16" s="324" t="s">
        <v>42</v>
      </c>
      <c r="P16" s="323" t="s">
        <v>43</v>
      </c>
      <c r="Q16" s="323" t="s">
        <v>44</v>
      </c>
      <c r="R16" s="340" t="s">
        <v>45</v>
      </c>
      <c r="T16" s="336" t="str">
        <f>IF(V27,"Para BDI fora do intervalo estatístico, deve ser apresentado Relatório Técnico Circunstanciado justificando a adoção do percentual de cada parcela do BDI.","")</f>
        <v/>
      </c>
      <c r="U16" s="336"/>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21"/>
      <c r="J17" s="321"/>
      <c r="K17" s="321"/>
      <c r="L17" s="321"/>
      <c r="M17" s="321"/>
      <c r="N17" s="324"/>
      <c r="O17" s="324"/>
      <c r="P17" s="323"/>
      <c r="Q17" s="323"/>
      <c r="R17" s="340"/>
      <c r="T17" s="336"/>
      <c r="U17" s="336"/>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38" t="str">
        <f>IF($I$11=$A$59,"Encargos Sociais incidentes sobre a mão de obra","Administração Central")</f>
        <v>Administração Central</v>
      </c>
      <c r="J18" s="338"/>
      <c r="K18" s="338"/>
      <c r="L18" s="338"/>
      <c r="M18" s="60" t="str">
        <f>IF($I$11=$A$59,"K1","AC")</f>
        <v>AC</v>
      </c>
      <c r="N18" s="61">
        <v>4.0099999999999997E-2</v>
      </c>
      <c r="O18" s="62" t="s">
        <v>46</v>
      </c>
      <c r="P18" s="63">
        <f>VLOOKUP(CONCATENATE(I$11,"-",M18),$C$2:$G$49,3,FALSE)</f>
        <v>3.7999999999999999E-2</v>
      </c>
      <c r="Q18" s="63">
        <f>VLOOKUP(CONCATENATE(I$11,"-",M18),$C$2:$G$49,4,FALSE)</f>
        <v>4.0099999999999997E-2</v>
      </c>
      <c r="R18" s="63">
        <f>VLOOKUP(CONCATENATE(I$11,"-",M18),$C$2:$G$49,5,FALSE)</f>
        <v>4.6699999999999998E-2</v>
      </c>
      <c r="T18" s="336"/>
      <c r="U18" s="336"/>
      <c r="V18" s="108"/>
      <c r="W18" s="108"/>
      <c r="X18" s="108"/>
      <c r="Y18" s="108"/>
      <c r="Z18" s="108"/>
      <c r="AA18" s="108"/>
      <c r="AB18" s="108"/>
      <c r="AC18" s="108"/>
    </row>
    <row r="19" spans="1:31" ht="26.25" customHeight="1" x14ac:dyDescent="0.2">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38" t="str">
        <f>IF($I$11=$A$59,"Administração Central da empresa ou consultoria - overhead","Seguro e Garantia")</f>
        <v>Seguro e Garantia</v>
      </c>
      <c r="J19" s="338"/>
      <c r="K19" s="338"/>
      <c r="L19" s="338"/>
      <c r="M19" s="60" t="str">
        <f>IF($I$11=$A$59,"K2","SG")</f>
        <v>SG</v>
      </c>
      <c r="N19" s="61">
        <v>4.0000000000000001E-3</v>
      </c>
      <c r="O19" s="62" t="s">
        <v>46</v>
      </c>
      <c r="P19" s="63">
        <f>VLOOKUP(CONCATENATE(I$11,"-",M19),$C$2:$G$49,3,FALSE)</f>
        <v>3.2000000000000002E-3</v>
      </c>
      <c r="Q19" s="63">
        <f>VLOOKUP(CONCATENATE(I$11,"-",M19),$C$2:$G$49,4,FALSE)</f>
        <v>4.0000000000000001E-3</v>
      </c>
      <c r="R19" s="63">
        <f>VLOOKUP(CONCATENATE(I$11,"-",M19),$C$2:$G$49,5,FALSE)</f>
        <v>7.4000000000000003E-3</v>
      </c>
      <c r="T19" s="336"/>
      <c r="U19" s="336"/>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38" t="str">
        <f>IF($I$11=$A$59,"","Risco")</f>
        <v>Risco</v>
      </c>
      <c r="J20" s="338"/>
      <c r="K20" s="338"/>
      <c r="L20" s="338"/>
      <c r="M20" s="60" t="str">
        <f>IF($I$11=$A$59,"","R")</f>
        <v>R</v>
      </c>
      <c r="N20" s="61">
        <v>5.5999999999999999E-3</v>
      </c>
      <c r="O20" s="62" t="s">
        <v>46</v>
      </c>
      <c r="P20" s="63">
        <f>VLOOKUP(CONCATENATE(I$11,"-",M20),$C$2:$G$49,3,FALSE)</f>
        <v>5.0000000000000001E-3</v>
      </c>
      <c r="Q20" s="63">
        <f>VLOOKUP(CONCATENATE(I$11,"-",M20),$C$2:$G$49,4,FALSE)</f>
        <v>5.6000000000000008E-3</v>
      </c>
      <c r="R20" s="63">
        <f>VLOOKUP(CONCATENATE(I$11,"-",M20),$C$2:$G$49,5,FALSE)</f>
        <v>9.7000000000000003E-3</v>
      </c>
      <c r="T20" s="336"/>
      <c r="U20" s="336"/>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38" t="str">
        <f>IF($I$11=$A$59,"","Despesas Financeiras")</f>
        <v>Despesas Financeiras</v>
      </c>
      <c r="J21" s="338"/>
      <c r="K21" s="338"/>
      <c r="L21" s="338"/>
      <c r="M21" s="60" t="str">
        <f>IF($I$11=$A$59,"","DF")</f>
        <v>DF</v>
      </c>
      <c r="N21" s="61">
        <v>1.11E-2</v>
      </c>
      <c r="O21" s="62" t="s">
        <v>46</v>
      </c>
      <c r="P21" s="63">
        <f>VLOOKUP(CONCATENATE(I$11,"-",M21),$C$2:$G$49,3,FALSE)</f>
        <v>1.0200000000000001E-2</v>
      </c>
      <c r="Q21" s="63">
        <f>VLOOKUP(CONCATENATE(I$11,"-",M21),$C$2:$G$49,4,FALSE)</f>
        <v>1.11E-2</v>
      </c>
      <c r="R21" s="63">
        <f>VLOOKUP(CONCATENATE(I$11,"-",M21),$C$2:$G$49,5,FALSE)</f>
        <v>1.21E-2</v>
      </c>
      <c r="T21" s="336"/>
      <c r="U21" s="336"/>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38" t="str">
        <f>IF($I$11=$A$59,"Margem bruta da empresa de consultoria","Lucro")</f>
        <v>Lucro</v>
      </c>
      <c r="J22" s="338"/>
      <c r="K22" s="338"/>
      <c r="L22" s="338"/>
      <c r="M22" s="60" t="str">
        <f>IF($I$11=$A$59,"K3","L")</f>
        <v>L</v>
      </c>
      <c r="N22" s="61">
        <v>7.2999999999999995E-2</v>
      </c>
      <c r="O22" s="62" t="s">
        <v>46</v>
      </c>
      <c r="P22" s="63">
        <f>VLOOKUP(CONCATENATE(I$11,"-",M22),$C$2:$G$49,3,FALSE)</f>
        <v>6.6400000000000001E-2</v>
      </c>
      <c r="Q22" s="63">
        <f>VLOOKUP(CONCATENATE(I$11,"-",M22),$C$2:$G$49,4,FALSE)</f>
        <v>7.2999999999999995E-2</v>
      </c>
      <c r="R22" s="63">
        <f>VLOOKUP(CONCATENATE(I$11,"-",M22),$C$2:$G$49,5,FALSE)</f>
        <v>8.6899999999999991E-2</v>
      </c>
      <c r="T22" s="336"/>
      <c r="U22" s="336"/>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9" t="s">
        <v>48</v>
      </c>
      <c r="J23" s="339"/>
      <c r="K23" s="339"/>
      <c r="L23" s="339"/>
      <c r="M23" s="60" t="s">
        <v>49</v>
      </c>
      <c r="N23" s="61">
        <v>3.6499999999999998E-2</v>
      </c>
      <c r="O23" s="62" t="s">
        <v>46</v>
      </c>
      <c r="P23" s="63">
        <v>3.6499999999999998E-2</v>
      </c>
      <c r="Q23" s="63">
        <v>3.6499999999999998E-2</v>
      </c>
      <c r="R23" s="63">
        <v>3.6499999999999998E-2</v>
      </c>
      <c r="T23" s="336"/>
      <c r="U23" s="336"/>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38" t="s">
        <v>50</v>
      </c>
      <c r="J24" s="338"/>
      <c r="K24" s="338"/>
      <c r="L24" s="338"/>
      <c r="M24" s="60" t="s">
        <v>51</v>
      </c>
      <c r="N24" s="63">
        <f>IF($I$11&lt;&gt;$A$58,Q14*Q13,0)</f>
        <v>0.02</v>
      </c>
      <c r="O24" s="62" t="s">
        <v>46</v>
      </c>
      <c r="P24" s="63">
        <v>0</v>
      </c>
      <c r="Q24" s="63">
        <v>2.5000000000000001E-2</v>
      </c>
      <c r="R24" s="63">
        <v>0.05</v>
      </c>
      <c r="T24" s="336"/>
      <c r="U24" s="336"/>
    </row>
    <row r="25" spans="1:31" ht="26.25" customHeight="1" x14ac:dyDescent="0.2">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38" t="s">
        <v>116</v>
      </c>
      <c r="J25" s="338"/>
      <c r="K25" s="338"/>
      <c r="L25" s="338"/>
      <c r="M25" s="60" t="s">
        <v>52</v>
      </c>
      <c r="N25" s="63">
        <f>IF(AND($I$11&lt;&gt;$A$58,Q11="Sim"),4.5%,0%)</f>
        <v>0</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38" t="s">
        <v>53</v>
      </c>
      <c r="J26" s="338"/>
      <c r="K26" s="338"/>
      <c r="L26" s="338"/>
      <c r="M26" s="65" t="s">
        <v>33</v>
      </c>
      <c r="N26" s="63">
        <f>IF($I$11=$A$58,0,ROUND((((1+N18+N19+N20)*(1+N21)*(1+N22)/(1-(N23+N24)))-1),4))</f>
        <v>0.20699999999999999</v>
      </c>
      <c r="O26" s="106"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49" t="s">
        <v>55</v>
      </c>
      <c r="J27" s="349"/>
      <c r="K27" s="349"/>
      <c r="L27" s="349"/>
      <c r="M27" s="66" t="s">
        <v>56</v>
      </c>
      <c r="N27" s="67">
        <f>IF($I$11=$A$58,0,ROUND((((1+N18+N19+N20)*(1+N21)*(1+N22)/(1-(N23+N24+N25)))-1),4))</f>
        <v>0.20699999999999999</v>
      </c>
      <c r="O27" s="110" t="str">
        <f>IF(Q11&lt;&gt;"Sim","",O26)</f>
        <v/>
      </c>
      <c r="P27" s="350"/>
      <c r="Q27" s="350"/>
      <c r="R27" s="350"/>
      <c r="T27" s="107"/>
      <c r="V27" s="111" t="b">
        <f>AND(COUNTA(N18:N23)=6,O26&lt;&gt;"ok",NOT(V29))</f>
        <v>0</v>
      </c>
      <c r="W27" s="52" t="s">
        <v>118</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48" t="s">
        <v>117</v>
      </c>
      <c r="K29" s="348"/>
      <c r="L29" s="348"/>
      <c r="M29" s="348"/>
      <c r="N29" s="348"/>
      <c r="O29" s="348"/>
      <c r="P29" s="348"/>
      <c r="Q29" s="348"/>
      <c r="R29" s="348"/>
      <c r="V29" s="111" t="b">
        <v>0</v>
      </c>
      <c r="W29" s="52" t="s">
        <v>119</v>
      </c>
    </row>
    <row r="30" spans="1:31" ht="7.5" customHeight="1" x14ac:dyDescent="0.2">
      <c r="B30" s="54"/>
      <c r="E30" s="55"/>
      <c r="F30" s="55"/>
      <c r="G30" s="55"/>
      <c r="V30" s="111"/>
    </row>
    <row r="31" spans="1:31" ht="18.75" customHeight="1" x14ac:dyDescent="0.2">
      <c r="B31" s="54"/>
      <c r="E31" s="55"/>
      <c r="F31" s="55"/>
      <c r="G31" s="55"/>
      <c r="I31" s="351" t="s">
        <v>61</v>
      </c>
      <c r="J31" s="351"/>
      <c r="K31" s="351"/>
      <c r="L31" s="351"/>
      <c r="M31" s="351"/>
      <c r="N31" s="351"/>
      <c r="O31" s="351"/>
      <c r="P31" s="351"/>
      <c r="Q31" s="351"/>
      <c r="R31" s="351"/>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46" t="str">
        <f>IF(Q11="Sim","BDI.DES =","BDI.PAD =")</f>
        <v>BDI.PAD =</v>
      </c>
      <c r="M32" s="344" t="str">
        <f>IF($I$11=$A$59,"(1+K1+K2)*(1+K3)","(1+AC + S + R + G)*(1 + DF)*(1+L)")</f>
        <v>(1+AC + S + R + G)*(1 + DF)*(1+L)</v>
      </c>
      <c r="N32" s="344"/>
      <c r="O32" s="344"/>
      <c r="P32" s="342" t="s">
        <v>108</v>
      </c>
      <c r="Q32" s="100"/>
      <c r="R32" s="100"/>
    </row>
    <row r="33" spans="1:18" ht="27" customHeight="1" x14ac:dyDescent="0.2">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46"/>
      <c r="M33" s="345" t="str">
        <f>IF(Q11="Sim","(1-CP-ISS-CRPB)","(1-CP-ISS)")</f>
        <v>(1-CP-ISS)</v>
      </c>
      <c r="N33" s="345"/>
      <c r="O33" s="345"/>
      <c r="P33" s="343"/>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41"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100%, com a respectiva alíquota de 2%.</v>
      </c>
      <c r="J35" s="341"/>
      <c r="K35" s="341"/>
      <c r="L35" s="341"/>
      <c r="M35" s="341"/>
      <c r="N35" s="341"/>
      <c r="O35" s="341"/>
      <c r="P35" s="341"/>
      <c r="Q35" s="341"/>
      <c r="R35" s="341"/>
    </row>
    <row r="36" spans="1:18" ht="11.25" customHeight="1" x14ac:dyDescent="0.2">
      <c r="B36" s="59"/>
      <c r="E36" s="55"/>
      <c r="F36" s="55"/>
      <c r="G36" s="55"/>
    </row>
    <row r="37" spans="1:18" ht="52.5" customHeight="1" x14ac:dyDescent="0.2">
      <c r="B37" s="59"/>
      <c r="E37" s="55"/>
      <c r="F37" s="55"/>
      <c r="G37" s="55"/>
      <c r="I37" s="341"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41"/>
      <c r="K37" s="341"/>
      <c r="L37" s="341"/>
      <c r="M37" s="341"/>
      <c r="N37" s="341"/>
      <c r="O37" s="341"/>
      <c r="P37" s="341"/>
      <c r="Q37" s="341"/>
      <c r="R37" s="341"/>
    </row>
    <row r="38" spans="1:18" ht="18" customHeight="1" x14ac:dyDescent="0.2">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53"/>
      <c r="J40" s="354"/>
      <c r="K40" s="354"/>
      <c r="L40" s="354"/>
      <c r="M40" s="354"/>
      <c r="N40" s="354"/>
      <c r="O40" s="354"/>
      <c r="P40" s="354"/>
      <c r="Q40" s="354"/>
      <c r="R40" s="355"/>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7" t="str">
        <f>PO!K81</f>
        <v>CONSTANTINA, RS</v>
      </c>
      <c r="J42" s="337"/>
      <c r="K42" s="337"/>
      <c r="L42" s="337"/>
      <c r="O42" s="352">
        <f ca="1">PO!K84</f>
        <v>45110</v>
      </c>
      <c r="P42" s="352"/>
      <c r="Q42" s="352"/>
      <c r="R42" s="352"/>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18" t="s">
        <v>120</v>
      </c>
      <c r="J43" s="318"/>
      <c r="K43" s="318"/>
      <c r="L43" s="318"/>
      <c r="N43" s="68"/>
      <c r="O43" s="144" t="s">
        <v>121</v>
      </c>
      <c r="P43" s="145"/>
      <c r="Q43" s="145"/>
      <c r="R43" s="145"/>
    </row>
    <row r="44" spans="1:18" x14ac:dyDescent="0.2">
      <c r="A44" s="52" t="s">
        <v>59</v>
      </c>
      <c r="B44" s="54" t="s">
        <v>104</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105</v>
      </c>
      <c r="C45" s="52" t="str">
        <f t="shared" si="0"/>
        <v>Estudos e Projetos, Planos e Gerenciamento e outros correlatos-K2</v>
      </c>
      <c r="E45" s="55" t="s">
        <v>46</v>
      </c>
      <c r="F45" s="55">
        <v>0.2</v>
      </c>
      <c r="G45" s="55" t="s">
        <v>46</v>
      </c>
      <c r="I45" s="317"/>
      <c r="J45" s="317"/>
      <c r="K45" s="317"/>
      <c r="L45" s="317"/>
      <c r="M45" s="69"/>
      <c r="N45" s="69"/>
      <c r="O45" s="317"/>
      <c r="P45" s="317"/>
      <c r="Q45" s="317"/>
      <c r="R45" s="317"/>
    </row>
    <row r="46" spans="1:18" x14ac:dyDescent="0.2">
      <c r="A46" s="52" t="str">
        <f>A45</f>
        <v>Estudos e Projetos, Planos e Gerenciamento e outros correlatos</v>
      </c>
      <c r="B46" s="54" t="s">
        <v>106</v>
      </c>
      <c r="C46" s="52" t="str">
        <f t="shared" si="0"/>
        <v>Estudos e Projetos, Planos e Gerenciamento e outros correlatos-</v>
      </c>
      <c r="E46" s="55" t="s">
        <v>46</v>
      </c>
      <c r="F46" s="55" t="s">
        <v>46</v>
      </c>
      <c r="G46" s="55" t="s">
        <v>46</v>
      </c>
      <c r="I46" s="356" t="s">
        <v>57</v>
      </c>
      <c r="J46" s="356"/>
      <c r="K46" s="356"/>
      <c r="L46" s="356"/>
      <c r="M46" s="70"/>
      <c r="N46" s="70"/>
      <c r="O46" s="356" t="s">
        <v>58</v>
      </c>
      <c r="P46" s="356"/>
      <c r="Q46" s="356"/>
      <c r="R46" s="356"/>
    </row>
    <row r="47" spans="1:18" ht="14.25" x14ac:dyDescent="0.2">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47">
        <f>DADOS!B54</f>
        <v>0</v>
      </c>
      <c r="K47" s="347"/>
      <c r="L47" s="347"/>
      <c r="M47" s="71"/>
      <c r="N47" s="71"/>
      <c r="O47" s="29" t="s">
        <v>140</v>
      </c>
      <c r="P47" s="316" t="s">
        <v>236</v>
      </c>
      <c r="Q47" s="316"/>
      <c r="R47" s="316"/>
    </row>
    <row r="48" spans="1:18" ht="14.25" x14ac:dyDescent="0.2">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47">
        <f>DADOS!B55</f>
        <v>0</v>
      </c>
      <c r="K48" s="347"/>
      <c r="L48" s="347"/>
      <c r="M48" s="71"/>
      <c r="N48" s="71"/>
      <c r="O48" s="29" t="s">
        <v>60</v>
      </c>
      <c r="P48" s="316" t="s">
        <v>237</v>
      </c>
      <c r="Q48" s="316"/>
      <c r="R48" s="316"/>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47">
        <f>DADOS!B56</f>
        <v>0</v>
      </c>
      <c r="K49" s="347"/>
      <c r="L49" s="347"/>
      <c r="M49" s="71"/>
      <c r="N49" s="71"/>
      <c r="O49" s="71"/>
      <c r="P49" s="71"/>
      <c r="Q49" s="71"/>
      <c r="R49" s="71"/>
    </row>
    <row r="50" spans="1:18" x14ac:dyDescent="0.2">
      <c r="I50" s="29" t="str">
        <f>DADOS!A57</f>
        <v>CNPJ:</v>
      </c>
      <c r="J50" s="347">
        <f>DADOS!B57</f>
        <v>0</v>
      </c>
      <c r="K50" s="347"/>
      <c r="L50" s="347"/>
    </row>
    <row r="51" spans="1:18" x14ac:dyDescent="0.2"/>
    <row r="52" spans="1:18" hidden="1" x14ac:dyDescent="0.2">
      <c r="A52" s="52" t="s">
        <v>28</v>
      </c>
    </row>
    <row r="53" spans="1:18" hidden="1" x14ac:dyDescent="0.2">
      <c r="A53" s="52" t="s">
        <v>34</v>
      </c>
    </row>
    <row r="54" spans="1:18" hidden="1" x14ac:dyDescent="0.2">
      <c r="A54" s="52" t="s">
        <v>37</v>
      </c>
    </row>
    <row r="55" spans="1:18" hidden="1" x14ac:dyDescent="0.2">
      <c r="A55" s="52" t="s">
        <v>47</v>
      </c>
    </row>
    <row r="56" spans="1:18" hidden="1" x14ac:dyDescent="0.2">
      <c r="A56" s="52" t="s">
        <v>54</v>
      </c>
    </row>
    <row r="57" spans="1:18" hidden="1" x14ac:dyDescent="0.2">
      <c r="A57" s="52" t="s">
        <v>137</v>
      </c>
    </row>
    <row r="58" spans="1:18" hidden="1" x14ac:dyDescent="0.2">
      <c r="A58" s="52" t="s">
        <v>138</v>
      </c>
    </row>
    <row r="59" spans="1:18" hidden="1" x14ac:dyDescent="0.2">
      <c r="A59" s="52" t="s">
        <v>59</v>
      </c>
    </row>
    <row r="60" spans="1:18" ht="14.25" hidden="1" x14ac:dyDescent="0.2">
      <c r="A60" s="72"/>
      <c r="B60" s="71"/>
      <c r="C60" s="71"/>
      <c r="D60" s="71"/>
      <c r="E60" s="71"/>
      <c r="F60" s="71"/>
      <c r="G60" s="71"/>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552" priority="6" stopIfTrue="1">
      <formula>$O$42=""</formula>
    </cfRule>
  </conditionalFormatting>
  <conditionalFormatting sqref="O18:O27">
    <cfRule type="expression" dxfId="551" priority="11" stopIfTrue="1">
      <formula>AND(O18&lt;&gt;"OK",O18&lt;&gt;"-",O18&lt;&gt;"")</formula>
    </cfRule>
    <cfRule type="cellIs" dxfId="550" priority="12" stopIfTrue="1" operator="equal">
      <formula>"OK"</formula>
    </cfRule>
  </conditionalFormatting>
  <conditionalFormatting sqref="I26:N26">
    <cfRule type="expression" dxfId="549" priority="10" stopIfTrue="1">
      <formula>$Q$11="Não"</formula>
    </cfRule>
  </conditionalFormatting>
  <conditionalFormatting sqref="I27:N27">
    <cfRule type="expression" dxfId="548" priority="9" stopIfTrue="1">
      <formula>$Q$11="sim"</formula>
    </cfRule>
  </conditionalFormatting>
  <conditionalFormatting sqref="P27:R27">
    <cfRule type="expression" dxfId="547" priority="8" stopIfTrue="1">
      <formula>$Q$11="sim"</formula>
    </cfRule>
  </conditionalFormatting>
  <conditionalFormatting sqref="P47:R48">
    <cfRule type="expression" dxfId="546" priority="7" stopIfTrue="1">
      <formula>P47=""</formula>
    </cfRule>
  </conditionalFormatting>
  <conditionalFormatting sqref="I29:R29">
    <cfRule type="expression" dxfId="545" priority="3" stopIfTrue="1">
      <formula>AND(NOT($V$27),NOT($V$29))</formula>
    </cfRule>
  </conditionalFormatting>
  <conditionalFormatting sqref="P18:R26">
    <cfRule type="expression" dxfId="544"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6"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5">
    <tabColor rgb="FFFFFF00"/>
    <pageSetUpPr fitToPage="1"/>
  </sheetPr>
  <dimension ref="A1:AE60"/>
  <sheetViews>
    <sheetView showGridLines="0" topLeftCell="I14" zoomScaleNormal="100" zoomScaleSheetLayoutView="100" zoomScalePageLayoutView="70" workbookViewId="0">
      <selection activeCell="N24" sqref="N24"/>
    </sheetView>
  </sheetViews>
  <sheetFormatPr defaultColWidth="0" defaultRowHeight="13.15" customHeight="1"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2</v>
      </c>
      <c r="Q1"/>
      <c r="R1"/>
    </row>
    <row r="2" spans="1:29" ht="12.75" x14ac:dyDescent="0.2">
      <c r="A2" s="52" t="s">
        <v>28</v>
      </c>
      <c r="B2" s="54" t="s">
        <v>29</v>
      </c>
      <c r="C2" s="52" t="str">
        <f t="shared" ref="C2:C49" si="0">CONCATENATE(A2,"-",B2)</f>
        <v>Construção e Reforma de Edifícios-AC</v>
      </c>
      <c r="E2" s="55">
        <v>0.03</v>
      </c>
      <c r="F2" s="55">
        <v>0.04</v>
      </c>
      <c r="G2" s="55">
        <v>5.5E-2</v>
      </c>
      <c r="Q2"/>
      <c r="R2"/>
    </row>
    <row r="3" spans="1:29" ht="12.75" x14ac:dyDescent="0.2">
      <c r="A3" s="52" t="str">
        <f>A2</f>
        <v>Construção e Reforma de Edifícios</v>
      </c>
      <c r="B3" s="54" t="s">
        <v>30</v>
      </c>
      <c r="C3" s="52" t="str">
        <f t="shared" si="0"/>
        <v>Construção e Reforma de Edifícios-SG</v>
      </c>
      <c r="E3" s="55">
        <v>8.0000000000000002E-3</v>
      </c>
      <c r="F3" s="55">
        <v>8.0000000000000002E-3</v>
      </c>
      <c r="G3" s="55">
        <v>0.01</v>
      </c>
    </row>
    <row r="4" spans="1:29" ht="12.75"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41" t="s">
        <v>150</v>
      </c>
      <c r="J4" s="243"/>
      <c r="K4" s="241" t="s">
        <v>173</v>
      </c>
      <c r="L4" s="242"/>
      <c r="M4" s="242"/>
      <c r="N4" s="242"/>
      <c r="O4" s="242"/>
      <c r="P4" s="242"/>
      <c r="Q4" s="242"/>
      <c r="R4" s="243"/>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30">
        <f>DADOS!A29</f>
        <v>0</v>
      </c>
      <c r="J5" s="331"/>
      <c r="K5" s="332" t="str">
        <f>DADOS!A32</f>
        <v>MUNICÍPIO DE CONSTANTINA</v>
      </c>
      <c r="L5" s="333"/>
      <c r="M5" s="333"/>
      <c r="N5" s="333"/>
      <c r="O5" s="333"/>
      <c r="P5" s="333"/>
      <c r="Q5" s="333"/>
      <c r="R5" s="334"/>
      <c r="S5" s="57"/>
    </row>
    <row r="6" spans="1:29" ht="6" customHeight="1" x14ac:dyDescent="0.2">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41" t="s">
        <v>0</v>
      </c>
      <c r="J7" s="242"/>
      <c r="K7" s="242"/>
      <c r="L7" s="242"/>
      <c r="M7" s="242"/>
      <c r="N7" s="242"/>
      <c r="O7" s="242"/>
      <c r="P7" s="242"/>
      <c r="Q7" s="242"/>
      <c r="R7" s="243"/>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35" t="str">
        <f>DADOS!P29</f>
        <v>PISTA DE SKATE</v>
      </c>
      <c r="J8" s="335"/>
      <c r="K8" s="335"/>
      <c r="L8" s="335"/>
      <c r="M8" s="335"/>
      <c r="N8" s="335"/>
      <c r="O8" s="335"/>
      <c r="P8" s="335"/>
      <c r="Q8" s="335"/>
      <c r="R8" s="335"/>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ht="12.75"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1" t="s">
        <v>35</v>
      </c>
      <c r="J10" s="242"/>
      <c r="K10" s="242"/>
      <c r="L10" s="242"/>
      <c r="M10" s="242"/>
      <c r="N10" s="242"/>
      <c r="O10" s="242"/>
      <c r="P10" s="242"/>
      <c r="Q10" s="241" t="s">
        <v>13</v>
      </c>
      <c r="R10" s="243"/>
    </row>
    <row r="11" spans="1:29" ht="12.75"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25" t="s">
        <v>34</v>
      </c>
      <c r="J11" s="326"/>
      <c r="K11" s="326"/>
      <c r="L11" s="326"/>
      <c r="M11" s="326"/>
      <c r="N11" s="326"/>
      <c r="O11" s="326"/>
      <c r="P11" s="327"/>
      <c r="Q11" s="328" t="str">
        <f>DADOS!$C$38</f>
        <v>Não</v>
      </c>
      <c r="R11" s="329"/>
    </row>
    <row r="12" spans="1:29" ht="12.75" x14ac:dyDescent="0.2">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22" t="s">
        <v>36</v>
      </c>
      <c r="J13" s="322"/>
      <c r="K13" s="322"/>
      <c r="L13" s="322"/>
      <c r="M13" s="322"/>
      <c r="N13" s="322"/>
      <c r="O13" s="322"/>
      <c r="P13" s="322"/>
      <c r="Q13" s="319">
        <v>1</v>
      </c>
      <c r="R13" s="319"/>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20" t="s">
        <v>38</v>
      </c>
      <c r="J14" s="320"/>
      <c r="K14" s="320"/>
      <c r="L14" s="320"/>
      <c r="M14" s="320"/>
      <c r="N14" s="320"/>
      <c r="O14" s="320"/>
      <c r="P14" s="320"/>
      <c r="Q14" s="319">
        <v>0.02</v>
      </c>
      <c r="R14" s="319"/>
    </row>
    <row r="15" spans="1:29" ht="12.75"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21" t="s">
        <v>39</v>
      </c>
      <c r="J16" s="321"/>
      <c r="K16" s="321"/>
      <c r="L16" s="321"/>
      <c r="M16" s="321" t="s">
        <v>40</v>
      </c>
      <c r="N16" s="324" t="s">
        <v>41</v>
      </c>
      <c r="O16" s="324" t="s">
        <v>42</v>
      </c>
      <c r="P16" s="323" t="s">
        <v>43</v>
      </c>
      <c r="Q16" s="323" t="s">
        <v>44</v>
      </c>
      <c r="R16" s="340" t="s">
        <v>45</v>
      </c>
      <c r="T16" s="336" t="str">
        <f>IF(V27,"Para BDI fora do intervalo estatístico, deve ser apresentado Relatório Técnico Circunstanciado justificando a adoção do percentual de cada parcela do BDI.","")</f>
        <v/>
      </c>
      <c r="U16" s="336"/>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21"/>
      <c r="J17" s="321"/>
      <c r="K17" s="321"/>
      <c r="L17" s="321"/>
      <c r="M17" s="321"/>
      <c r="N17" s="324"/>
      <c r="O17" s="324"/>
      <c r="P17" s="323"/>
      <c r="Q17" s="323"/>
      <c r="R17" s="340"/>
      <c r="T17" s="336"/>
      <c r="U17" s="336"/>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38" t="str">
        <f>IF($I$11=$A$59,"Encargos Sociais incidentes sobre a mão de obra","Administração Central")</f>
        <v>Administração Central</v>
      </c>
      <c r="J18" s="338"/>
      <c r="K18" s="338"/>
      <c r="L18" s="338"/>
      <c r="M18" s="60" t="str">
        <f>IF($I$11=$A$59,"K1","AC")</f>
        <v>AC</v>
      </c>
      <c r="N18" s="61">
        <f t="shared" ref="N18:N23" si="1">Q18</f>
        <v>4.0099999999999997E-2</v>
      </c>
      <c r="O18" s="62" t="s">
        <v>46</v>
      </c>
      <c r="P18" s="63">
        <f>VLOOKUP(CONCATENATE(I$11,"-",M18),$C$2:$G$49,3,FALSE)</f>
        <v>3.7999999999999999E-2</v>
      </c>
      <c r="Q18" s="63">
        <f>VLOOKUP(CONCATENATE(I$11,"-",M18),$C$2:$G$49,4,FALSE)</f>
        <v>4.0099999999999997E-2</v>
      </c>
      <c r="R18" s="63">
        <f>VLOOKUP(CONCATENATE(I$11,"-",M18),$C$2:$G$49,5,FALSE)</f>
        <v>4.6699999999999998E-2</v>
      </c>
      <c r="T18" s="336"/>
      <c r="U18" s="336"/>
      <c r="V18" s="108"/>
      <c r="W18" s="108"/>
      <c r="X18" s="108"/>
      <c r="Y18" s="108"/>
      <c r="Z18" s="108"/>
      <c r="AA18" s="108"/>
      <c r="AB18" s="108"/>
      <c r="AC18" s="108"/>
    </row>
    <row r="19" spans="1:31" ht="26.25" customHeight="1" x14ac:dyDescent="0.2">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38" t="str">
        <f>IF($I$11=$A$59,"Administração Central da empresa ou consultoria - overhead","Seguro e Garantia")</f>
        <v>Seguro e Garantia</v>
      </c>
      <c r="J19" s="338"/>
      <c r="K19" s="338"/>
      <c r="L19" s="338"/>
      <c r="M19" s="60" t="str">
        <f>IF($I$11=$A$59,"K2","SG")</f>
        <v>SG</v>
      </c>
      <c r="N19" s="61">
        <f t="shared" si="1"/>
        <v>4.0000000000000001E-3</v>
      </c>
      <c r="O19" s="62" t="s">
        <v>46</v>
      </c>
      <c r="P19" s="63">
        <f>VLOOKUP(CONCATENATE(I$11,"-",M19),$C$2:$G$49,3,FALSE)</f>
        <v>3.2000000000000002E-3</v>
      </c>
      <c r="Q19" s="63">
        <f>VLOOKUP(CONCATENATE(I$11,"-",M19),$C$2:$G$49,4,FALSE)</f>
        <v>4.0000000000000001E-3</v>
      </c>
      <c r="R19" s="63">
        <f>VLOOKUP(CONCATENATE(I$11,"-",M19),$C$2:$G$49,5,FALSE)</f>
        <v>7.4000000000000003E-3</v>
      </c>
      <c r="T19" s="336"/>
      <c r="U19" s="336"/>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38" t="str">
        <f>IF($I$11=$A$59,"","Risco")</f>
        <v>Risco</v>
      </c>
      <c r="J20" s="338"/>
      <c r="K20" s="338"/>
      <c r="L20" s="338"/>
      <c r="M20" s="60" t="str">
        <f>IF($I$11=$A$59,"","R")</f>
        <v>R</v>
      </c>
      <c r="N20" s="61">
        <f t="shared" si="1"/>
        <v>5.6000000000000008E-3</v>
      </c>
      <c r="O20" s="62" t="s">
        <v>46</v>
      </c>
      <c r="P20" s="63">
        <f>VLOOKUP(CONCATENATE(I$11,"-",M20),$C$2:$G$49,3,FALSE)</f>
        <v>5.0000000000000001E-3</v>
      </c>
      <c r="Q20" s="63">
        <f>VLOOKUP(CONCATENATE(I$11,"-",M20),$C$2:$G$49,4,FALSE)</f>
        <v>5.6000000000000008E-3</v>
      </c>
      <c r="R20" s="63">
        <f>VLOOKUP(CONCATENATE(I$11,"-",M20),$C$2:$G$49,5,FALSE)</f>
        <v>9.7000000000000003E-3</v>
      </c>
      <c r="T20" s="336"/>
      <c r="U20" s="336"/>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38" t="str">
        <f>IF($I$11=$A$59,"","Despesas Financeiras")</f>
        <v>Despesas Financeiras</v>
      </c>
      <c r="J21" s="338"/>
      <c r="K21" s="338"/>
      <c r="L21" s="338"/>
      <c r="M21" s="60" t="str">
        <f>IF($I$11=$A$59,"","DF")</f>
        <v>DF</v>
      </c>
      <c r="N21" s="61">
        <f t="shared" si="1"/>
        <v>1.11E-2</v>
      </c>
      <c r="O21" s="62" t="s">
        <v>46</v>
      </c>
      <c r="P21" s="63">
        <f>VLOOKUP(CONCATENATE(I$11,"-",M21),$C$2:$G$49,3,FALSE)</f>
        <v>1.0200000000000001E-2</v>
      </c>
      <c r="Q21" s="63">
        <f>VLOOKUP(CONCATENATE(I$11,"-",M21),$C$2:$G$49,4,FALSE)</f>
        <v>1.11E-2</v>
      </c>
      <c r="R21" s="63">
        <f>VLOOKUP(CONCATENATE(I$11,"-",M21),$C$2:$G$49,5,FALSE)</f>
        <v>1.21E-2</v>
      </c>
      <c r="T21" s="336"/>
      <c r="U21" s="336"/>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38" t="str">
        <f>IF($I$11=$A$59,"Margem bruta da empresa de consultoria","Lucro")</f>
        <v>Lucro</v>
      </c>
      <c r="J22" s="338"/>
      <c r="K22" s="338"/>
      <c r="L22" s="338"/>
      <c r="M22" s="60" t="str">
        <f>IF($I$11=$A$59,"K3","L")</f>
        <v>L</v>
      </c>
      <c r="N22" s="61">
        <f t="shared" si="1"/>
        <v>7.2999999999999995E-2</v>
      </c>
      <c r="O22" s="62" t="s">
        <v>46</v>
      </c>
      <c r="P22" s="63">
        <f>VLOOKUP(CONCATENATE(I$11,"-",M22),$C$2:$G$49,3,FALSE)</f>
        <v>6.6400000000000001E-2</v>
      </c>
      <c r="Q22" s="63">
        <f>VLOOKUP(CONCATENATE(I$11,"-",M22),$C$2:$G$49,4,FALSE)</f>
        <v>7.2999999999999995E-2</v>
      </c>
      <c r="R22" s="63">
        <f>VLOOKUP(CONCATENATE(I$11,"-",M22),$C$2:$G$49,5,FALSE)</f>
        <v>8.6899999999999991E-2</v>
      </c>
      <c r="T22" s="336"/>
      <c r="U22" s="336"/>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9" t="s">
        <v>48</v>
      </c>
      <c r="J23" s="339"/>
      <c r="K23" s="339"/>
      <c r="L23" s="339"/>
      <c r="M23" s="60" t="s">
        <v>49</v>
      </c>
      <c r="N23" s="61">
        <f t="shared" si="1"/>
        <v>3.6499999999999998E-2</v>
      </c>
      <c r="O23" s="62" t="s">
        <v>46</v>
      </c>
      <c r="P23" s="63">
        <v>3.6499999999999998E-2</v>
      </c>
      <c r="Q23" s="63">
        <v>3.6499999999999998E-2</v>
      </c>
      <c r="R23" s="63">
        <v>3.6499999999999998E-2</v>
      </c>
      <c r="T23" s="336"/>
      <c r="U23" s="336"/>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38" t="s">
        <v>50</v>
      </c>
      <c r="J24" s="338"/>
      <c r="K24" s="338"/>
      <c r="L24" s="338"/>
      <c r="M24" s="60" t="s">
        <v>51</v>
      </c>
      <c r="N24" s="63">
        <f>IF($I$11&lt;&gt;$A$58,Q14*Q13,0)</f>
        <v>0.02</v>
      </c>
      <c r="O24" s="62" t="s">
        <v>46</v>
      </c>
      <c r="P24" s="63">
        <v>0</v>
      </c>
      <c r="Q24" s="63">
        <v>2.5000000000000001E-2</v>
      </c>
      <c r="R24" s="63">
        <v>0.05</v>
      </c>
      <c r="T24" s="336"/>
      <c r="U24" s="336"/>
    </row>
    <row r="25" spans="1:31" ht="26.25" customHeight="1" x14ac:dyDescent="0.2">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38" t="s">
        <v>116</v>
      </c>
      <c r="J25" s="338"/>
      <c r="K25" s="338"/>
      <c r="L25" s="338"/>
      <c r="M25" s="60" t="s">
        <v>52</v>
      </c>
      <c r="N25" s="63">
        <f>IF(AND($I$11&lt;&gt;$A$58,Q11="Sim"),4.5%,0%)</f>
        <v>0</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38" t="s">
        <v>53</v>
      </c>
      <c r="J26" s="338"/>
      <c r="K26" s="338"/>
      <c r="L26" s="338"/>
      <c r="M26" s="65" t="s">
        <v>33</v>
      </c>
      <c r="N26" s="63">
        <f>IF($I$11=$A$58,0,ROUND((((1+N18+N19+N20)*(1+N21)*(1+N22)/(1-(N23+N24)))-1),4))</f>
        <v>0.20699999999999999</v>
      </c>
      <c r="O26" s="233"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49" t="s">
        <v>55</v>
      </c>
      <c r="J27" s="349"/>
      <c r="K27" s="349"/>
      <c r="L27" s="349"/>
      <c r="M27" s="66" t="s">
        <v>56</v>
      </c>
      <c r="N27" s="67">
        <f>IF($I$11=$A$58,0,ROUND((((1+N18+N19+N20)*(1+N21)*(1+N22)/(1-(N23+N24+N25)))-1),4))</f>
        <v>0.20699999999999999</v>
      </c>
      <c r="O27" s="110" t="str">
        <f>IF(Q11&lt;&gt;"Sim","",O26)</f>
        <v/>
      </c>
      <c r="P27" s="350"/>
      <c r="Q27" s="350"/>
      <c r="R27" s="350"/>
      <c r="T27" s="107"/>
      <c r="V27" s="111" t="b">
        <f>AND(COUNTA(N18:N23)=6,O26&lt;&gt;"ok",NOT(V29))</f>
        <v>0</v>
      </c>
      <c r="W27" s="52" t="s">
        <v>118</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48" t="s">
        <v>117</v>
      </c>
      <c r="K29" s="348"/>
      <c r="L29" s="348"/>
      <c r="M29" s="348"/>
      <c r="N29" s="348"/>
      <c r="O29" s="348"/>
      <c r="P29" s="348"/>
      <c r="Q29" s="348"/>
      <c r="R29" s="348"/>
      <c r="V29" s="111" t="b">
        <v>0</v>
      </c>
      <c r="W29" s="52" t="s">
        <v>119</v>
      </c>
    </row>
    <row r="30" spans="1:31" ht="7.5" customHeight="1" x14ac:dyDescent="0.2">
      <c r="B30" s="54"/>
      <c r="E30" s="55"/>
      <c r="F30" s="55"/>
      <c r="G30" s="55"/>
      <c r="V30" s="111"/>
    </row>
    <row r="31" spans="1:31" ht="18.75" customHeight="1" x14ac:dyDescent="0.2">
      <c r="B31" s="54"/>
      <c r="E31" s="55"/>
      <c r="F31" s="55"/>
      <c r="G31" s="55"/>
      <c r="I31" s="351" t="s">
        <v>61</v>
      </c>
      <c r="J31" s="351"/>
      <c r="K31" s="351"/>
      <c r="L31" s="351"/>
      <c r="M31" s="351"/>
      <c r="N31" s="351"/>
      <c r="O31" s="351"/>
      <c r="P31" s="351"/>
      <c r="Q31" s="351"/>
      <c r="R31" s="351"/>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46" t="str">
        <f>IF(Q11="Sim","BDI.DES =","BDI.PAD =")</f>
        <v>BDI.PAD =</v>
      </c>
      <c r="M32" s="344" t="str">
        <f>IF($I$11=$A$59,"(1+K1+K2)*(1+K3)","(1+AC + S + R + G)*(1 + DF)*(1+L)")</f>
        <v>(1+AC + S + R + G)*(1 + DF)*(1+L)</v>
      </c>
      <c r="N32" s="344"/>
      <c r="O32" s="344"/>
      <c r="P32" s="342" t="s">
        <v>108</v>
      </c>
      <c r="Q32" s="100"/>
      <c r="R32" s="100"/>
    </row>
    <row r="33" spans="1:18" ht="27" customHeight="1" x14ac:dyDescent="0.2">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46"/>
      <c r="M33" s="345" t="str">
        <f>IF(Q11="Sim","(1-CP-ISS-CRPB)","(1-CP-ISS)")</f>
        <v>(1-CP-ISS)</v>
      </c>
      <c r="N33" s="345"/>
      <c r="O33" s="345"/>
      <c r="P33" s="343"/>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41"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100%, com a respectiva alíquota de 2%.</v>
      </c>
      <c r="J35" s="341"/>
      <c r="K35" s="341"/>
      <c r="L35" s="341"/>
      <c r="M35" s="341"/>
      <c r="N35" s="341"/>
      <c r="O35" s="341"/>
      <c r="P35" s="341"/>
      <c r="Q35" s="341"/>
      <c r="R35" s="341"/>
    </row>
    <row r="36" spans="1:18" ht="11.25" customHeight="1" x14ac:dyDescent="0.2">
      <c r="B36" s="59"/>
      <c r="E36" s="55"/>
      <c r="F36" s="55"/>
      <c r="G36" s="55"/>
    </row>
    <row r="37" spans="1:18" ht="52.5" customHeight="1" x14ac:dyDescent="0.2">
      <c r="B37" s="59"/>
      <c r="E37" s="55"/>
      <c r="F37" s="55"/>
      <c r="G37" s="55"/>
      <c r="I37" s="341"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41"/>
      <c r="K37" s="341"/>
      <c r="L37" s="341"/>
      <c r="M37" s="341"/>
      <c r="N37" s="341"/>
      <c r="O37" s="341"/>
      <c r="P37" s="341"/>
      <c r="Q37" s="341"/>
      <c r="R37" s="341"/>
    </row>
    <row r="38" spans="1:18" ht="18" customHeight="1" x14ac:dyDescent="0.2">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ht="12.75"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53"/>
      <c r="J40" s="354"/>
      <c r="K40" s="354"/>
      <c r="L40" s="354"/>
      <c r="M40" s="354"/>
      <c r="N40" s="354"/>
      <c r="O40" s="354"/>
      <c r="P40" s="354"/>
      <c r="Q40" s="354"/>
      <c r="R40" s="355"/>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ht="12.75" x14ac:dyDescent="0.2">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7" t="str">
        <f>PO!K81</f>
        <v>CONSTANTINA, RS</v>
      </c>
      <c r="J42" s="337"/>
      <c r="K42" s="337"/>
      <c r="L42" s="337"/>
      <c r="O42" s="352">
        <f ca="1">PO!K84</f>
        <v>45110</v>
      </c>
      <c r="P42" s="352"/>
      <c r="Q42" s="352"/>
      <c r="R42" s="352"/>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18" t="s">
        <v>120</v>
      </c>
      <c r="J43" s="318"/>
      <c r="K43" s="318"/>
      <c r="L43" s="318"/>
      <c r="N43" s="68"/>
      <c r="O43" s="144" t="s">
        <v>121</v>
      </c>
      <c r="P43" s="145"/>
      <c r="Q43" s="145"/>
      <c r="R43" s="145"/>
    </row>
    <row r="44" spans="1:18" ht="12.75" x14ac:dyDescent="0.2">
      <c r="A44" s="52" t="s">
        <v>59</v>
      </c>
      <c r="B44" s="54" t="s">
        <v>104</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105</v>
      </c>
      <c r="C45" s="52" t="str">
        <f t="shared" si="0"/>
        <v>Estudos e Projetos, Planos e Gerenciamento e outros correlatos-K2</v>
      </c>
      <c r="E45" s="55" t="s">
        <v>46</v>
      </c>
      <c r="F45" s="55">
        <v>0.2</v>
      </c>
      <c r="G45" s="55" t="s">
        <v>46</v>
      </c>
      <c r="I45" s="317"/>
      <c r="J45" s="317"/>
      <c r="K45" s="317"/>
      <c r="L45" s="317"/>
      <c r="M45" s="69"/>
      <c r="N45" s="69"/>
      <c r="O45" s="317"/>
      <c r="P45" s="317"/>
      <c r="Q45" s="317"/>
      <c r="R45" s="317"/>
    </row>
    <row r="46" spans="1:18" ht="12.75" x14ac:dyDescent="0.2">
      <c r="A46" s="52" t="str">
        <f>A45</f>
        <v>Estudos e Projetos, Planos e Gerenciamento e outros correlatos</v>
      </c>
      <c r="B46" s="54" t="s">
        <v>106</v>
      </c>
      <c r="C46" s="52" t="str">
        <f t="shared" si="0"/>
        <v>Estudos e Projetos, Planos e Gerenciamento e outros correlatos-</v>
      </c>
      <c r="E46" s="55" t="s">
        <v>46</v>
      </c>
      <c r="F46" s="55" t="s">
        <v>46</v>
      </c>
      <c r="G46" s="55" t="s">
        <v>46</v>
      </c>
      <c r="I46" s="356" t="s">
        <v>57</v>
      </c>
      <c r="J46" s="356"/>
      <c r="K46" s="356"/>
      <c r="L46" s="356"/>
      <c r="M46" s="70"/>
      <c r="N46" s="70"/>
      <c r="O46" s="356" t="s">
        <v>58</v>
      </c>
      <c r="P46" s="356"/>
      <c r="Q46" s="356"/>
      <c r="R46" s="356"/>
    </row>
    <row r="47" spans="1:18" ht="14.25" x14ac:dyDescent="0.2">
      <c r="A47" s="52" t="str">
        <f>A46</f>
        <v>Estudos e Projetos, Planos e Gerenciamento e outros correlatos</v>
      </c>
      <c r="B47" s="54" t="s">
        <v>106</v>
      </c>
      <c r="C47" s="52" t="str">
        <f t="shared" si="0"/>
        <v>Estudos e Projetos, Planos e Gerenciamento e outros correlatos-</v>
      </c>
      <c r="E47" s="55" t="s">
        <v>46</v>
      </c>
      <c r="F47" s="55" t="s">
        <v>46</v>
      </c>
      <c r="G47" s="55" t="s">
        <v>46</v>
      </c>
      <c r="I47" s="232" t="s">
        <v>140</v>
      </c>
      <c r="J47" s="347">
        <f>DADOS!B54</f>
        <v>0</v>
      </c>
      <c r="K47" s="347"/>
      <c r="L47" s="347"/>
      <c r="M47" s="71"/>
      <c r="N47" s="71"/>
      <c r="O47" s="232" t="s">
        <v>140</v>
      </c>
      <c r="P47" s="316"/>
      <c r="Q47" s="316"/>
      <c r="R47" s="316"/>
    </row>
    <row r="48" spans="1:18" ht="14.25" x14ac:dyDescent="0.2">
      <c r="A48" s="52" t="str">
        <f>A47</f>
        <v>Estudos e Projetos, Planos e Gerenciamento e outros correlatos</v>
      </c>
      <c r="B48" s="54" t="s">
        <v>107</v>
      </c>
      <c r="C48" s="52" t="str">
        <f t="shared" si="0"/>
        <v>Estudos e Projetos, Planos e Gerenciamento e outros correlatos-K3</v>
      </c>
      <c r="E48" s="55" t="s">
        <v>46</v>
      </c>
      <c r="F48" s="55">
        <v>0.12</v>
      </c>
      <c r="G48" s="55" t="s">
        <v>46</v>
      </c>
      <c r="I48" s="232" t="s">
        <v>17</v>
      </c>
      <c r="J48" s="347">
        <f>DADOS!B55</f>
        <v>0</v>
      </c>
      <c r="K48" s="347"/>
      <c r="L48" s="347"/>
      <c r="M48" s="71"/>
      <c r="N48" s="71"/>
      <c r="O48" s="232" t="s">
        <v>60</v>
      </c>
      <c r="P48" s="316"/>
      <c r="Q48" s="316"/>
      <c r="R48" s="316"/>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32" t="str">
        <f>DADOS!A56</f>
        <v>Empresa:</v>
      </c>
      <c r="J49" s="347">
        <f>DADOS!B56</f>
        <v>0</v>
      </c>
      <c r="K49" s="347"/>
      <c r="L49" s="347"/>
      <c r="M49" s="71"/>
      <c r="N49" s="71"/>
      <c r="O49" s="71"/>
      <c r="P49" s="71"/>
      <c r="Q49" s="71"/>
      <c r="R49" s="71"/>
    </row>
    <row r="50" spans="1:18" ht="12.75" x14ac:dyDescent="0.2">
      <c r="I50" s="232" t="str">
        <f>DADOS!A57</f>
        <v>CNPJ:</v>
      </c>
      <c r="J50" s="347">
        <f>DADOS!B57</f>
        <v>0</v>
      </c>
      <c r="K50" s="347"/>
      <c r="L50" s="347"/>
    </row>
    <row r="51" spans="1:18" ht="12.75" x14ac:dyDescent="0.2"/>
    <row r="52" spans="1:18" ht="12.75" hidden="1" x14ac:dyDescent="0.2">
      <c r="A52" s="52" t="s">
        <v>28</v>
      </c>
    </row>
    <row r="53" spans="1:18" ht="12.75" hidden="1" x14ac:dyDescent="0.2">
      <c r="A53" s="52" t="s">
        <v>34</v>
      </c>
    </row>
    <row r="54" spans="1:18" ht="12.75" hidden="1" x14ac:dyDescent="0.2">
      <c r="A54" s="52" t="s">
        <v>37</v>
      </c>
    </row>
    <row r="55" spans="1:18" ht="12.75" hidden="1" x14ac:dyDescent="0.2">
      <c r="A55" s="52" t="s">
        <v>47</v>
      </c>
    </row>
    <row r="56" spans="1:18" ht="12.75" hidden="1" x14ac:dyDescent="0.2">
      <c r="A56" s="52" t="s">
        <v>54</v>
      </c>
    </row>
    <row r="57" spans="1:18" ht="12.75" hidden="1" x14ac:dyDescent="0.2">
      <c r="A57" s="52" t="s">
        <v>137</v>
      </c>
    </row>
    <row r="58" spans="1:18" ht="12.75" hidden="1" x14ac:dyDescent="0.2">
      <c r="A58" s="52" t="s">
        <v>138</v>
      </c>
    </row>
    <row r="59" spans="1:18" ht="12.75" hidden="1" x14ac:dyDescent="0.2">
      <c r="A59" s="52" t="s">
        <v>59</v>
      </c>
    </row>
    <row r="60" spans="1:18" ht="14.25" hidden="1" x14ac:dyDescent="0.2">
      <c r="A60" s="72"/>
      <c r="B60" s="71"/>
      <c r="C60" s="71"/>
      <c r="D60" s="71"/>
      <c r="E60" s="71"/>
      <c r="F60" s="71"/>
      <c r="G60" s="71"/>
    </row>
  </sheetData>
  <sheetProtection password="C95B"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543" priority="3" stopIfTrue="1">
      <formula>$O$42=""</formula>
    </cfRule>
  </conditionalFormatting>
  <conditionalFormatting sqref="O18:O27">
    <cfRule type="expression" dxfId="542" priority="8" stopIfTrue="1">
      <formula>AND(O18&lt;&gt;"OK",O18&lt;&gt;"-",O18&lt;&gt;"")</formula>
    </cfRule>
    <cfRule type="cellIs" dxfId="541" priority="9" stopIfTrue="1" operator="equal">
      <formula>"OK"</formula>
    </cfRule>
  </conditionalFormatting>
  <conditionalFormatting sqref="I26:N26">
    <cfRule type="expression" dxfId="540" priority="7" stopIfTrue="1">
      <formula>$Q$11="Não"</formula>
    </cfRule>
  </conditionalFormatting>
  <conditionalFormatting sqref="I27:N27">
    <cfRule type="expression" dxfId="539" priority="6" stopIfTrue="1">
      <formula>$Q$11="sim"</formula>
    </cfRule>
  </conditionalFormatting>
  <conditionalFormatting sqref="P27:R27">
    <cfRule type="expression" dxfId="538" priority="5" stopIfTrue="1">
      <formula>$Q$11="sim"</formula>
    </cfRule>
  </conditionalFormatting>
  <conditionalFormatting sqref="P47:R48">
    <cfRule type="expression" dxfId="537" priority="4" stopIfTrue="1">
      <formula>P47=""</formula>
    </cfRule>
  </conditionalFormatting>
  <conditionalFormatting sqref="I29:R29">
    <cfRule type="expression" dxfId="536" priority="2" stopIfTrue="1">
      <formula>AND(NOT($V$27),NOT($V$29))</formula>
    </cfRule>
  </conditionalFormatting>
  <conditionalFormatting sqref="P18:R26">
    <cfRule type="expression" dxfId="535" priority="1" stopIfTrue="1">
      <formula>$I$11=$A$58</formula>
    </cfRule>
  </conditionalFormatting>
  <dataValidations count="6">
    <dataValidation type="decimal" allowBlank="1" showInputMessage="1" showErrorMessage="1" errorTitle="Erro de valores" error="Digite um valor entre 0% e 100%" sqref="N18:N23" xr:uid="{00000000-0002-0000-0200-000000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200-000001000000}">
      <formula1>0</formula1>
    </dataValidation>
    <dataValidation type="decimal" allowBlank="1" showInputMessage="1" showErrorMessage="1" errorTitle="Valor não permitido" error="Digite um percentual entre 0% e 100%." promptTitle="Valores admissíveis:" prompt="Insira valores entre 0 e 100%." sqref="Q13:R13" xr:uid="{00000000-0002-0000-0200-000002000000}">
      <formula1>0</formula1>
      <formula2>1</formula2>
    </dataValidation>
    <dataValidation type="decimal" allowBlank="1" showInputMessage="1" showErrorMessage="1" errorTitle="Erro de valores" error="Digite um valor maior do que 0." sqref="N24" xr:uid="{00000000-0002-0000-0200-000003000000}">
      <formula1>0</formula1>
      <formula2>1</formula2>
    </dataValidation>
    <dataValidation operator="greaterThanOrEqual" allowBlank="1" showInputMessage="1" showErrorMessage="1" errorTitle="Erro de valores" error="Digite um valor igual a 0% ou 2%." sqref="N25" xr:uid="{00000000-0002-0000-0200-000004000000}"/>
    <dataValidation type="list" allowBlank="1" showInputMessage="1" showErrorMessage="1" sqref="I11:P11" xr:uid="{00000000-0002-0000-0200-000005000000}">
      <formula1>$A$52:$A$59</formula1>
    </dataValidation>
  </dataValidations>
  <pageMargins left="0.78740157480314998" right="0.78740157480314998" top="0.78740157480314998" bottom="0.78740157480314998" header="0.59055118110236204" footer="0.59055118110236204"/>
  <pageSetup paperSize="9" scale="76"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1">
    <tabColor rgb="FFFFFF00"/>
    <pageSetUpPr fitToPage="1"/>
  </sheetPr>
  <dimension ref="A1:AA85"/>
  <sheetViews>
    <sheetView showGridLines="0" tabSelected="1" topLeftCell="J1" zoomScale="70" zoomScaleNormal="70" zoomScaleSheetLayoutView="100" workbookViewId="0">
      <pane ySplit="12" topLeftCell="A25" activePane="bottomLeft" state="frozen"/>
      <selection pane="bottomLeft" activeCell="T26" sqref="T26"/>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7" t="s">
        <v>181</v>
      </c>
      <c r="X2" s="357"/>
      <c r="Y2" s="4"/>
      <c r="Z2" s="4"/>
      <c r="AA2" s="4"/>
    </row>
    <row r="3" spans="1:27" ht="12.75" customHeight="1" x14ac:dyDescent="0.2">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5" customHeight="1" x14ac:dyDescent="0.2">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5" customHeight="1" x14ac:dyDescent="0.2">
      <c r="A5" s="9">
        <f>MAX($A$12:$A$70)</f>
        <v>3</v>
      </c>
      <c r="B5" s="4"/>
      <c r="D5" s="117"/>
      <c r="F5" s="5"/>
      <c r="G5" s="4"/>
      <c r="H5" s="4"/>
      <c r="I5" s="4"/>
      <c r="J5" s="4"/>
      <c r="K5" s="4"/>
      <c r="L5" s="4"/>
      <c r="M5" s="4"/>
      <c r="N5" s="4"/>
      <c r="O5" s="4"/>
      <c r="P5" s="4"/>
      <c r="Q5" s="4"/>
      <c r="R5" s="4"/>
      <c r="S5" s="4"/>
      <c r="T5" s="4"/>
      <c r="U5" s="119" t="str">
        <f ca="1">IF(COUNTIF($U$12:OFFSET($U$70,-1,0),"DESCRIÇÃO")+COUNTIF($U$12:OFFSET($U$70,-1,0),"UNIDADE")+COUNTIF($U$12:OFFSET($U$70,-1,0),"SEM VALOR")&gt;0,"NÃO OK","OK")</f>
        <v>NÃO OK</v>
      </c>
      <c r="V5" s="212" t="s">
        <v>106</v>
      </c>
      <c r="W5" s="211" t="s">
        <v>183</v>
      </c>
      <c r="X5" s="214" t="b">
        <v>1</v>
      </c>
      <c r="Y5" s="4"/>
      <c r="Z5" s="4"/>
      <c r="AA5" s="4"/>
    </row>
    <row r="6" spans="1:27" ht="24.95" customHeight="1" x14ac:dyDescent="0.2">
      <c r="A6" s="4"/>
      <c r="B6" s="4"/>
      <c r="D6" s="117"/>
      <c r="F6" s="5"/>
      <c r="G6" s="4"/>
      <c r="H6" s="4"/>
      <c r="I6" s="4"/>
      <c r="J6" s="4"/>
      <c r="K6" s="82"/>
      <c r="L6" s="4"/>
      <c r="M6" s="4"/>
      <c r="N6" s="4"/>
      <c r="O6" s="4"/>
      <c r="P6" s="4"/>
      <c r="Q6" s="4"/>
      <c r="R6" s="4"/>
      <c r="S6" s="4"/>
      <c r="T6" s="4"/>
      <c r="U6" s="4"/>
      <c r="V6" s="4"/>
      <c r="W6" s="211" t="s">
        <v>184</v>
      </c>
      <c r="X6" s="214" t="b">
        <v>1</v>
      </c>
      <c r="Y6" s="4"/>
      <c r="Z6" s="4"/>
      <c r="AA6" s="4"/>
    </row>
    <row r="7" spans="1:27" ht="24.95" customHeight="1" x14ac:dyDescent="0.2">
      <c r="A7" s="4"/>
      <c r="B7" s="4"/>
      <c r="C7" s="20"/>
      <c r="D7" s="117"/>
      <c r="E7" s="5"/>
      <c r="F7" s="5"/>
      <c r="G7" s="4"/>
      <c r="H7" s="4"/>
      <c r="I7" s="4"/>
      <c r="J7" s="4"/>
      <c r="K7" s="82"/>
      <c r="L7" s="4"/>
      <c r="M7" s="4"/>
      <c r="N7" s="4"/>
      <c r="O7" s="4"/>
      <c r="P7" s="4"/>
      <c r="Q7" s="4"/>
      <c r="R7" s="4"/>
      <c r="S7" s="4"/>
      <c r="T7" s="4"/>
      <c r="U7" s="4"/>
      <c r="V7" s="4"/>
      <c r="W7" s="211" t="s">
        <v>185</v>
      </c>
      <c r="X7" s="214" t="b">
        <v>1</v>
      </c>
      <c r="Y7" s="4"/>
      <c r="Z7" s="4"/>
      <c r="AA7" s="4"/>
    </row>
    <row r="8" spans="1:27" ht="30" customHeight="1" x14ac:dyDescent="0.2">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IF(OR($A11="S",$A11=0),0,MATCH(0,OFFSET($B11,1,$A11,ROW($A$70)-ROW($A11)),0))</f>
        <v>0</v>
      </c>
      <c r="I11">
        <f ca="1">IF(OR($A11="S",$A11=0),0,MATCH(OFFSET($B11,0,$A11)+1,OFFSET($B11,1,$A11,ROW($A$70)-ROW($A11)),0))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4"/>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0.20699999999999999</v>
      </c>
      <c r="AA11" s="4"/>
    </row>
    <row r="12" spans="1:27" x14ac:dyDescent="0.2">
      <c r="A12">
        <v>0</v>
      </c>
      <c r="B12">
        <f ca="1">COUNTA(OFFSET(B12,1,0):B$70)</f>
        <v>57</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SUMIF(OFFSET($J12,1,0,ROW(T70)-ROW(T12)-1),"Serviço",OFFSET(T12,1,0,ROW(T70)-ROW(T12)-1))</f>
        <v>0</v>
      </c>
      <c r="U12" s="13" t="str">
        <f>IF($N12=0,"DESCRIÇÃO","")</f>
        <v>DESCRIÇÃO</v>
      </c>
      <c r="V12" s="4">
        <v>0</v>
      </c>
      <c r="W12" s="4"/>
      <c r="X12" s="4"/>
      <c r="Y12" s="11"/>
      <c r="Z12" s="133"/>
      <c r="AA12" s="4"/>
    </row>
    <row r="13" spans="1:27" x14ac:dyDescent="0.2">
      <c r="A13">
        <f t="shared" ref="A13:A68" si="0">CHOOSE(1+LOG(1+2*(J13="Meta")+4*(J13="Nível 2")+8*(J13="Nível 3")+16*(J13="Nível 4")+32*(J13="Serviço"),2),0,1,2,3,4,"S")</f>
        <v>1</v>
      </c>
      <c r="B13">
        <f t="shared" ref="B13:B68" ca="1" si="1">IF(OR(A13="S",A13=0),0,IF(ISERROR(I13),H13,SMALL(H13:I13,1)))</f>
        <v>57</v>
      </c>
      <c r="C13">
        <f t="shared" ref="C13:C68" ca="1" si="2">IF($A13=1,OFFSET(C13,-1,0)+1,OFFSET(C13,-1,0))</f>
        <v>1</v>
      </c>
      <c r="D13">
        <f t="shared" ref="D13:D68" ca="1" si="3">IF($A13=1,0,IF($A13=2,OFFSET(D13,-1,0)+1,OFFSET(D13,-1,0)))</f>
        <v>0</v>
      </c>
      <c r="E13">
        <f t="shared" ref="E13:E68" ca="1" si="4">IF(AND($A13&lt;=2,$A13&lt;&gt;0),0,IF($A13=3,OFFSET(E13,-1,0)+1,OFFSET(E13,-1,0)))</f>
        <v>0</v>
      </c>
      <c r="F13">
        <f t="shared" ref="F13:F68" ca="1" si="5">IF(AND($A13&lt;=3,$A13&lt;&gt;0),0,IF($A13=4,OFFSET(F13,-1,0)+1,OFFSET(F13,-1,0)))</f>
        <v>0</v>
      </c>
      <c r="G13">
        <f t="shared" ref="G13:G68" ca="1" si="6">IF(AND($A13&lt;=4,$A13&lt;&gt;0),0,IF($A13="S",OFFSET(G13,-1,0)+1,OFFSET(G13,-1,0)))</f>
        <v>0</v>
      </c>
      <c r="H13">
        <f t="shared" ref="H13:H44" ca="1" si="7">IF(OR($A13="S",$A13=0),0,MATCH(0,OFFSET($B13,1,$A13,ROW($A$70)-ROW($A13)),0))</f>
        <v>57</v>
      </c>
      <c r="I13" t="e">
        <f t="shared" ref="I13:I44" ca="1" si="8">IF(OR($A13="S",$A13=0),0,MATCH(OFFSET($B13,0,$A13)+1,OFFSET($B13,1,$A13,ROW($A$70)-ROW($A13)),0))</f>
        <v>#N/A</v>
      </c>
      <c r="J13" s="164" t="s">
        <v>99</v>
      </c>
      <c r="K13" s="162" t="str">
        <f t="shared" ref="K13:K68" ca="1" si="9">IF($A13=0,"-",CONCATENATE(C13&amp;".",IF(AND($A$5&gt;=2,$A13&gt;=2),D13&amp;".",""),IF(AND($A$5&gt;=3,$A13&gt;=3),E13&amp;".",""),IF(AND($A$5&gt;=4,$A13&gt;=4),F13&amp;".",""),IF($A13="S",G13&amp;".","")))</f>
        <v>1.</v>
      </c>
      <c r="L13" s="396"/>
      <c r="M13" s="396"/>
      <c r="N13" s="397" t="s">
        <v>250</v>
      </c>
      <c r="O13" s="398" t="s">
        <v>106</v>
      </c>
      <c r="P13" s="399">
        <v>0</v>
      </c>
      <c r="Q13" s="228"/>
      <c r="R13" s="231" t="s">
        <v>7</v>
      </c>
      <c r="S13" s="121">
        <f t="shared" ref="S13:S68" si="10">IF($A13="S",IF($Q$10="Preço Unitário (R$)",PO.CustoUnitario,ROUND(PO.CustoUnitario*(1+$Z13),15-13*$X$6)),0)</f>
        <v>0</v>
      </c>
      <c r="T13" s="98">
        <f t="shared" ref="T13:T68" ca="1" si="11">IF($A13="S",VTOTAL1,IF($A13=0,0,ROUND(SomaAgrup,15-13*$X$7)))</f>
        <v>0</v>
      </c>
      <c r="U13" s="13" t="str">
        <f t="shared" ref="U13:U68" ca="1" si="12">IF($J13="","",IF($N13="","DESCRIÇÃO",IF(AND($J13="Serviço",$O13=""),"UNIDADE",IF($T13&lt;=0,"SEM VALOR",IF(AND($Y13&lt;&gt;"",$Q13&gt;$Y13),"ACIMA REF.","")))))</f>
        <v>SEM VALOR</v>
      </c>
      <c r="V13" s="4">
        <f ca="1">IF(OR($A13=0,$A13="S",$A13&gt;CFF!$A$9),"",MAX(V$12:OFFSET(V13,-1,0))+1)</f>
        <v>1</v>
      </c>
      <c r="W13" s="9" t="b">
        <f t="shared" ref="W13:W68" si="13">IF(AND($J13="Serviço",$M13&lt;&gt;""),IF($L13="",$M13,CONCATENATE($L13,"-",$M13)))</f>
        <v>0</v>
      </c>
      <c r="X13" s="4" t="str">
        <f t="shared" ref="X13:X68" ca="1" si="14">IF(AND(Fonte&lt;&gt;"",Código&lt;&gt;""),MATCH(Fonte&amp;" "&amp;IF(Fonte="sinapi",SUBSTITUTE(SUBSTITUTE(Código,"/00","/"),"/0","/"),Código),INDIRECT("'[Referência "&amp;_xlnm.Database&amp;".xls]Banco'!$a:$a"),0),"X")</f>
        <v>X</v>
      </c>
      <c r="Y13" s="121">
        <v>0</v>
      </c>
      <c r="Z13" s="132">
        <f ca="1">ROUND(IF(ISNUMBER(R13),R13,IF(LEFT(R13,3)="BDI",HLOOKUP(R13,DADOS!$T$37:$X$38,2,FALSE),0)),15-11*$X$5)</f>
        <v>0.20699999999999999</v>
      </c>
      <c r="AA13" s="4"/>
    </row>
    <row r="14" spans="1:27" x14ac:dyDescent="0.2">
      <c r="A14">
        <f t="shared" si="0"/>
        <v>2</v>
      </c>
      <c r="B14">
        <f t="shared" ca="1" si="1"/>
        <v>6</v>
      </c>
      <c r="C14">
        <f t="shared" ca="1" si="2"/>
        <v>1</v>
      </c>
      <c r="D14">
        <f t="shared" ca="1" si="3"/>
        <v>1</v>
      </c>
      <c r="E14">
        <f t="shared" ca="1" si="4"/>
        <v>0</v>
      </c>
      <c r="F14">
        <f t="shared" ca="1" si="5"/>
        <v>0</v>
      </c>
      <c r="G14">
        <f t="shared" ca="1" si="6"/>
        <v>0</v>
      </c>
      <c r="H14">
        <f t="shared" ca="1" si="7"/>
        <v>56</v>
      </c>
      <c r="I14">
        <f t="shared" ca="1" si="8"/>
        <v>6</v>
      </c>
      <c r="J14" s="395" t="s">
        <v>100</v>
      </c>
      <c r="K14" s="162" t="str">
        <f t="shared" ca="1" si="9"/>
        <v>1.1.</v>
      </c>
      <c r="L14" s="396"/>
      <c r="M14" s="396"/>
      <c r="N14" s="397" t="s">
        <v>239</v>
      </c>
      <c r="O14" s="398" t="s">
        <v>106</v>
      </c>
      <c r="P14" s="399"/>
      <c r="Q14" s="228"/>
      <c r="R14" s="231" t="s">
        <v>7</v>
      </c>
      <c r="S14" s="121">
        <f t="shared" si="10"/>
        <v>0</v>
      </c>
      <c r="T14" s="98">
        <f t="shared" ca="1" si="11"/>
        <v>0</v>
      </c>
      <c r="U14" s="13" t="str">
        <f t="shared" ca="1" si="12"/>
        <v>SEM VALOR</v>
      </c>
      <c r="V14" s="4">
        <f ca="1">IF(OR($A14=0,$A14="S",$A14&gt;CFF!$A$9),"",MAX(V$12:OFFSET(V14,-1,0))+1)</f>
        <v>2</v>
      </c>
      <c r="W14" s="9" t="b">
        <f t="shared" si="13"/>
        <v>0</v>
      </c>
      <c r="X14" s="4" t="str">
        <f t="shared" ca="1" si="14"/>
        <v>X</v>
      </c>
      <c r="Y14" s="121">
        <v>0</v>
      </c>
      <c r="Z14" s="132">
        <f ca="1">ROUND(IF(ISNUMBER(R14),R14,IF(LEFT(R14,3)="BDI",HLOOKUP(R14,DADOS!$T$37:$X$38,2,FALSE),0)),15-11*$X$5)</f>
        <v>0.20699999999999999</v>
      </c>
      <c r="AA14" s="4"/>
    </row>
    <row r="15" spans="1:27" ht="25.5" x14ac:dyDescent="0.2">
      <c r="A15" t="str">
        <f>CHOOSE(1+LOG(1+2*(J15="Meta")+4*(J15="Nível 2")+8*(J15="Nível 3")+16*(J15="Nível 4")+32*(J15="Serviço"),2),0,1,2,3,4,"S")</f>
        <v>S</v>
      </c>
      <c r="B15">
        <f>IF(OR(A15="S",A15=0),0,IF(ISERROR(I15),H15,SMALL(H15:I15,1)))</f>
        <v>0</v>
      </c>
      <c r="C15">
        <f ca="1">IF($A15=1,OFFSET(C15,-1,0)+1,OFFSET(C15,-1,0))</f>
        <v>1</v>
      </c>
      <c r="D15">
        <f ca="1">IF($A15=1,0,IF($A15=2,OFFSET(D15,-1,0)+1,OFFSET(D15,-1,0)))</f>
        <v>1</v>
      </c>
      <c r="E15">
        <f ca="1">IF(AND($A15&lt;=2,$A15&lt;&gt;0),0,IF($A15=3,OFFSET(E15,-1,0)+1,OFFSET(E15,-1,0)))</f>
        <v>0</v>
      </c>
      <c r="F15">
        <f ca="1">IF(AND($A15&lt;=3,$A15&lt;&gt;0),0,IF($A15=4,OFFSET(F15,-1,0)+1,OFFSET(F15,-1,0)))</f>
        <v>0</v>
      </c>
      <c r="G15">
        <f ca="1">IF(AND($A15&lt;=4,$A15&lt;&gt;0),0,IF($A15="S",OFFSET(G15,-1,0)+1,OFFSET(G15,-1,0)))</f>
        <v>1</v>
      </c>
      <c r="H15">
        <f t="shared" ca="1" si="7"/>
        <v>0</v>
      </c>
      <c r="I15">
        <f t="shared" ca="1" si="8"/>
        <v>0</v>
      </c>
      <c r="J15" s="395" t="s">
        <v>103</v>
      </c>
      <c r="K15" s="162" t="str">
        <f ca="1">IF($A15=0,"-",CONCATENATE(C15&amp;".",IF(AND($A$5&gt;=2,$A15&gt;=2),D15&amp;".",""),IF(AND($A$5&gt;=3,$A15&gt;=3),E15&amp;".",""),IF(AND($A$5&gt;=4,$A15&gt;=4),F15&amp;".",""),IF($A15="S",G15&amp;".","")))</f>
        <v>1.1.0.1.</v>
      </c>
      <c r="L15" s="396" t="s">
        <v>238</v>
      </c>
      <c r="M15" s="396" t="s">
        <v>251</v>
      </c>
      <c r="N15" s="397" t="s">
        <v>293</v>
      </c>
      <c r="O15" s="398" t="s">
        <v>328</v>
      </c>
      <c r="P15" s="399">
        <v>4.5</v>
      </c>
      <c r="Q15" s="228"/>
      <c r="R15" s="231" t="s">
        <v>7</v>
      </c>
      <c r="S15" s="121">
        <f>IF($A15="S",IF($Q$10="Preço Unitário (R$)",PO.CustoUnitario,ROUND(PO.CustoUnitario*(1+$Z15),15-13*$X$6)),0)</f>
        <v>0</v>
      </c>
      <c r="T15" s="98">
        <f>IF($A15="S",VTOTAL1,IF($A15=0,0,ROUND(SomaAgrup,15-13*$X$7)))</f>
        <v>0</v>
      </c>
      <c r="U15" s="13" t="str">
        <f>IF($J15="","",IF($N15="","DESCRIÇÃO",IF(AND($J15="Serviço",$O15=""),"UNIDADE",IF($T15&lt;=0,"SEM VALOR",IF(AND($Y15&lt;&gt;"",$Q15&gt;$Y15),"ACIMA REF.","")))))</f>
        <v>SEM VALOR</v>
      </c>
      <c r="V15" s="4" t="str">
        <f ca="1">IF(OR($A15=0,$A15="S",$A15&gt;CFF!$A$9),"",MAX(V$12:OFFSET(V15,-1,0))+1)</f>
        <v/>
      </c>
      <c r="W15" s="9" t="str">
        <f>IF(AND($J15="Serviço",$M15&lt;&gt;""),IF($L15="",$M15,CONCATENATE($L15,"-",$M15)))</f>
        <v>SINAPI-I-4813</v>
      </c>
      <c r="X15" s="4">
        <f ca="1">IF(AND(Fonte&lt;&gt;"",Código&lt;&gt;""),MATCH(Fonte&amp;" "&amp;IF(Fonte="sinapi",SUBSTITUTE(SUBSTITUTE(Código,"/00","/"),"/0","/"),Código),INDIRECT("'[Referência "&amp;_xlnm.Database&amp;".xls]Banco'!$a:$a"),0),"X")</f>
        <v>3486</v>
      </c>
      <c r="Y15" s="121">
        <v>331.93</v>
      </c>
      <c r="Z15" s="132">
        <f ca="1">ROUND(IF(ISNUMBER(R15),R15,IF(LEFT(R15,3)="BDI",HLOOKUP(R15,DADOS!$T$37:$X$38,2,FALSE),0)),15-11*$X$5)</f>
        <v>0.20699999999999999</v>
      </c>
      <c r="AA15" s="4"/>
    </row>
    <row r="16" spans="1:27" ht="25.5" x14ac:dyDescent="0.2">
      <c r="A16" t="str">
        <f>CHOOSE(1+LOG(1+2*(J16="Meta")+4*(J16="Nível 2")+8*(J16="Nível 3")+16*(J16="Nível 4")+32*(J16="Serviço"),2),0,1,2,3,4,"S")</f>
        <v>S</v>
      </c>
      <c r="B16">
        <f>IF(OR(A16="S",A16=0),0,IF(ISERROR(I16),H16,SMALL(H16:I16,1)))</f>
        <v>0</v>
      </c>
      <c r="C16">
        <f ca="1">IF($A16=1,OFFSET(C16,-1,0)+1,OFFSET(C16,-1,0))</f>
        <v>1</v>
      </c>
      <c r="D16">
        <f ca="1">IF($A16=1,0,IF($A16=2,OFFSET(D16,-1,0)+1,OFFSET(D16,-1,0)))</f>
        <v>1</v>
      </c>
      <c r="E16">
        <f ca="1">IF(AND($A16&lt;=2,$A16&lt;&gt;0),0,IF($A16=3,OFFSET(E16,-1,0)+1,OFFSET(E16,-1,0)))</f>
        <v>0</v>
      </c>
      <c r="F16">
        <f ca="1">IF(AND($A16&lt;=3,$A16&lt;&gt;0),0,IF($A16=4,OFFSET(F16,-1,0)+1,OFFSET(F16,-1,0)))</f>
        <v>0</v>
      </c>
      <c r="G16">
        <f ca="1">IF(AND($A16&lt;=4,$A16&lt;&gt;0),0,IF($A16="S",OFFSET(G16,-1,0)+1,OFFSET(G16,-1,0)))</f>
        <v>2</v>
      </c>
      <c r="H16">
        <f t="shared" ca="1" si="7"/>
        <v>0</v>
      </c>
      <c r="I16">
        <f t="shared" ca="1" si="8"/>
        <v>0</v>
      </c>
      <c r="J16" s="395" t="s">
        <v>103</v>
      </c>
      <c r="K16" s="162" t="str">
        <f ca="1">IF($A16=0,"-",CONCATENATE(C16&amp;".",IF(AND($A$5&gt;=2,$A16&gt;=2),D16&amp;".",""),IF(AND($A$5&gt;=3,$A16&gt;=3),E16&amp;".",""),IF(AND($A$5&gt;=4,$A16&gt;=4),F16&amp;".",""),IF($A16="S",G16&amp;".","")))</f>
        <v>1.1.0.2.</v>
      </c>
      <c r="L16" s="396" t="s">
        <v>231</v>
      </c>
      <c r="M16" s="396" t="s">
        <v>279</v>
      </c>
      <c r="N16" s="397" t="s">
        <v>294</v>
      </c>
      <c r="O16" s="398" t="s">
        <v>329</v>
      </c>
      <c r="P16" s="399">
        <v>71.2</v>
      </c>
      <c r="Q16" s="228"/>
      <c r="R16" s="231" t="s">
        <v>7</v>
      </c>
      <c r="S16" s="121">
        <f>IF($A16="S",IF($Q$10="Preço Unitário (R$)",PO.CustoUnitario,ROUND(PO.CustoUnitario*(1+$Z16),15-13*$X$6)),0)</f>
        <v>0</v>
      </c>
      <c r="T16" s="98">
        <f>IF($A16="S",VTOTAL1,IF($A16=0,0,ROUND(SomaAgrup,15-13*$X$7)))</f>
        <v>0</v>
      </c>
      <c r="U16" s="13" t="str">
        <f>IF($J16="","",IF($N16="","DESCRIÇÃO",IF(AND($J16="Serviço",$O16=""),"UNIDADE",IF($T16&lt;=0,"SEM VALOR",IF(AND($Y16&lt;&gt;"",$Q16&gt;$Y16),"ACIMA REF.","")))))</f>
        <v>SEM VALOR</v>
      </c>
      <c r="V16" s="4" t="str">
        <f ca="1">IF(OR($A16=0,$A16="S",$A16&gt;CFF!$A$9),"",MAX(V$12:OFFSET(V16,-1,0))+1)</f>
        <v/>
      </c>
      <c r="W16" s="9" t="str">
        <f>IF(AND($J16="Serviço",$M16&lt;&gt;""),IF($L16="",$M16,CONCATENATE($L16,"-",$M16)))</f>
        <v>SINAPI-99059</v>
      </c>
      <c r="X16" s="4">
        <f ca="1">IF(AND(Fonte&lt;&gt;"",Código&lt;&gt;""),MATCH(Fonte&amp;" "&amp;IF(Fonte="sinapi",SUBSTITUTE(SUBSTITUTE(Código,"/00","/"),"/0","/"),Código),INDIRECT("'[Referência "&amp;_xlnm.Database&amp;".xls]Banco'!$a:$a"),0),"X")</f>
        <v>11825</v>
      </c>
      <c r="Y16" s="121">
        <v>58.77</v>
      </c>
      <c r="Z16" s="132">
        <f ca="1">ROUND(IF(ISNUMBER(R16),R16,IF(LEFT(R16,3)="BDI",HLOOKUP(R16,DADOS!$T$37:$X$38,2,FALSE),0)),15-11*$X$5)</f>
        <v>0.20699999999999999</v>
      </c>
      <c r="AA16" s="4"/>
    </row>
    <row r="17" spans="1:27" ht="25.5" x14ac:dyDescent="0.2">
      <c r="A17" t="str">
        <f t="shared" si="0"/>
        <v>S</v>
      </c>
      <c r="B17">
        <f t="shared" si="1"/>
        <v>0</v>
      </c>
      <c r="C17">
        <f t="shared" ca="1" si="2"/>
        <v>1</v>
      </c>
      <c r="D17">
        <f t="shared" ca="1" si="3"/>
        <v>1</v>
      </c>
      <c r="E17">
        <f t="shared" ca="1" si="4"/>
        <v>0</v>
      </c>
      <c r="F17">
        <f t="shared" ca="1" si="5"/>
        <v>0</v>
      </c>
      <c r="G17">
        <f t="shared" ca="1" si="6"/>
        <v>3</v>
      </c>
      <c r="H17">
        <f t="shared" ca="1" si="7"/>
        <v>0</v>
      </c>
      <c r="I17">
        <f t="shared" ca="1" si="8"/>
        <v>0</v>
      </c>
      <c r="J17" s="395" t="s">
        <v>103</v>
      </c>
      <c r="K17" s="162" t="str">
        <f t="shared" ca="1" si="9"/>
        <v>1.1.0.3.</v>
      </c>
      <c r="L17" s="396" t="s">
        <v>231</v>
      </c>
      <c r="M17" s="396" t="s">
        <v>254</v>
      </c>
      <c r="N17" s="397" t="s">
        <v>295</v>
      </c>
      <c r="O17" s="398" t="s">
        <v>268</v>
      </c>
      <c r="P17" s="399">
        <v>19.2</v>
      </c>
      <c r="Q17" s="228"/>
      <c r="R17" s="231" t="s">
        <v>7</v>
      </c>
      <c r="S17" s="121">
        <f t="shared" si="10"/>
        <v>0</v>
      </c>
      <c r="T17" s="98">
        <f t="shared" si="11"/>
        <v>0</v>
      </c>
      <c r="U17" s="13" t="str">
        <f t="shared" si="12"/>
        <v>SEM VALOR</v>
      </c>
      <c r="V17" s="4" t="str">
        <f ca="1">IF(OR($A17=0,$A17="S",$A17&gt;CFF!$A$9),"",MAX(V$12:OFFSET(V17,-1,0))+1)</f>
        <v/>
      </c>
      <c r="W17" s="9" t="str">
        <f t="shared" si="13"/>
        <v>SINAPI-96521</v>
      </c>
      <c r="X17" s="4">
        <f t="shared" ca="1" si="14"/>
        <v>10440</v>
      </c>
      <c r="Y17" s="121">
        <v>55.52</v>
      </c>
      <c r="Z17" s="132">
        <f ca="1">ROUND(IF(ISNUMBER(R17),R17,IF(LEFT(R17,3)="BDI",HLOOKUP(R17,DADOS!$T$37:$X$38,2,FALSE),0)),15-11*$X$5)</f>
        <v>0.20699999999999999</v>
      </c>
      <c r="AA17" s="4"/>
    </row>
    <row r="18" spans="1:27" ht="25.5" x14ac:dyDescent="0.2">
      <c r="A18" t="str">
        <f>CHOOSE(1+LOG(1+2*(J18="Meta")+4*(J18="Nível 2")+8*(J18="Nível 3")+16*(J18="Nível 4")+32*(J18="Serviço"),2),0,1,2,3,4,"S")</f>
        <v>S</v>
      </c>
      <c r="B18">
        <f>IF(OR(A18="S",A18=0),0,IF(ISERROR(I18),H18,SMALL(H18:I18,1)))</f>
        <v>0</v>
      </c>
      <c r="C18">
        <f ca="1">IF($A18=1,OFFSET(C18,-1,0)+1,OFFSET(C18,-1,0))</f>
        <v>1</v>
      </c>
      <c r="D18">
        <f ca="1">IF($A18=1,0,IF($A18=2,OFFSET(D18,-1,0)+1,OFFSET(D18,-1,0)))</f>
        <v>1</v>
      </c>
      <c r="E18">
        <f ca="1">IF(AND($A18&lt;=2,$A18&lt;&gt;0),0,IF($A18=3,OFFSET(E18,-1,0)+1,OFFSET(E18,-1,0)))</f>
        <v>0</v>
      </c>
      <c r="F18">
        <f ca="1">IF(AND($A18&lt;=3,$A18&lt;&gt;0),0,IF($A18=4,OFFSET(F18,-1,0)+1,OFFSET(F18,-1,0)))</f>
        <v>0</v>
      </c>
      <c r="G18">
        <f ca="1">IF(AND($A18&lt;=4,$A18&lt;&gt;0),0,IF($A18="S",OFFSET(G18,-1,0)+1,OFFSET(G18,-1,0)))</f>
        <v>4</v>
      </c>
      <c r="H18">
        <f t="shared" ca="1" si="7"/>
        <v>0</v>
      </c>
      <c r="I18">
        <f t="shared" ca="1" si="8"/>
        <v>0</v>
      </c>
      <c r="J18" s="395" t="s">
        <v>103</v>
      </c>
      <c r="K18" s="162" t="str">
        <f ca="1">IF($A18=0,"-",CONCATENATE(C18&amp;".",IF(AND($A$5&gt;=2,$A18&gt;=2),D18&amp;".",""),IF(AND($A$5&gt;=3,$A18&gt;=3),E18&amp;".",""),IF(AND($A$5&gt;=4,$A18&gt;=4),F18&amp;".",""),IF($A18="S",G18&amp;".","")))</f>
        <v>1.1.0.4.</v>
      </c>
      <c r="L18" s="396" t="s">
        <v>231</v>
      </c>
      <c r="M18" s="396" t="s">
        <v>255</v>
      </c>
      <c r="N18" s="397" t="s">
        <v>296</v>
      </c>
      <c r="O18" s="398" t="s">
        <v>268</v>
      </c>
      <c r="P18" s="399">
        <v>39.22</v>
      </c>
      <c r="Q18" s="228"/>
      <c r="R18" s="231" t="s">
        <v>7</v>
      </c>
      <c r="S18" s="121">
        <f>IF($A18="S",IF($Q$10="Preço Unitário (R$)",PO.CustoUnitario,ROUND(PO.CustoUnitario*(1+$Z18),15-13*$X$6)),0)</f>
        <v>0</v>
      </c>
      <c r="T18" s="98">
        <f>IF($A18="S",VTOTAL1,IF($A18=0,0,ROUND(SomaAgrup,15-13*$X$7)))</f>
        <v>0</v>
      </c>
      <c r="U18" s="13" t="str">
        <f>IF($J18="","",IF($N18="","DESCRIÇÃO",IF(AND($J18="Serviço",$O18=""),"UNIDADE",IF($T18&lt;=0,"SEM VALOR",IF(AND($Y18&lt;&gt;"",$Q18&gt;$Y18),"ACIMA REF.","")))))</f>
        <v>SEM VALOR</v>
      </c>
      <c r="V18" s="4" t="str">
        <f ca="1">IF(OR($A18=0,$A18="S",$A18&gt;CFF!$A$9),"",MAX(V$12:OFFSET(V18,-1,0))+1)</f>
        <v/>
      </c>
      <c r="W18" s="9" t="str">
        <f>IF(AND($J18="Serviço",$M18&lt;&gt;""),IF($L18="",$M18,CONCATENATE($L18,"-",$M18)))</f>
        <v>SINAPI-96525</v>
      </c>
      <c r="X18" s="4">
        <f ca="1">IF(AND(Fonte&lt;&gt;"",Código&lt;&gt;""),MATCH(Fonte&amp;" "&amp;IF(Fonte="sinapi",SUBSTITUTE(SUBSTITUTE(Código,"/00","/"),"/0","/"),Código),INDIRECT("'[Referência "&amp;_xlnm.Database&amp;".xls]Banco'!$a:$a"),0),"X")</f>
        <v>10444</v>
      </c>
      <c r="Y18" s="121">
        <v>59.36</v>
      </c>
      <c r="Z18" s="132">
        <f ca="1">ROUND(IF(ISNUMBER(R18),R18,IF(LEFT(R18,3)="BDI",HLOOKUP(R18,DADOS!$T$37:$X$38,2,FALSE),0)),15-11*$X$5)</f>
        <v>0.20699999999999999</v>
      </c>
      <c r="AA18" s="4"/>
    </row>
    <row r="19" spans="1:27" x14ac:dyDescent="0.2">
      <c r="A19" t="str">
        <f>CHOOSE(1+LOG(1+2*(J19="Meta")+4*(J19="Nível 2")+8*(J19="Nível 3")+16*(J19="Nível 4")+32*(J19="Serviço"),2),0,1,2,3,4,"S")</f>
        <v>S</v>
      </c>
      <c r="B19">
        <f>IF(OR(A19="S",A19=0),0,IF(ISERROR(I19),H19,SMALL(H19:I19,1)))</f>
        <v>0</v>
      </c>
      <c r="C19">
        <f ca="1">IF($A19=1,OFFSET(C19,-1,0)+1,OFFSET(C19,-1,0))</f>
        <v>1</v>
      </c>
      <c r="D19">
        <f ca="1">IF($A19=1,0,IF($A19=2,OFFSET(D19,-1,0)+1,OFFSET(D19,-1,0)))</f>
        <v>1</v>
      </c>
      <c r="E19">
        <f ca="1">IF(AND($A19&lt;=2,$A19&lt;&gt;0),0,IF($A19=3,OFFSET(E19,-1,0)+1,OFFSET(E19,-1,0)))</f>
        <v>0</v>
      </c>
      <c r="F19">
        <f ca="1">IF(AND($A19&lt;=3,$A19&lt;&gt;0),0,IF($A19=4,OFFSET(F19,-1,0)+1,OFFSET(F19,-1,0)))</f>
        <v>0</v>
      </c>
      <c r="G19">
        <f ca="1">IF(AND($A19&lt;=4,$A19&lt;&gt;0),0,IF($A19="S",OFFSET(G19,-1,0)+1,OFFSET(G19,-1,0)))</f>
        <v>5</v>
      </c>
      <c r="H19">
        <f t="shared" ca="1" si="7"/>
        <v>0</v>
      </c>
      <c r="I19">
        <f t="shared" ca="1" si="8"/>
        <v>0</v>
      </c>
      <c r="J19" s="395" t="s">
        <v>103</v>
      </c>
      <c r="K19" s="162" t="str">
        <f ca="1">IF($A19=0,"-",CONCATENATE(C19&amp;".",IF(AND($A$5&gt;=2,$A19&gt;=2),D19&amp;".",""),IF(AND($A$5&gt;=3,$A19&gt;=3),E19&amp;".",""),IF(AND($A$5&gt;=4,$A19&gt;=4),F19&amp;".",""),IF($A19="S",G19&amp;".","")))</f>
        <v>1.1.0.5.</v>
      </c>
      <c r="L19" s="396" t="s">
        <v>231</v>
      </c>
      <c r="M19" s="396" t="s">
        <v>287</v>
      </c>
      <c r="N19" s="397" t="s">
        <v>297</v>
      </c>
      <c r="O19" s="398" t="s">
        <v>268</v>
      </c>
      <c r="P19" s="399">
        <v>31.37</v>
      </c>
      <c r="Q19" s="228"/>
      <c r="R19" s="231" t="s">
        <v>7</v>
      </c>
      <c r="S19" s="121">
        <f>IF($A19="S",IF($Q$10="Preço Unitário (R$)",PO.CustoUnitario,ROUND(PO.CustoUnitario*(1+$Z19),15-13*$X$6)),0)</f>
        <v>0</v>
      </c>
      <c r="T19" s="98">
        <f>IF($A19="S",VTOTAL1,IF($A19=0,0,ROUND(SomaAgrup,15-13*$X$7)))</f>
        <v>0</v>
      </c>
      <c r="U19" s="13" t="str">
        <f>IF($J19="","",IF($N19="","DESCRIÇÃO",IF(AND($J19="Serviço",$O19=""),"UNIDADE",IF($T19&lt;=0,"SEM VALOR",IF(AND($Y19&lt;&gt;"",$Q19&gt;$Y19),"ACIMA REF.","")))))</f>
        <v>SEM VALOR</v>
      </c>
      <c r="V19" s="4" t="str">
        <f ca="1">IF(OR($A19=0,$A19="S",$A19&gt;CFF!$A$9),"",MAX(V$12:OFFSET(V19,-1,0))+1)</f>
        <v/>
      </c>
      <c r="W19" s="9" t="str">
        <f>IF(AND($J19="Serviço",$M19&lt;&gt;""),IF($L19="",$M19,CONCATENATE($L19,"-",$M19)))</f>
        <v>SINAPI-93382</v>
      </c>
      <c r="X19" s="4">
        <f ca="1">IF(AND(Fonte&lt;&gt;"",Código&lt;&gt;""),MATCH(Fonte&amp;" "&amp;IF(Fonte="sinapi",SUBSTITUTE(SUBSTITUTE(Código,"/00","/"),"/0","/"),Código),INDIRECT("'[Referência "&amp;_xlnm.Database&amp;".xls]Banco'!$a:$a"),0),"X")</f>
        <v>10685</v>
      </c>
      <c r="Y19" s="121">
        <v>41.4</v>
      </c>
      <c r="Z19" s="132">
        <f ca="1">ROUND(IF(ISNUMBER(R19),R19,IF(LEFT(R19,3)="BDI",HLOOKUP(R19,DADOS!$T$37:$X$38,2,FALSE),0)),15-11*$X$5)</f>
        <v>0.20699999999999999</v>
      </c>
      <c r="AA19" s="4"/>
    </row>
    <row r="20" spans="1:27" x14ac:dyDescent="0.2">
      <c r="A20">
        <f t="shared" si="0"/>
        <v>2</v>
      </c>
      <c r="B20">
        <f t="shared" ca="1" si="1"/>
        <v>11</v>
      </c>
      <c r="C20">
        <f t="shared" ca="1" si="2"/>
        <v>1</v>
      </c>
      <c r="D20">
        <f t="shared" ca="1" si="3"/>
        <v>2</v>
      </c>
      <c r="E20">
        <f t="shared" ca="1" si="4"/>
        <v>0</v>
      </c>
      <c r="F20">
        <f t="shared" ca="1" si="5"/>
        <v>0</v>
      </c>
      <c r="G20">
        <f t="shared" ca="1" si="6"/>
        <v>0</v>
      </c>
      <c r="H20">
        <f t="shared" ca="1" si="7"/>
        <v>50</v>
      </c>
      <c r="I20">
        <f t="shared" ca="1" si="8"/>
        <v>11</v>
      </c>
      <c r="J20" s="395" t="s">
        <v>100</v>
      </c>
      <c r="K20" s="162" t="str">
        <f t="shared" ca="1" si="9"/>
        <v>1.2.</v>
      </c>
      <c r="L20" s="396"/>
      <c r="M20" s="396"/>
      <c r="N20" s="397" t="s">
        <v>240</v>
      </c>
      <c r="O20" s="398" t="s">
        <v>106</v>
      </c>
      <c r="P20" s="399"/>
      <c r="Q20" s="228"/>
      <c r="R20" s="231" t="s">
        <v>7</v>
      </c>
      <c r="S20" s="121">
        <f t="shared" si="10"/>
        <v>0</v>
      </c>
      <c r="T20" s="98">
        <f t="shared" ca="1" si="11"/>
        <v>0</v>
      </c>
      <c r="U20" s="13" t="str">
        <f t="shared" ca="1" si="12"/>
        <v>SEM VALOR</v>
      </c>
      <c r="V20" s="4">
        <f ca="1">IF(OR($A20=0,$A20="S",$A20&gt;CFF!$A$9),"",MAX(V$12:OFFSET(V20,-1,0))+1)</f>
        <v>3</v>
      </c>
      <c r="W20" s="9" t="b">
        <f t="shared" si="13"/>
        <v>0</v>
      </c>
      <c r="X20" s="4" t="str">
        <f t="shared" ca="1" si="14"/>
        <v>X</v>
      </c>
      <c r="Y20" s="121">
        <v>0</v>
      </c>
      <c r="Z20" s="132">
        <f ca="1">ROUND(IF(ISNUMBER(R20),R20,IF(LEFT(R20,3)="BDI",HLOOKUP(R20,DADOS!$T$37:$X$38,2,FALSE),0)),15-11*$X$5)</f>
        <v>0.20699999999999999</v>
      </c>
      <c r="AA20" s="4"/>
    </row>
    <row r="21" spans="1:27" x14ac:dyDescent="0.2">
      <c r="A21">
        <f t="shared" si="0"/>
        <v>3</v>
      </c>
      <c r="B21">
        <f t="shared" ca="1" si="1"/>
        <v>4</v>
      </c>
      <c r="C21">
        <f t="shared" ca="1" si="2"/>
        <v>1</v>
      </c>
      <c r="D21">
        <f t="shared" ca="1" si="3"/>
        <v>2</v>
      </c>
      <c r="E21">
        <f t="shared" ca="1" si="4"/>
        <v>1</v>
      </c>
      <c r="F21">
        <f t="shared" ca="1" si="5"/>
        <v>0</v>
      </c>
      <c r="G21">
        <f t="shared" ca="1" si="6"/>
        <v>0</v>
      </c>
      <c r="H21">
        <f t="shared" ca="1" si="7"/>
        <v>10</v>
      </c>
      <c r="I21">
        <f t="shared" ca="1" si="8"/>
        <v>4</v>
      </c>
      <c r="J21" s="395" t="s">
        <v>101</v>
      </c>
      <c r="K21" s="162" t="str">
        <f t="shared" ca="1" si="9"/>
        <v>1.2.1.</v>
      </c>
      <c r="L21" s="396"/>
      <c r="M21" s="396"/>
      <c r="N21" s="397" t="s">
        <v>256</v>
      </c>
      <c r="O21" s="398" t="s">
        <v>106</v>
      </c>
      <c r="P21" s="399"/>
      <c r="Q21" s="228"/>
      <c r="R21" s="231" t="s">
        <v>7</v>
      </c>
      <c r="S21" s="121">
        <f t="shared" si="10"/>
        <v>0</v>
      </c>
      <c r="T21" s="98">
        <f t="shared" ca="1" si="11"/>
        <v>0</v>
      </c>
      <c r="U21" s="13" t="str">
        <f t="shared" ca="1" si="12"/>
        <v>SEM VALOR</v>
      </c>
      <c r="V21" s="4" t="str">
        <f ca="1">IF(OR($A21=0,$A21="S",$A21&gt;CFF!$A$9),"",MAX(V$12:OFFSET(V21,-1,0))+1)</f>
        <v/>
      </c>
      <c r="W21" s="9" t="b">
        <f t="shared" si="13"/>
        <v>0</v>
      </c>
      <c r="X21" s="4" t="str">
        <f t="shared" ca="1" si="14"/>
        <v>X</v>
      </c>
      <c r="Y21" s="121">
        <v>0</v>
      </c>
      <c r="Z21" s="132">
        <f ca="1">ROUND(IF(ISNUMBER(R21),R21,IF(LEFT(R21,3)="BDI",HLOOKUP(R21,DADOS!$T$37:$X$38,2,FALSE),0)),15-11*$X$5)</f>
        <v>0.20699999999999999</v>
      </c>
      <c r="AA21" s="4"/>
    </row>
    <row r="22" spans="1:27" ht="25.5" x14ac:dyDescent="0.2">
      <c r="A22" t="str">
        <f t="shared" si="0"/>
        <v>S</v>
      </c>
      <c r="B22">
        <f t="shared" si="1"/>
        <v>0</v>
      </c>
      <c r="C22">
        <f t="shared" ca="1" si="2"/>
        <v>1</v>
      </c>
      <c r="D22">
        <f t="shared" ca="1" si="3"/>
        <v>2</v>
      </c>
      <c r="E22">
        <f t="shared" ca="1" si="4"/>
        <v>1</v>
      </c>
      <c r="F22">
        <f t="shared" ca="1" si="5"/>
        <v>0</v>
      </c>
      <c r="G22">
        <f t="shared" ca="1" si="6"/>
        <v>1</v>
      </c>
      <c r="H22">
        <f t="shared" ca="1" si="7"/>
        <v>0</v>
      </c>
      <c r="I22">
        <f t="shared" ca="1" si="8"/>
        <v>0</v>
      </c>
      <c r="J22" s="395" t="s">
        <v>103</v>
      </c>
      <c r="K22" s="162" t="str">
        <f t="shared" ca="1" si="9"/>
        <v>1.2.1.1.</v>
      </c>
      <c r="L22" s="396" t="s">
        <v>231</v>
      </c>
      <c r="M22" s="396" t="s">
        <v>241</v>
      </c>
      <c r="N22" s="397" t="s">
        <v>298</v>
      </c>
      <c r="O22" s="398" t="s">
        <v>330</v>
      </c>
      <c r="P22" s="399">
        <v>284.31</v>
      </c>
      <c r="Q22" s="228"/>
      <c r="R22" s="231" t="s">
        <v>7</v>
      </c>
      <c r="S22" s="121">
        <f t="shared" si="10"/>
        <v>0</v>
      </c>
      <c r="T22" s="98">
        <f t="shared" si="11"/>
        <v>0</v>
      </c>
      <c r="U22" s="13" t="str">
        <f t="shared" si="12"/>
        <v>SEM VALOR</v>
      </c>
      <c r="V22" s="4" t="str">
        <f ca="1">IF(OR($A22=0,$A22="S",$A22&gt;CFF!$A$9),"",MAX(V$12:OFFSET(V22,-1,0))+1)</f>
        <v/>
      </c>
      <c r="W22" s="9" t="str">
        <f t="shared" si="13"/>
        <v>SINAPI-96546</v>
      </c>
      <c r="X22" s="4">
        <f t="shared" ca="1" si="14"/>
        <v>7466</v>
      </c>
      <c r="Y22" s="121">
        <v>16.38</v>
      </c>
      <c r="Z22" s="132">
        <f ca="1">ROUND(IF(ISNUMBER(R22),R22,IF(LEFT(R22,3)="BDI",HLOOKUP(R22,DADOS!$T$37:$X$38,2,FALSE),0)),15-11*$X$5)</f>
        <v>0.20699999999999999</v>
      </c>
      <c r="AA22" s="4"/>
    </row>
    <row r="23" spans="1:27" ht="25.5" x14ac:dyDescent="0.2">
      <c r="A23" t="str">
        <f t="shared" si="0"/>
        <v>S</v>
      </c>
      <c r="B23">
        <f t="shared" si="1"/>
        <v>0</v>
      </c>
      <c r="C23">
        <f t="shared" ca="1" si="2"/>
        <v>1</v>
      </c>
      <c r="D23">
        <f t="shared" ca="1" si="3"/>
        <v>2</v>
      </c>
      <c r="E23">
        <f t="shared" ca="1" si="4"/>
        <v>1</v>
      </c>
      <c r="F23">
        <f t="shared" ca="1" si="5"/>
        <v>0</v>
      </c>
      <c r="G23">
        <f t="shared" ca="1" si="6"/>
        <v>2</v>
      </c>
      <c r="H23">
        <f t="shared" ca="1" si="7"/>
        <v>0</v>
      </c>
      <c r="I23">
        <f t="shared" ca="1" si="8"/>
        <v>0</v>
      </c>
      <c r="J23" s="395" t="s">
        <v>103</v>
      </c>
      <c r="K23" s="162" t="str">
        <f t="shared" ca="1" si="9"/>
        <v>1.2.1.2.</v>
      </c>
      <c r="L23" s="396" t="s">
        <v>231</v>
      </c>
      <c r="M23" s="396" t="s">
        <v>288</v>
      </c>
      <c r="N23" s="397" t="s">
        <v>299</v>
      </c>
      <c r="O23" s="398" t="s">
        <v>268</v>
      </c>
      <c r="P23" s="399">
        <v>19.2</v>
      </c>
      <c r="Q23" s="228"/>
      <c r="R23" s="231" t="s">
        <v>7</v>
      </c>
      <c r="S23" s="121">
        <f t="shared" si="10"/>
        <v>0</v>
      </c>
      <c r="T23" s="98">
        <f t="shared" si="11"/>
        <v>0</v>
      </c>
      <c r="U23" s="13" t="str">
        <f t="shared" si="12"/>
        <v>SEM VALOR</v>
      </c>
      <c r="V23" s="4" t="str">
        <f ca="1">IF(OR($A23=0,$A23="S",$A23&gt;CFF!$A$9),"",MAX(V$12:OFFSET(V23,-1,0))+1)</f>
        <v/>
      </c>
      <c r="W23" s="9" t="str">
        <f t="shared" si="13"/>
        <v>SINAPI-96558</v>
      </c>
      <c r="X23" s="4">
        <f t="shared" ca="1" si="14"/>
        <v>7516</v>
      </c>
      <c r="Y23" s="121">
        <v>780.46</v>
      </c>
      <c r="Z23" s="132">
        <f ca="1">ROUND(IF(ISNUMBER(R23),R23,IF(LEFT(R23,3)="BDI",HLOOKUP(R23,DADOS!$T$37:$X$38,2,FALSE),0)),15-11*$X$5)</f>
        <v>0.20699999999999999</v>
      </c>
      <c r="AA23" s="4"/>
    </row>
    <row r="24" spans="1:27" x14ac:dyDescent="0.2">
      <c r="A24" t="str">
        <f t="shared" si="0"/>
        <v>S</v>
      </c>
      <c r="B24">
        <f t="shared" si="1"/>
        <v>0</v>
      </c>
      <c r="C24">
        <f t="shared" ca="1" si="2"/>
        <v>1</v>
      </c>
      <c r="D24">
        <f t="shared" ca="1" si="3"/>
        <v>2</v>
      </c>
      <c r="E24">
        <f t="shared" ca="1" si="4"/>
        <v>1</v>
      </c>
      <c r="F24">
        <f t="shared" ca="1" si="5"/>
        <v>0</v>
      </c>
      <c r="G24">
        <f t="shared" ca="1" si="6"/>
        <v>3</v>
      </c>
      <c r="H24">
        <f t="shared" ca="1" si="7"/>
        <v>0</v>
      </c>
      <c r="I24">
        <f t="shared" ca="1" si="8"/>
        <v>0</v>
      </c>
      <c r="J24" s="395" t="s">
        <v>103</v>
      </c>
      <c r="K24" s="162" t="str">
        <f t="shared" ca="1" si="9"/>
        <v>1.2.1.3.</v>
      </c>
      <c r="L24" s="396" t="s">
        <v>257</v>
      </c>
      <c r="M24" s="396" t="s">
        <v>258</v>
      </c>
      <c r="N24" s="397" t="s">
        <v>300</v>
      </c>
      <c r="O24" s="398" t="s">
        <v>331</v>
      </c>
      <c r="P24" s="399">
        <v>76.8</v>
      </c>
      <c r="Q24" s="228"/>
      <c r="R24" s="231" t="s">
        <v>7</v>
      </c>
      <c r="S24" s="121">
        <f t="shared" si="10"/>
        <v>0</v>
      </c>
      <c r="T24" s="98">
        <f t="shared" si="11"/>
        <v>0</v>
      </c>
      <c r="U24" s="13" t="str">
        <f t="shared" si="12"/>
        <v>SEM VALOR</v>
      </c>
      <c r="V24" s="4" t="str">
        <f ca="1">IF(OR($A24=0,$A24="S",$A24&gt;CFF!$A$9),"",MAX(V$12:OFFSET(V24,-1,0))+1)</f>
        <v/>
      </c>
      <c r="W24" s="9" t="str">
        <f t="shared" si="13"/>
        <v>COMPOSIÇÃO-001</v>
      </c>
      <c r="X24" s="4">
        <f t="shared" ca="1" si="14"/>
        <v>7</v>
      </c>
      <c r="Y24" s="121">
        <v>97.59</v>
      </c>
      <c r="Z24" s="132">
        <f ca="1">ROUND(IF(ISNUMBER(R24),R24,IF(LEFT(R24,3)="BDI",HLOOKUP(R24,DADOS!$T$37:$X$38,2,FALSE),0)),15-11*$X$5)</f>
        <v>0.20699999999999999</v>
      </c>
      <c r="AA24" s="4"/>
    </row>
    <row r="25" spans="1:27" x14ac:dyDescent="0.2">
      <c r="A25">
        <f t="shared" si="0"/>
        <v>3</v>
      </c>
      <c r="B25">
        <f t="shared" ca="1" si="1"/>
        <v>6</v>
      </c>
      <c r="C25">
        <f t="shared" ca="1" si="2"/>
        <v>1</v>
      </c>
      <c r="D25">
        <f t="shared" ca="1" si="3"/>
        <v>2</v>
      </c>
      <c r="E25">
        <f t="shared" ca="1" si="4"/>
        <v>2</v>
      </c>
      <c r="F25">
        <f t="shared" ca="1" si="5"/>
        <v>0</v>
      </c>
      <c r="G25">
        <f t="shared" ca="1" si="6"/>
        <v>0</v>
      </c>
      <c r="H25">
        <f t="shared" ca="1" si="7"/>
        <v>6</v>
      </c>
      <c r="I25" t="e">
        <f t="shared" ca="1" si="8"/>
        <v>#N/A</v>
      </c>
      <c r="J25" s="395" t="s">
        <v>101</v>
      </c>
      <c r="K25" s="162" t="str">
        <f t="shared" ca="1" si="9"/>
        <v>1.2.2.</v>
      </c>
      <c r="L25" s="396"/>
      <c r="M25" s="396"/>
      <c r="N25" s="397" t="s">
        <v>260</v>
      </c>
      <c r="O25" s="398" t="s">
        <v>106</v>
      </c>
      <c r="P25" s="399"/>
      <c r="Q25" s="228"/>
      <c r="R25" s="231" t="s">
        <v>7</v>
      </c>
      <c r="S25" s="121">
        <f t="shared" si="10"/>
        <v>0</v>
      </c>
      <c r="T25" s="98">
        <f t="shared" ca="1" si="11"/>
        <v>0</v>
      </c>
      <c r="U25" s="13" t="str">
        <f t="shared" ca="1" si="12"/>
        <v>SEM VALOR</v>
      </c>
      <c r="V25" s="4" t="str">
        <f ca="1">IF(OR($A25=0,$A25="S",$A25&gt;CFF!$A$9),"",MAX(V$12:OFFSET(V25,-1,0))+1)</f>
        <v/>
      </c>
      <c r="W25" s="9" t="b">
        <f t="shared" si="13"/>
        <v>0</v>
      </c>
      <c r="X25" s="4" t="str">
        <f t="shared" ca="1" si="14"/>
        <v>X</v>
      </c>
      <c r="Y25" s="121">
        <v>0</v>
      </c>
      <c r="Z25" s="132">
        <f ca="1">ROUND(IF(ISNUMBER(R25),R25,IF(LEFT(R25,3)="BDI",HLOOKUP(R25,DADOS!$T$37:$X$38,2,FALSE),0)),15-11*$X$5)</f>
        <v>0.20699999999999999</v>
      </c>
      <c r="AA25" s="4"/>
    </row>
    <row r="26" spans="1:27" ht="25.5" x14ac:dyDescent="0.2">
      <c r="A26" t="str">
        <f t="shared" si="0"/>
        <v>S</v>
      </c>
      <c r="B26">
        <f t="shared" si="1"/>
        <v>0</v>
      </c>
      <c r="C26">
        <f t="shared" ca="1" si="2"/>
        <v>1</v>
      </c>
      <c r="D26">
        <f t="shared" ca="1" si="3"/>
        <v>2</v>
      </c>
      <c r="E26">
        <f t="shared" ca="1" si="4"/>
        <v>2</v>
      </c>
      <c r="F26">
        <f t="shared" ca="1" si="5"/>
        <v>0</v>
      </c>
      <c r="G26">
        <f t="shared" ca="1" si="6"/>
        <v>1</v>
      </c>
      <c r="H26">
        <f t="shared" ca="1" si="7"/>
        <v>0</v>
      </c>
      <c r="I26">
        <f t="shared" ca="1" si="8"/>
        <v>0</v>
      </c>
      <c r="J26" s="395" t="s">
        <v>103</v>
      </c>
      <c r="K26" s="162" t="str">
        <f t="shared" ca="1" si="9"/>
        <v>1.2.2.1.</v>
      </c>
      <c r="L26" s="396" t="s">
        <v>231</v>
      </c>
      <c r="M26" s="396" t="s">
        <v>241</v>
      </c>
      <c r="N26" s="397" t="s">
        <v>298</v>
      </c>
      <c r="O26" s="398" t="s">
        <v>330</v>
      </c>
      <c r="P26" s="399">
        <v>387.23</v>
      </c>
      <c r="Q26" s="228"/>
      <c r="R26" s="231" t="s">
        <v>7</v>
      </c>
      <c r="S26" s="121">
        <f t="shared" si="10"/>
        <v>0</v>
      </c>
      <c r="T26" s="98">
        <f t="shared" si="11"/>
        <v>0</v>
      </c>
      <c r="U26" s="13" t="str">
        <f t="shared" si="12"/>
        <v>SEM VALOR</v>
      </c>
      <c r="V26" s="4" t="str">
        <f ca="1">IF(OR($A26=0,$A26="S",$A26&gt;CFF!$A$9),"",MAX(V$12:OFFSET(V26,-1,0))+1)</f>
        <v/>
      </c>
      <c r="W26" s="9" t="str">
        <f t="shared" si="13"/>
        <v>SINAPI-96546</v>
      </c>
      <c r="X26" s="4">
        <f t="shared" ca="1" si="14"/>
        <v>7466</v>
      </c>
      <c r="Y26" s="121">
        <v>16.38</v>
      </c>
      <c r="Z26" s="132">
        <f ca="1">ROUND(IF(ISNUMBER(R26),R26,IF(LEFT(R26,3)="BDI",HLOOKUP(R26,DADOS!$T$37:$X$38,2,FALSE),0)),15-11*$X$5)</f>
        <v>0.20699999999999999</v>
      </c>
      <c r="AA26" s="4"/>
    </row>
    <row r="27" spans="1:27" x14ac:dyDescent="0.2">
      <c r="A27" t="str">
        <f>CHOOSE(1+LOG(1+2*(J27="Meta")+4*(J27="Nível 2")+8*(J27="Nível 3")+16*(J27="Nível 4")+32*(J27="Serviço"),2),0,1,2,3,4,"S")</f>
        <v>S</v>
      </c>
      <c r="B27">
        <f>IF(OR(A27="S",A27=0),0,IF(ISERROR(I27),H27,SMALL(H27:I27,1)))</f>
        <v>0</v>
      </c>
      <c r="C27">
        <f ca="1">IF($A27=1,OFFSET(C27,-1,0)+1,OFFSET(C27,-1,0))</f>
        <v>1</v>
      </c>
      <c r="D27">
        <f ca="1">IF($A27=1,0,IF($A27=2,OFFSET(D27,-1,0)+1,OFFSET(D27,-1,0)))</f>
        <v>2</v>
      </c>
      <c r="E27">
        <f ca="1">IF(AND($A27&lt;=2,$A27&lt;&gt;0),0,IF($A27=3,OFFSET(E27,-1,0)+1,OFFSET(E27,-1,0)))</f>
        <v>2</v>
      </c>
      <c r="F27">
        <f ca="1">IF(AND($A27&lt;=3,$A27&lt;&gt;0),0,IF($A27=4,OFFSET(F27,-1,0)+1,OFFSET(F27,-1,0)))</f>
        <v>0</v>
      </c>
      <c r="G27">
        <f ca="1">IF(AND($A27&lt;=4,$A27&lt;&gt;0),0,IF($A27="S",OFFSET(G27,-1,0)+1,OFFSET(G27,-1,0)))</f>
        <v>2</v>
      </c>
      <c r="H27">
        <f t="shared" ca="1" si="7"/>
        <v>0</v>
      </c>
      <c r="I27">
        <f t="shared" ca="1" si="8"/>
        <v>0</v>
      </c>
      <c r="J27" s="395" t="s">
        <v>103</v>
      </c>
      <c r="K27" s="162" t="str">
        <f ca="1">IF($A27=0,"-",CONCATENATE(C27&amp;".",IF(AND($A$5&gt;=2,$A27&gt;=2),D27&amp;".",""),IF(AND($A$5&gt;=3,$A27&gt;=3),E27&amp;".",""),IF(AND($A$5&gt;=4,$A27&gt;=4),F27&amp;".",""),IF($A27="S",G27&amp;".","")))</f>
        <v>1.2.2.2.</v>
      </c>
      <c r="L27" s="396" t="s">
        <v>231</v>
      </c>
      <c r="M27" s="396" t="s">
        <v>243</v>
      </c>
      <c r="N27" s="397" t="s">
        <v>301</v>
      </c>
      <c r="O27" s="398" t="s">
        <v>330</v>
      </c>
      <c r="P27" s="399">
        <v>161.88</v>
      </c>
      <c r="Q27" s="228"/>
      <c r="R27" s="231" t="s">
        <v>7</v>
      </c>
      <c r="S27" s="121">
        <f>IF($A27="S",IF($Q$10="Preço Unitário (R$)",PO.CustoUnitario,ROUND(PO.CustoUnitario*(1+$Z27),15-13*$X$6)),0)</f>
        <v>0</v>
      </c>
      <c r="T27" s="98">
        <f>IF($A27="S",VTOTAL1,IF($A27=0,0,ROUND(SomaAgrup,15-13*$X$7)))</f>
        <v>0</v>
      </c>
      <c r="U27" s="13" t="str">
        <f>IF($J27="","",IF($N27="","DESCRIÇÃO",IF(AND($J27="Serviço",$O27=""),"UNIDADE",IF($T27&lt;=0,"SEM VALOR",IF(AND($Y27&lt;&gt;"",$Q27&gt;$Y27),"ACIMA REF.","")))))</f>
        <v>SEM VALOR</v>
      </c>
      <c r="V27" s="4" t="str">
        <f ca="1">IF(OR($A27=0,$A27="S",$A27&gt;CFF!$A$9),"",MAX(V$12:OFFSET(V27,-1,0))+1)</f>
        <v/>
      </c>
      <c r="W27" s="9" t="str">
        <f>IF(AND($J27="Serviço",$M27&lt;&gt;""),IF($L27="",$M27,CONCATENATE($L27,"-",$M27)))</f>
        <v>SINAPI-96543</v>
      </c>
      <c r="X27" s="4">
        <f ca="1">IF(AND(Fonte&lt;&gt;"",Código&lt;&gt;""),MATCH(Fonte&amp;" "&amp;IF(Fonte="sinapi",SUBSTITUTE(SUBSTITUTE(Código,"/00","/"),"/0","/"),Código),INDIRECT("'[Referência "&amp;_xlnm.Database&amp;".xls]Banco'!$a:$a"),0),"X")</f>
        <v>7286</v>
      </c>
      <c r="Y27" s="121">
        <v>21.52</v>
      </c>
      <c r="Z27" s="132">
        <f ca="1">ROUND(IF(ISNUMBER(R27),R27,IF(LEFT(R27,3)="BDI",HLOOKUP(R27,DADOS!$T$37:$X$38,2,FALSE),0)),15-11*$X$5)</f>
        <v>0.20699999999999999</v>
      </c>
      <c r="AA27" s="4"/>
    </row>
    <row r="28" spans="1:27" ht="25.5" x14ac:dyDescent="0.2">
      <c r="A28" t="str">
        <f t="shared" si="0"/>
        <v>S</v>
      </c>
      <c r="B28">
        <f t="shared" si="1"/>
        <v>0</v>
      </c>
      <c r="C28">
        <f t="shared" ca="1" si="2"/>
        <v>1</v>
      </c>
      <c r="D28">
        <f t="shared" ca="1" si="3"/>
        <v>2</v>
      </c>
      <c r="E28">
        <f t="shared" ca="1" si="4"/>
        <v>2</v>
      </c>
      <c r="F28">
        <f t="shared" ca="1" si="5"/>
        <v>0</v>
      </c>
      <c r="G28">
        <f t="shared" ca="1" si="6"/>
        <v>3</v>
      </c>
      <c r="H28">
        <f t="shared" ca="1" si="7"/>
        <v>0</v>
      </c>
      <c r="I28">
        <f t="shared" ca="1" si="8"/>
        <v>0</v>
      </c>
      <c r="J28" s="395" t="s">
        <v>103</v>
      </c>
      <c r="K28" s="162" t="str">
        <f t="shared" ca="1" si="9"/>
        <v>1.2.2.3.</v>
      </c>
      <c r="L28" s="396" t="s">
        <v>231</v>
      </c>
      <c r="M28" s="396" t="s">
        <v>289</v>
      </c>
      <c r="N28" s="397" t="s">
        <v>302</v>
      </c>
      <c r="O28" s="398" t="s">
        <v>268</v>
      </c>
      <c r="P28" s="399">
        <v>7.85</v>
      </c>
      <c r="Q28" s="228"/>
      <c r="R28" s="231" t="s">
        <v>7</v>
      </c>
      <c r="S28" s="121">
        <f t="shared" si="10"/>
        <v>0</v>
      </c>
      <c r="T28" s="98">
        <f t="shared" si="11"/>
        <v>0</v>
      </c>
      <c r="U28" s="13" t="str">
        <f t="shared" si="12"/>
        <v>SEM VALOR</v>
      </c>
      <c r="V28" s="4" t="str">
        <f ca="1">IF(OR($A28=0,$A28="S",$A28&gt;CFF!$A$9),"",MAX(V$12:OFFSET(V28,-1,0))+1)</f>
        <v/>
      </c>
      <c r="W28" s="9" t="str">
        <f t="shared" si="13"/>
        <v>SINAPI-96557</v>
      </c>
      <c r="X28" s="4">
        <f t="shared" ca="1" si="14"/>
        <v>7515</v>
      </c>
      <c r="Y28" s="121">
        <v>771.29</v>
      </c>
      <c r="Z28" s="132">
        <f ca="1">ROUND(IF(ISNUMBER(R28),R28,IF(LEFT(R28,3)="BDI",HLOOKUP(R28,DADOS!$T$37:$X$38,2,FALSE),0)),15-11*$X$5)</f>
        <v>0.20699999999999999</v>
      </c>
      <c r="AA28" s="4"/>
    </row>
    <row r="29" spans="1:27" x14ac:dyDescent="0.2">
      <c r="A29" t="str">
        <f t="shared" si="0"/>
        <v>S</v>
      </c>
      <c r="B29">
        <f t="shared" si="1"/>
        <v>0</v>
      </c>
      <c r="C29">
        <f t="shared" ca="1" si="2"/>
        <v>1</v>
      </c>
      <c r="D29">
        <f t="shared" ca="1" si="3"/>
        <v>2</v>
      </c>
      <c r="E29">
        <f t="shared" ca="1" si="4"/>
        <v>2</v>
      </c>
      <c r="F29">
        <f t="shared" ca="1" si="5"/>
        <v>0</v>
      </c>
      <c r="G29">
        <f t="shared" ca="1" si="6"/>
        <v>4</v>
      </c>
      <c r="H29">
        <f t="shared" ca="1" si="7"/>
        <v>0</v>
      </c>
      <c r="I29">
        <f t="shared" ca="1" si="8"/>
        <v>0</v>
      </c>
      <c r="J29" s="395" t="s">
        <v>103</v>
      </c>
      <c r="K29" s="162" t="str">
        <f t="shared" ca="1" si="9"/>
        <v>1.2.2.4.</v>
      </c>
      <c r="L29" s="396" t="s">
        <v>257</v>
      </c>
      <c r="M29" s="396" t="s">
        <v>259</v>
      </c>
      <c r="N29" s="397" t="s">
        <v>303</v>
      </c>
      <c r="O29" s="398" t="s">
        <v>331</v>
      </c>
      <c r="P29" s="399">
        <v>78.45</v>
      </c>
      <c r="Q29" s="228"/>
      <c r="R29" s="231" t="s">
        <v>7</v>
      </c>
      <c r="S29" s="121">
        <f t="shared" si="10"/>
        <v>0</v>
      </c>
      <c r="T29" s="98">
        <f t="shared" si="11"/>
        <v>0</v>
      </c>
      <c r="U29" s="13" t="str">
        <f t="shared" si="12"/>
        <v>SEM VALOR</v>
      </c>
      <c r="V29" s="4" t="str">
        <f ca="1">IF(OR($A29=0,$A29="S",$A29&gt;CFF!$A$9),"",MAX(V$12:OFFSET(V29,-1,0))+1)</f>
        <v/>
      </c>
      <c r="W29" s="9" t="str">
        <f t="shared" si="13"/>
        <v>COMPOSIÇÃO-002</v>
      </c>
      <c r="X29" s="4">
        <f t="shared" ca="1" si="14"/>
        <v>8</v>
      </c>
      <c r="Y29" s="121">
        <v>97.59</v>
      </c>
      <c r="Z29" s="132">
        <f ca="1">ROUND(IF(ISNUMBER(R29),R29,IF(LEFT(R29,3)="BDI",HLOOKUP(R29,DADOS!$T$37:$X$38,2,FALSE),0)),15-11*$X$5)</f>
        <v>0.20699999999999999</v>
      </c>
      <c r="AA29" s="4"/>
    </row>
    <row r="30" spans="1:27" x14ac:dyDescent="0.2">
      <c r="A30" t="str">
        <f t="shared" si="0"/>
        <v>S</v>
      </c>
      <c r="B30">
        <f t="shared" si="1"/>
        <v>0</v>
      </c>
      <c r="C30">
        <f t="shared" ca="1" si="2"/>
        <v>1</v>
      </c>
      <c r="D30">
        <f t="shared" ca="1" si="3"/>
        <v>2</v>
      </c>
      <c r="E30">
        <f t="shared" ca="1" si="4"/>
        <v>2</v>
      </c>
      <c r="F30">
        <f t="shared" ca="1" si="5"/>
        <v>0</v>
      </c>
      <c r="G30">
        <f t="shared" ca="1" si="6"/>
        <v>5</v>
      </c>
      <c r="H30">
        <f t="shared" ca="1" si="7"/>
        <v>0</v>
      </c>
      <c r="I30">
        <f t="shared" ca="1" si="8"/>
        <v>0</v>
      </c>
      <c r="J30" s="395" t="s">
        <v>103</v>
      </c>
      <c r="K30" s="162" t="str">
        <f t="shared" ca="1" si="9"/>
        <v>1.2.2.5.</v>
      </c>
      <c r="L30" s="396" t="s">
        <v>231</v>
      </c>
      <c r="M30" s="396" t="s">
        <v>246</v>
      </c>
      <c r="N30" s="397" t="s">
        <v>304</v>
      </c>
      <c r="O30" s="398" t="s">
        <v>331</v>
      </c>
      <c r="P30" s="399">
        <v>109.83</v>
      </c>
      <c r="Q30" s="228"/>
      <c r="R30" s="231" t="s">
        <v>7</v>
      </c>
      <c r="S30" s="121">
        <f t="shared" si="10"/>
        <v>0</v>
      </c>
      <c r="T30" s="98">
        <f t="shared" si="11"/>
        <v>0</v>
      </c>
      <c r="U30" s="13" t="str">
        <f t="shared" si="12"/>
        <v>SEM VALOR</v>
      </c>
      <c r="V30" s="4" t="str">
        <f ca="1">IF(OR($A30=0,$A30="S",$A30&gt;CFF!$A$9),"",MAX(V$12:OFFSET(V30,-1,0))+1)</f>
        <v/>
      </c>
      <c r="W30" s="9" t="str">
        <f t="shared" si="13"/>
        <v>SINAPI-98557</v>
      </c>
      <c r="X30" s="4">
        <f t="shared" ca="1" si="14"/>
        <v>7683</v>
      </c>
      <c r="Y30" s="121">
        <v>60.71</v>
      </c>
      <c r="Z30" s="132">
        <f ca="1">ROUND(IF(ISNUMBER(R30),R30,IF(LEFT(R30,3)="BDI",HLOOKUP(R30,DADOS!$T$37:$X$38,2,FALSE),0)),15-11*$X$5)</f>
        <v>0.20699999999999999</v>
      </c>
      <c r="AA30" s="4"/>
    </row>
    <row r="31" spans="1:27" x14ac:dyDescent="0.2">
      <c r="A31">
        <f t="shared" si="0"/>
        <v>2</v>
      </c>
      <c r="B31">
        <f t="shared" ca="1" si="1"/>
        <v>3</v>
      </c>
      <c r="C31">
        <f t="shared" ca="1" si="2"/>
        <v>1</v>
      </c>
      <c r="D31">
        <f t="shared" ca="1" si="3"/>
        <v>3</v>
      </c>
      <c r="E31">
        <f t="shared" ca="1" si="4"/>
        <v>0</v>
      </c>
      <c r="F31">
        <f t="shared" ca="1" si="5"/>
        <v>0</v>
      </c>
      <c r="G31">
        <f t="shared" ca="1" si="6"/>
        <v>0</v>
      </c>
      <c r="H31">
        <f t="shared" ca="1" si="7"/>
        <v>39</v>
      </c>
      <c r="I31">
        <f t="shared" ca="1" si="8"/>
        <v>3</v>
      </c>
      <c r="J31" s="395" t="s">
        <v>100</v>
      </c>
      <c r="K31" s="162" t="str">
        <f t="shared" ca="1" si="9"/>
        <v>1.3.</v>
      </c>
      <c r="L31" s="396"/>
      <c r="M31" s="396"/>
      <c r="N31" s="397" t="s">
        <v>285</v>
      </c>
      <c r="O31" s="398" t="s">
        <v>106</v>
      </c>
      <c r="P31" s="399"/>
      <c r="Q31" s="228"/>
      <c r="R31" s="231" t="s">
        <v>7</v>
      </c>
      <c r="S31" s="121">
        <f t="shared" si="10"/>
        <v>0</v>
      </c>
      <c r="T31" s="98">
        <f t="shared" ca="1" si="11"/>
        <v>0</v>
      </c>
      <c r="U31" s="13" t="str">
        <f t="shared" ca="1" si="12"/>
        <v>SEM VALOR</v>
      </c>
      <c r="V31" s="4">
        <f ca="1">IF(OR($A31=0,$A31="S",$A31&gt;CFF!$A$9),"",MAX(V$12:OFFSET(V31,-1,0))+1)</f>
        <v>4</v>
      </c>
      <c r="W31" s="9" t="b">
        <f t="shared" si="13"/>
        <v>0</v>
      </c>
      <c r="X31" s="4" t="str">
        <f t="shared" ca="1" si="14"/>
        <v>X</v>
      </c>
      <c r="Y31" s="121">
        <v>0</v>
      </c>
      <c r="Z31" s="132">
        <f ca="1">ROUND(IF(ISNUMBER(R31),R31,IF(LEFT(R31,3)="BDI",HLOOKUP(R31,DADOS!$T$37:$X$38,2,FALSE),0)),15-11*$X$5)</f>
        <v>0.20699999999999999</v>
      </c>
      <c r="AA31" s="4"/>
    </row>
    <row r="32" spans="1:27" x14ac:dyDescent="0.2">
      <c r="A32" t="str">
        <f t="shared" si="0"/>
        <v>S</v>
      </c>
      <c r="B32">
        <f t="shared" si="1"/>
        <v>0</v>
      </c>
      <c r="C32">
        <f t="shared" ca="1" si="2"/>
        <v>1</v>
      </c>
      <c r="D32">
        <f t="shared" ca="1" si="3"/>
        <v>3</v>
      </c>
      <c r="E32">
        <f t="shared" ca="1" si="4"/>
        <v>0</v>
      </c>
      <c r="F32">
        <f t="shared" ca="1" si="5"/>
        <v>0</v>
      </c>
      <c r="G32">
        <f t="shared" ca="1" si="6"/>
        <v>1</v>
      </c>
      <c r="H32">
        <f t="shared" ca="1" si="7"/>
        <v>0</v>
      </c>
      <c r="I32">
        <f t="shared" ca="1" si="8"/>
        <v>0</v>
      </c>
      <c r="J32" s="395" t="s">
        <v>103</v>
      </c>
      <c r="K32" s="162" t="str">
        <f t="shared" ca="1" si="9"/>
        <v>1.3.0.1.</v>
      </c>
      <c r="L32" s="396" t="s">
        <v>257</v>
      </c>
      <c r="M32" s="396" t="s">
        <v>264</v>
      </c>
      <c r="N32" s="397" t="s">
        <v>305</v>
      </c>
      <c r="O32" s="398" t="s">
        <v>331</v>
      </c>
      <c r="P32" s="399">
        <v>109.43</v>
      </c>
      <c r="Q32" s="228"/>
      <c r="R32" s="231" t="s">
        <v>7</v>
      </c>
      <c r="S32" s="121">
        <f t="shared" si="10"/>
        <v>0</v>
      </c>
      <c r="T32" s="98">
        <f t="shared" si="11"/>
        <v>0</v>
      </c>
      <c r="U32" s="13" t="str">
        <f t="shared" si="12"/>
        <v>SEM VALOR</v>
      </c>
      <c r="V32" s="4" t="str">
        <f ca="1">IF(OR($A32=0,$A32="S",$A32&gt;CFF!$A$9),"",MAX(V$12:OFFSET(V32,-1,0))+1)</f>
        <v/>
      </c>
      <c r="W32" s="9" t="str">
        <f t="shared" si="13"/>
        <v>COMPOSIÇÃO-004</v>
      </c>
      <c r="X32" s="4">
        <f t="shared" ca="1" si="14"/>
        <v>10</v>
      </c>
      <c r="Y32" s="121">
        <v>242.06</v>
      </c>
      <c r="Z32" s="132">
        <f ca="1">ROUND(IF(ISNUMBER(R32),R32,IF(LEFT(R32,3)="BDI",HLOOKUP(R32,DADOS!$T$37:$X$38,2,FALSE),0)),15-11*$X$5)</f>
        <v>0.20699999999999999</v>
      </c>
      <c r="AA32" s="4"/>
    </row>
    <row r="33" spans="1:27" ht="25.5" x14ac:dyDescent="0.2">
      <c r="A33" t="str">
        <f t="shared" si="0"/>
        <v>S</v>
      </c>
      <c r="B33">
        <f t="shared" si="1"/>
        <v>0</v>
      </c>
      <c r="C33">
        <f t="shared" ca="1" si="2"/>
        <v>1</v>
      </c>
      <c r="D33">
        <f t="shared" ca="1" si="3"/>
        <v>3</v>
      </c>
      <c r="E33">
        <f t="shared" ca="1" si="4"/>
        <v>0</v>
      </c>
      <c r="F33">
        <f t="shared" ca="1" si="5"/>
        <v>0</v>
      </c>
      <c r="G33">
        <f t="shared" ca="1" si="6"/>
        <v>2</v>
      </c>
      <c r="H33">
        <f t="shared" ca="1" si="7"/>
        <v>0</v>
      </c>
      <c r="I33">
        <f t="shared" ca="1" si="8"/>
        <v>0</v>
      </c>
      <c r="J33" s="395" t="s">
        <v>103</v>
      </c>
      <c r="K33" s="162" t="str">
        <f t="shared" ca="1" si="9"/>
        <v>1.3.0.2.</v>
      </c>
      <c r="L33" s="396" t="s">
        <v>231</v>
      </c>
      <c r="M33" s="396" t="s">
        <v>247</v>
      </c>
      <c r="N33" s="397" t="s">
        <v>306</v>
      </c>
      <c r="O33" s="398" t="s">
        <v>329</v>
      </c>
      <c r="P33" s="399">
        <v>50</v>
      </c>
      <c r="Q33" s="228"/>
      <c r="R33" s="231" t="s">
        <v>7</v>
      </c>
      <c r="S33" s="121">
        <f t="shared" si="10"/>
        <v>0</v>
      </c>
      <c r="T33" s="98">
        <f t="shared" si="11"/>
        <v>0</v>
      </c>
      <c r="U33" s="13" t="str">
        <f t="shared" si="12"/>
        <v>SEM VALOR</v>
      </c>
      <c r="V33" s="4" t="str">
        <f ca="1">IF(OR($A33=0,$A33="S",$A33&gt;CFF!$A$9),"",MAX(V$12:OFFSET(V33,-1,0))+1)</f>
        <v/>
      </c>
      <c r="W33" s="9" t="str">
        <f t="shared" si="13"/>
        <v>SINAPI-102723</v>
      </c>
      <c r="X33" s="4">
        <f t="shared" ca="1" si="14"/>
        <v>6473</v>
      </c>
      <c r="Y33" s="121">
        <v>65.03</v>
      </c>
      <c r="Z33" s="132">
        <f ca="1">ROUND(IF(ISNUMBER(R33),R33,IF(LEFT(R33,3)="BDI",HLOOKUP(R33,DADOS!$T$37:$X$38,2,FALSE),0)),15-11*$X$5)</f>
        <v>0.20699999999999999</v>
      </c>
      <c r="AA33" s="4"/>
    </row>
    <row r="34" spans="1:27" x14ac:dyDescent="0.2">
      <c r="A34">
        <f t="shared" si="0"/>
        <v>2</v>
      </c>
      <c r="B34">
        <f t="shared" ca="1" si="1"/>
        <v>11</v>
      </c>
      <c r="C34">
        <f t="shared" ca="1" si="2"/>
        <v>1</v>
      </c>
      <c r="D34">
        <f t="shared" ca="1" si="3"/>
        <v>4</v>
      </c>
      <c r="E34">
        <f t="shared" ca="1" si="4"/>
        <v>0</v>
      </c>
      <c r="F34">
        <f t="shared" ca="1" si="5"/>
        <v>0</v>
      </c>
      <c r="G34">
        <f t="shared" ca="1" si="6"/>
        <v>0</v>
      </c>
      <c r="H34">
        <f t="shared" ca="1" si="7"/>
        <v>36</v>
      </c>
      <c r="I34">
        <f t="shared" ca="1" si="8"/>
        <v>11</v>
      </c>
      <c r="J34" s="395" t="s">
        <v>100</v>
      </c>
      <c r="K34" s="162" t="str">
        <f t="shared" ca="1" si="9"/>
        <v>1.4.</v>
      </c>
      <c r="L34" s="396"/>
      <c r="M34" s="396"/>
      <c r="N34" s="397" t="s">
        <v>282</v>
      </c>
      <c r="O34" s="398" t="s">
        <v>106</v>
      </c>
      <c r="P34" s="399"/>
      <c r="Q34" s="228"/>
      <c r="R34" s="231" t="s">
        <v>7</v>
      </c>
      <c r="S34" s="121">
        <f t="shared" si="10"/>
        <v>0</v>
      </c>
      <c r="T34" s="98">
        <f t="shared" ca="1" si="11"/>
        <v>0</v>
      </c>
      <c r="U34" s="13" t="str">
        <f t="shared" ca="1" si="12"/>
        <v>SEM VALOR</v>
      </c>
      <c r="V34" s="4">
        <f ca="1">IF(OR($A34=0,$A34="S",$A34&gt;CFF!$A$9),"",MAX(V$12:OFFSET(V34,-1,0))+1)</f>
        <v>5</v>
      </c>
      <c r="W34" s="9" t="b">
        <f t="shared" si="13"/>
        <v>0</v>
      </c>
      <c r="X34" s="4" t="str">
        <f t="shared" ca="1" si="14"/>
        <v>X</v>
      </c>
      <c r="Y34" s="121">
        <v>0</v>
      </c>
      <c r="Z34" s="132">
        <f ca="1">ROUND(IF(ISNUMBER(R34),R34,IF(LEFT(R34,3)="BDI",HLOOKUP(R34,DADOS!$T$37:$X$38,2,FALSE),0)),15-11*$X$5)</f>
        <v>0.20699999999999999</v>
      </c>
      <c r="AA34" s="4"/>
    </row>
    <row r="35" spans="1:27" x14ac:dyDescent="0.2">
      <c r="A35">
        <f t="shared" si="0"/>
        <v>3</v>
      </c>
      <c r="B35">
        <f t="shared" ca="1" si="1"/>
        <v>5</v>
      </c>
      <c r="C35">
        <f t="shared" ca="1" si="2"/>
        <v>1</v>
      </c>
      <c r="D35">
        <f t="shared" ca="1" si="3"/>
        <v>4</v>
      </c>
      <c r="E35">
        <f t="shared" ca="1" si="4"/>
        <v>1</v>
      </c>
      <c r="F35">
        <f t="shared" ca="1" si="5"/>
        <v>0</v>
      </c>
      <c r="G35">
        <f t="shared" ca="1" si="6"/>
        <v>0</v>
      </c>
      <c r="H35">
        <f t="shared" ca="1" si="7"/>
        <v>10</v>
      </c>
      <c r="I35">
        <f t="shared" ca="1" si="8"/>
        <v>5</v>
      </c>
      <c r="J35" s="395" t="s">
        <v>101</v>
      </c>
      <c r="K35" s="162" t="str">
        <f t="shared" ca="1" si="9"/>
        <v>1.4.1.</v>
      </c>
      <c r="L35" s="396"/>
      <c r="M35" s="396"/>
      <c r="N35" s="397" t="s">
        <v>261</v>
      </c>
      <c r="O35" s="398" t="s">
        <v>106</v>
      </c>
      <c r="P35" s="399"/>
      <c r="Q35" s="228"/>
      <c r="R35" s="231" t="s">
        <v>7</v>
      </c>
      <c r="S35" s="121">
        <f t="shared" si="10"/>
        <v>0</v>
      </c>
      <c r="T35" s="98">
        <f t="shared" ca="1" si="11"/>
        <v>0</v>
      </c>
      <c r="U35" s="13" t="str">
        <f t="shared" ca="1" si="12"/>
        <v>SEM VALOR</v>
      </c>
      <c r="V35" s="4" t="str">
        <f ca="1">IF(OR($A35=0,$A35="S",$A35&gt;CFF!$A$9),"",MAX(V$12:OFFSET(V35,-1,0))+1)</f>
        <v/>
      </c>
      <c r="W35" s="9" t="b">
        <f t="shared" si="13"/>
        <v>0</v>
      </c>
      <c r="X35" s="4" t="str">
        <f t="shared" ca="1" si="14"/>
        <v>X</v>
      </c>
      <c r="Y35" s="121">
        <v>0</v>
      </c>
      <c r="Z35" s="132">
        <f ca="1">ROUND(IF(ISNUMBER(R35),R35,IF(LEFT(R35,3)="BDI",HLOOKUP(R35,DADOS!$T$37:$X$38,2,FALSE),0)),15-11*$X$5)</f>
        <v>0.20699999999999999</v>
      </c>
      <c r="AA35" s="4"/>
    </row>
    <row r="36" spans="1:27" x14ac:dyDescent="0.2">
      <c r="A36" t="str">
        <f t="shared" si="0"/>
        <v>S</v>
      </c>
      <c r="B36">
        <f t="shared" si="1"/>
        <v>0</v>
      </c>
      <c r="C36">
        <f t="shared" ca="1" si="2"/>
        <v>1</v>
      </c>
      <c r="D36">
        <f t="shared" ca="1" si="3"/>
        <v>4</v>
      </c>
      <c r="E36">
        <f t="shared" ca="1" si="4"/>
        <v>1</v>
      </c>
      <c r="F36">
        <f t="shared" ca="1" si="5"/>
        <v>0</v>
      </c>
      <c r="G36">
        <f t="shared" ca="1" si="6"/>
        <v>1</v>
      </c>
      <c r="H36">
        <f t="shared" ca="1" si="7"/>
        <v>0</v>
      </c>
      <c r="I36">
        <f t="shared" ca="1" si="8"/>
        <v>0</v>
      </c>
      <c r="J36" s="395" t="s">
        <v>103</v>
      </c>
      <c r="K36" s="162" t="str">
        <f t="shared" ca="1" si="9"/>
        <v>1.4.1.1.</v>
      </c>
      <c r="L36" s="396" t="s">
        <v>257</v>
      </c>
      <c r="M36" s="396" t="s">
        <v>262</v>
      </c>
      <c r="N36" s="397" t="s">
        <v>307</v>
      </c>
      <c r="O36" s="398" t="s">
        <v>331</v>
      </c>
      <c r="P36" s="399">
        <v>26.52</v>
      </c>
      <c r="Q36" s="228"/>
      <c r="R36" s="231" t="s">
        <v>7</v>
      </c>
      <c r="S36" s="121">
        <f t="shared" si="10"/>
        <v>0</v>
      </c>
      <c r="T36" s="98">
        <f t="shared" si="11"/>
        <v>0</v>
      </c>
      <c r="U36" s="13" t="str">
        <f t="shared" si="12"/>
        <v>SEM VALOR</v>
      </c>
      <c r="V36" s="4" t="str">
        <f ca="1">IF(OR($A36=0,$A36="S",$A36&gt;CFF!$A$9),"",MAX(V$12:OFFSET(V36,-1,0))+1)</f>
        <v/>
      </c>
      <c r="W36" s="9" t="str">
        <f t="shared" si="13"/>
        <v>COMPOSIÇÃO-003</v>
      </c>
      <c r="X36" s="4">
        <f t="shared" ca="1" si="14"/>
        <v>9</v>
      </c>
      <c r="Y36" s="121">
        <v>89.58</v>
      </c>
      <c r="Z36" s="132">
        <f ca="1">ROUND(IF(ISNUMBER(R36),R36,IF(LEFT(R36,3)="BDI",HLOOKUP(R36,DADOS!$T$37:$X$38,2,FALSE),0)),15-11*$X$5)</f>
        <v>0.20699999999999999</v>
      </c>
      <c r="AA36" s="4"/>
    </row>
    <row r="37" spans="1:27" ht="25.5" x14ac:dyDescent="0.2">
      <c r="A37" t="str">
        <f t="shared" si="0"/>
        <v>S</v>
      </c>
      <c r="B37">
        <f t="shared" si="1"/>
        <v>0</v>
      </c>
      <c r="C37">
        <f t="shared" ca="1" si="2"/>
        <v>1</v>
      </c>
      <c r="D37">
        <f t="shared" ca="1" si="3"/>
        <v>4</v>
      </c>
      <c r="E37">
        <f t="shared" ca="1" si="4"/>
        <v>1</v>
      </c>
      <c r="F37">
        <f t="shared" ca="1" si="5"/>
        <v>0</v>
      </c>
      <c r="G37">
        <f t="shared" ca="1" si="6"/>
        <v>2</v>
      </c>
      <c r="H37">
        <f t="shared" ca="1" si="7"/>
        <v>0</v>
      </c>
      <c r="I37">
        <f t="shared" ca="1" si="8"/>
        <v>0</v>
      </c>
      <c r="J37" s="395" t="s">
        <v>103</v>
      </c>
      <c r="K37" s="162" t="str">
        <f t="shared" ca="1" si="9"/>
        <v>1.4.1.2.</v>
      </c>
      <c r="L37" s="396" t="s">
        <v>257</v>
      </c>
      <c r="M37" s="396" t="s">
        <v>290</v>
      </c>
      <c r="N37" s="397" t="s">
        <v>308</v>
      </c>
      <c r="O37" s="398" t="s">
        <v>268</v>
      </c>
      <c r="P37" s="399">
        <v>2.65</v>
      </c>
      <c r="Q37" s="228"/>
      <c r="R37" s="231" t="s">
        <v>7</v>
      </c>
      <c r="S37" s="121">
        <f t="shared" si="10"/>
        <v>0</v>
      </c>
      <c r="T37" s="98">
        <f t="shared" si="11"/>
        <v>0</v>
      </c>
      <c r="U37" s="13" t="str">
        <f t="shared" si="12"/>
        <v>SEM VALOR</v>
      </c>
      <c r="V37" s="4" t="str">
        <f ca="1">IF(OR($A37=0,$A37="S",$A37&gt;CFF!$A$9),"",MAX(V$12:OFFSET(V37,-1,0))+1)</f>
        <v/>
      </c>
      <c r="W37" s="9" t="str">
        <f t="shared" si="13"/>
        <v>COMPOSIÇÃO-13</v>
      </c>
      <c r="X37" s="4">
        <f t="shared" ca="1" si="14"/>
        <v>18</v>
      </c>
      <c r="Y37" s="121">
        <v>763.98</v>
      </c>
      <c r="Z37" s="132">
        <f ca="1">ROUND(IF(ISNUMBER(R37),R37,IF(LEFT(R37,3)="BDI",HLOOKUP(R37,DADOS!$T$37:$X$38,2,FALSE),0)),15-11*$X$5)</f>
        <v>0.20699999999999999</v>
      </c>
      <c r="AA37" s="4"/>
    </row>
    <row r="38" spans="1:27" ht="25.5" x14ac:dyDescent="0.2">
      <c r="A38" t="str">
        <f t="shared" si="0"/>
        <v>S</v>
      </c>
      <c r="B38">
        <f t="shared" si="1"/>
        <v>0</v>
      </c>
      <c r="C38">
        <f t="shared" ca="1" si="2"/>
        <v>1</v>
      </c>
      <c r="D38">
        <f t="shared" ca="1" si="3"/>
        <v>4</v>
      </c>
      <c r="E38">
        <f t="shared" ca="1" si="4"/>
        <v>1</v>
      </c>
      <c r="F38">
        <f t="shared" ca="1" si="5"/>
        <v>0</v>
      </c>
      <c r="G38">
        <f t="shared" ca="1" si="6"/>
        <v>3</v>
      </c>
      <c r="H38">
        <f t="shared" ca="1" si="7"/>
        <v>0</v>
      </c>
      <c r="I38">
        <f t="shared" ca="1" si="8"/>
        <v>0</v>
      </c>
      <c r="J38" s="395" t="s">
        <v>103</v>
      </c>
      <c r="K38" s="162" t="str">
        <f t="shared" ca="1" si="9"/>
        <v>1.4.1.3.</v>
      </c>
      <c r="L38" s="396" t="s">
        <v>231</v>
      </c>
      <c r="M38" s="396" t="s">
        <v>244</v>
      </c>
      <c r="N38" s="397" t="s">
        <v>309</v>
      </c>
      <c r="O38" s="398" t="s">
        <v>330</v>
      </c>
      <c r="P38" s="399">
        <v>128.58000000000001</v>
      </c>
      <c r="Q38" s="228"/>
      <c r="R38" s="231" t="s">
        <v>7</v>
      </c>
      <c r="S38" s="121">
        <f t="shared" si="10"/>
        <v>0</v>
      </c>
      <c r="T38" s="98">
        <f t="shared" si="11"/>
        <v>0</v>
      </c>
      <c r="U38" s="13" t="str">
        <f t="shared" si="12"/>
        <v>SEM VALOR</v>
      </c>
      <c r="V38" s="4" t="str">
        <f ca="1">IF(OR($A38=0,$A38="S",$A38&gt;CFF!$A$9),"",MAX(V$12:OFFSET(V38,-1,0))+1)</f>
        <v/>
      </c>
      <c r="W38" s="9" t="str">
        <f t="shared" si="13"/>
        <v>SINAPI-104108</v>
      </c>
      <c r="X38" s="4">
        <f t="shared" ca="1" si="14"/>
        <v>7484</v>
      </c>
      <c r="Y38" s="121">
        <v>16.27</v>
      </c>
      <c r="Z38" s="132">
        <f ca="1">ROUND(IF(ISNUMBER(R38),R38,IF(LEFT(R38,3)="BDI",HLOOKUP(R38,DADOS!$T$37:$X$38,2,FALSE),0)),15-11*$X$5)</f>
        <v>0.20699999999999999</v>
      </c>
      <c r="AA38" s="4"/>
    </row>
    <row r="39" spans="1:27" ht="25.5" x14ac:dyDescent="0.2">
      <c r="A39" t="str">
        <f t="shared" si="0"/>
        <v>S</v>
      </c>
      <c r="B39">
        <f t="shared" si="1"/>
        <v>0</v>
      </c>
      <c r="C39">
        <f t="shared" ca="1" si="2"/>
        <v>1</v>
      </c>
      <c r="D39">
        <f t="shared" ca="1" si="3"/>
        <v>4</v>
      </c>
      <c r="E39">
        <f t="shared" ca="1" si="4"/>
        <v>1</v>
      </c>
      <c r="F39">
        <f t="shared" ca="1" si="5"/>
        <v>0</v>
      </c>
      <c r="G39">
        <f t="shared" ca="1" si="6"/>
        <v>4</v>
      </c>
      <c r="H39">
        <f t="shared" ca="1" si="7"/>
        <v>0</v>
      </c>
      <c r="I39">
        <f t="shared" ca="1" si="8"/>
        <v>0</v>
      </c>
      <c r="J39" s="395" t="s">
        <v>103</v>
      </c>
      <c r="K39" s="162" t="str">
        <f t="shared" ca="1" si="9"/>
        <v>1.4.1.4.</v>
      </c>
      <c r="L39" s="396" t="s">
        <v>231</v>
      </c>
      <c r="M39" s="396" t="s">
        <v>245</v>
      </c>
      <c r="N39" s="397" t="s">
        <v>310</v>
      </c>
      <c r="O39" s="398" t="s">
        <v>330</v>
      </c>
      <c r="P39" s="399">
        <v>51.34</v>
      </c>
      <c r="Q39" s="228"/>
      <c r="R39" s="231" t="s">
        <v>7</v>
      </c>
      <c r="S39" s="121">
        <f t="shared" si="10"/>
        <v>0</v>
      </c>
      <c r="T39" s="98">
        <f t="shared" si="11"/>
        <v>0</v>
      </c>
      <c r="U39" s="13" t="str">
        <f t="shared" si="12"/>
        <v>SEM VALOR</v>
      </c>
      <c r="V39" s="4" t="str">
        <f ca="1">IF(OR($A39=0,$A39="S",$A39&gt;CFF!$A$9),"",MAX(V$12:OFFSET(V39,-1,0))+1)</f>
        <v/>
      </c>
      <c r="W39" s="9" t="str">
        <f t="shared" si="13"/>
        <v>SINAPI-104111</v>
      </c>
      <c r="X39" s="4">
        <f t="shared" ca="1" si="14"/>
        <v>7487</v>
      </c>
      <c r="Y39" s="121">
        <v>24.59</v>
      </c>
      <c r="Z39" s="132">
        <f ca="1">ROUND(IF(ISNUMBER(R39),R39,IF(LEFT(R39,3)="BDI",HLOOKUP(R39,DADOS!$T$37:$X$38,2,FALSE),0)),15-11*$X$5)</f>
        <v>0.20699999999999999</v>
      </c>
      <c r="AA39" s="4"/>
    </row>
    <row r="40" spans="1:27" x14ac:dyDescent="0.2">
      <c r="A40">
        <f t="shared" si="0"/>
        <v>3</v>
      </c>
      <c r="B40">
        <f t="shared" ca="1" si="1"/>
        <v>5</v>
      </c>
      <c r="C40">
        <f t="shared" ca="1" si="2"/>
        <v>1</v>
      </c>
      <c r="D40">
        <f t="shared" ca="1" si="3"/>
        <v>4</v>
      </c>
      <c r="E40">
        <f t="shared" ca="1" si="4"/>
        <v>2</v>
      </c>
      <c r="F40">
        <f t="shared" ca="1" si="5"/>
        <v>0</v>
      </c>
      <c r="G40">
        <f t="shared" ca="1" si="6"/>
        <v>0</v>
      </c>
      <c r="H40">
        <f t="shared" ca="1" si="7"/>
        <v>5</v>
      </c>
      <c r="I40" t="e">
        <f t="shared" ca="1" si="8"/>
        <v>#N/A</v>
      </c>
      <c r="J40" s="395" t="s">
        <v>101</v>
      </c>
      <c r="K40" s="162" t="str">
        <f t="shared" ca="1" si="9"/>
        <v>1.4.2.</v>
      </c>
      <c r="L40" s="396"/>
      <c r="M40" s="396"/>
      <c r="N40" s="397" t="s">
        <v>263</v>
      </c>
      <c r="O40" s="398" t="s">
        <v>106</v>
      </c>
      <c r="P40" s="399"/>
      <c r="Q40" s="228"/>
      <c r="R40" s="231" t="s">
        <v>7</v>
      </c>
      <c r="S40" s="121">
        <f t="shared" si="10"/>
        <v>0</v>
      </c>
      <c r="T40" s="98">
        <f t="shared" ca="1" si="11"/>
        <v>0</v>
      </c>
      <c r="U40" s="13" t="str">
        <f t="shared" ca="1" si="12"/>
        <v>SEM VALOR</v>
      </c>
      <c r="V40" s="4" t="str">
        <f ca="1">IF(OR($A40=0,$A40="S",$A40&gt;CFF!$A$9),"",MAX(V$12:OFFSET(V40,-1,0))+1)</f>
        <v/>
      </c>
      <c r="W40" s="9" t="b">
        <f t="shared" si="13"/>
        <v>0</v>
      </c>
      <c r="X40" s="4" t="str">
        <f t="shared" ca="1" si="14"/>
        <v>X</v>
      </c>
      <c r="Y40" s="121">
        <v>0</v>
      </c>
      <c r="Z40" s="132">
        <f ca="1">ROUND(IF(ISNUMBER(R40),R40,IF(LEFT(R40,3)="BDI",HLOOKUP(R40,DADOS!$T$37:$X$38,2,FALSE),0)),15-11*$X$5)</f>
        <v>0.20699999999999999</v>
      </c>
      <c r="AA40" s="4"/>
    </row>
    <row r="41" spans="1:27" x14ac:dyDescent="0.2">
      <c r="A41" t="str">
        <f>CHOOSE(1+LOG(1+2*(J41="Meta")+4*(J41="Nível 2")+8*(J41="Nível 3")+16*(J41="Nível 4")+32*(J41="Serviço"),2),0,1,2,3,4,"S")</f>
        <v>S</v>
      </c>
      <c r="B41">
        <f>IF(OR(A41="S",A41=0),0,IF(ISERROR(I41),H41,SMALL(H41:I41,1)))</f>
        <v>0</v>
      </c>
      <c r="C41">
        <f ca="1">IF($A41=1,OFFSET(C41,-1,0)+1,OFFSET(C41,-1,0))</f>
        <v>1</v>
      </c>
      <c r="D41">
        <f ca="1">IF($A41=1,0,IF($A41=2,OFFSET(D41,-1,0)+1,OFFSET(D41,-1,0)))</f>
        <v>4</v>
      </c>
      <c r="E41">
        <f ca="1">IF(AND($A41&lt;=2,$A41&lt;&gt;0),0,IF($A41=3,OFFSET(E41,-1,0)+1,OFFSET(E41,-1,0)))</f>
        <v>2</v>
      </c>
      <c r="F41">
        <f ca="1">IF(AND($A41&lt;=3,$A41&lt;&gt;0),0,IF($A41=4,OFFSET(F41,-1,0)+1,OFFSET(F41,-1,0)))</f>
        <v>0</v>
      </c>
      <c r="G41">
        <f ca="1">IF(AND($A41&lt;=4,$A41&lt;&gt;0),0,IF($A41="S",OFFSET(G41,-1,0)+1,OFFSET(G41,-1,0)))</f>
        <v>1</v>
      </c>
      <c r="H41">
        <f t="shared" ca="1" si="7"/>
        <v>0</v>
      </c>
      <c r="I41">
        <f t="shared" ca="1" si="8"/>
        <v>0</v>
      </c>
      <c r="J41" s="395" t="s">
        <v>103</v>
      </c>
      <c r="K41" s="162" t="str">
        <f ca="1">IF($A41=0,"-",CONCATENATE(C41&amp;".",IF(AND($A$5&gt;=2,$A41&gt;=2),D41&amp;".",""),IF(AND($A$5&gt;=3,$A41&gt;=3),E41&amp;".",""),IF(AND($A$5&gt;=4,$A41&gt;=4),F41&amp;".",""),IF($A41="S",G41&amp;".","")))</f>
        <v>1.4.2.1.</v>
      </c>
      <c r="L41" s="396" t="s">
        <v>257</v>
      </c>
      <c r="M41" s="396" t="s">
        <v>291</v>
      </c>
      <c r="N41" s="397" t="s">
        <v>311</v>
      </c>
      <c r="O41" s="398" t="s">
        <v>268</v>
      </c>
      <c r="P41" s="399">
        <v>5.17</v>
      </c>
      <c r="Q41" s="228"/>
      <c r="R41" s="231" t="s">
        <v>7</v>
      </c>
      <c r="S41" s="121">
        <f>IF($A41="S",IF($Q$10="Preço Unitário (R$)",PO.CustoUnitario,ROUND(PO.CustoUnitario*(1+$Z41),15-13*$X$6)),0)</f>
        <v>0</v>
      </c>
      <c r="T41" s="98">
        <f>IF($A41="S",VTOTAL1,IF($A41=0,0,ROUND(SomaAgrup,15-13*$X$7)))</f>
        <v>0</v>
      </c>
      <c r="U41" s="13" t="str">
        <f>IF($J41="","",IF($N41="","DESCRIÇÃO",IF(AND($J41="Serviço",$O41=""),"UNIDADE",IF($T41&lt;=0,"SEM VALOR",IF(AND($Y41&lt;&gt;"",$Q41&gt;$Y41),"ACIMA REF.","")))))</f>
        <v>SEM VALOR</v>
      </c>
      <c r="V41" s="4" t="str">
        <f ca="1">IF(OR($A41=0,$A41="S",$A41&gt;CFF!$A$9),"",MAX(V$12:OFFSET(V41,-1,0))+1)</f>
        <v/>
      </c>
      <c r="W41" s="9" t="str">
        <f>IF(AND($J41="Serviço",$M41&lt;&gt;""),IF($L41="",$M41,CONCATENATE($L41,"-",$M41)))</f>
        <v>COMPOSIÇÃO-14</v>
      </c>
      <c r="X41" s="4">
        <f ca="1">IF(AND(Fonte&lt;&gt;"",Código&lt;&gt;""),MATCH(Fonte&amp;" "&amp;IF(Fonte="sinapi",SUBSTITUTE(SUBSTITUTE(Código,"/00","/"),"/0","/"),Código),INDIRECT("'[Referência "&amp;_xlnm.Database&amp;".xls]Banco'!$a:$a"),0),"X")</f>
        <v>19</v>
      </c>
      <c r="Y41" s="121">
        <v>763.98</v>
      </c>
      <c r="Z41" s="132">
        <f ca="1">ROUND(IF(ISNUMBER(R41),R41,IF(LEFT(R41,3)="BDI",HLOOKUP(R41,DADOS!$T$37:$X$38,2,FALSE),0)),15-11*$X$5)</f>
        <v>0.20699999999999999</v>
      </c>
      <c r="AA41" s="4"/>
    </row>
    <row r="42" spans="1:27" ht="25.5" x14ac:dyDescent="0.2">
      <c r="A42" t="str">
        <f t="shared" si="0"/>
        <v>S</v>
      </c>
      <c r="B42">
        <f t="shared" si="1"/>
        <v>0</v>
      </c>
      <c r="C42">
        <f t="shared" ca="1" si="2"/>
        <v>1</v>
      </c>
      <c r="D42">
        <f t="shared" ca="1" si="3"/>
        <v>4</v>
      </c>
      <c r="E42">
        <f t="shared" ca="1" si="4"/>
        <v>2</v>
      </c>
      <c r="F42">
        <f t="shared" ca="1" si="5"/>
        <v>0</v>
      </c>
      <c r="G42">
        <f t="shared" ca="1" si="6"/>
        <v>2</v>
      </c>
      <c r="H42">
        <f t="shared" ca="1" si="7"/>
        <v>0</v>
      </c>
      <c r="I42">
        <f t="shared" ca="1" si="8"/>
        <v>0</v>
      </c>
      <c r="J42" s="395" t="s">
        <v>103</v>
      </c>
      <c r="K42" s="162" t="str">
        <f t="shared" ca="1" si="9"/>
        <v>1.4.2.2.</v>
      </c>
      <c r="L42" s="396" t="s">
        <v>231</v>
      </c>
      <c r="M42" s="396" t="s">
        <v>244</v>
      </c>
      <c r="N42" s="397" t="s">
        <v>309</v>
      </c>
      <c r="O42" s="398" t="s">
        <v>330</v>
      </c>
      <c r="P42" s="399">
        <v>255.31</v>
      </c>
      <c r="Q42" s="228"/>
      <c r="R42" s="231" t="s">
        <v>7</v>
      </c>
      <c r="S42" s="121">
        <f t="shared" si="10"/>
        <v>0</v>
      </c>
      <c r="T42" s="98">
        <f t="shared" si="11"/>
        <v>0</v>
      </c>
      <c r="U42" s="13" t="str">
        <f t="shared" si="12"/>
        <v>SEM VALOR</v>
      </c>
      <c r="V42" s="4" t="str">
        <f ca="1">IF(OR($A42=0,$A42="S",$A42&gt;CFF!$A$9),"",MAX(V$12:OFFSET(V42,-1,0))+1)</f>
        <v/>
      </c>
      <c r="W42" s="9" t="str">
        <f t="shared" si="13"/>
        <v>SINAPI-104108</v>
      </c>
      <c r="X42" s="4">
        <f t="shared" ca="1" si="14"/>
        <v>7484</v>
      </c>
      <c r="Y42" s="121">
        <v>16.27</v>
      </c>
      <c r="Z42" s="132">
        <f ca="1">ROUND(IF(ISNUMBER(R42),R42,IF(LEFT(R42,3)="BDI",HLOOKUP(R42,DADOS!$T$37:$X$38,2,FALSE),0)),15-11*$X$5)</f>
        <v>0.20699999999999999</v>
      </c>
      <c r="AA42" s="4"/>
    </row>
    <row r="43" spans="1:27" ht="25.5" x14ac:dyDescent="0.2">
      <c r="A43" t="str">
        <f>CHOOSE(1+LOG(1+2*(J43="Meta")+4*(J43="Nível 2")+8*(J43="Nível 3")+16*(J43="Nível 4")+32*(J43="Serviço"),2),0,1,2,3,4,"S")</f>
        <v>S</v>
      </c>
      <c r="B43">
        <f>IF(OR(A43="S",A43=0),0,IF(ISERROR(I43),H43,SMALL(H43:I43,1)))</f>
        <v>0</v>
      </c>
      <c r="C43">
        <f ca="1">IF($A43=1,OFFSET(C43,-1,0)+1,OFFSET(C43,-1,0))</f>
        <v>1</v>
      </c>
      <c r="D43">
        <f ca="1">IF($A43=1,0,IF($A43=2,OFFSET(D43,-1,0)+1,OFFSET(D43,-1,0)))</f>
        <v>4</v>
      </c>
      <c r="E43">
        <f ca="1">IF(AND($A43&lt;=2,$A43&lt;&gt;0),0,IF($A43=3,OFFSET(E43,-1,0)+1,OFFSET(E43,-1,0)))</f>
        <v>2</v>
      </c>
      <c r="F43">
        <f ca="1">IF(AND($A43&lt;=3,$A43&lt;&gt;0),0,IF($A43=4,OFFSET(F43,-1,0)+1,OFFSET(F43,-1,0)))</f>
        <v>0</v>
      </c>
      <c r="G43">
        <f ca="1">IF(AND($A43&lt;=4,$A43&lt;&gt;0),0,IF($A43="S",OFFSET(G43,-1,0)+1,OFFSET(G43,-1,0)))</f>
        <v>3</v>
      </c>
      <c r="H43">
        <f t="shared" ca="1" si="7"/>
        <v>0</v>
      </c>
      <c r="I43">
        <f t="shared" ca="1" si="8"/>
        <v>0</v>
      </c>
      <c r="J43" s="395" t="s">
        <v>103</v>
      </c>
      <c r="K43" s="162" t="str">
        <f ca="1">IF($A43=0,"-",CONCATENATE(C43&amp;".",IF(AND($A$5&gt;=2,$A43&gt;=2),D43&amp;".",""),IF(AND($A$5&gt;=3,$A43&gt;=3),E43&amp;".",""),IF(AND($A$5&gt;=4,$A43&gt;=4),F43&amp;".",""),IF($A43="S",G43&amp;".","")))</f>
        <v>1.4.2.3.</v>
      </c>
      <c r="L43" s="396" t="s">
        <v>231</v>
      </c>
      <c r="M43" s="396" t="s">
        <v>245</v>
      </c>
      <c r="N43" s="397" t="s">
        <v>310</v>
      </c>
      <c r="O43" s="398" t="s">
        <v>330</v>
      </c>
      <c r="P43" s="399">
        <v>106.74</v>
      </c>
      <c r="Q43" s="228"/>
      <c r="R43" s="231" t="s">
        <v>7</v>
      </c>
      <c r="S43" s="121">
        <f>IF($A43="S",IF($Q$10="Preço Unitário (R$)",PO.CustoUnitario,ROUND(PO.CustoUnitario*(1+$Z43),15-13*$X$6)),0)</f>
        <v>0</v>
      </c>
      <c r="T43" s="98">
        <f>IF($A43="S",VTOTAL1,IF($A43=0,0,ROUND(SomaAgrup,15-13*$X$7)))</f>
        <v>0</v>
      </c>
      <c r="U43" s="13" t="str">
        <f>IF($J43="","",IF($N43="","DESCRIÇÃO",IF(AND($J43="Serviço",$O43=""),"UNIDADE",IF($T43&lt;=0,"SEM VALOR",IF(AND($Y43&lt;&gt;"",$Q43&gt;$Y43),"ACIMA REF.","")))))</f>
        <v>SEM VALOR</v>
      </c>
      <c r="V43" s="4" t="str">
        <f ca="1">IF(OR($A43=0,$A43="S",$A43&gt;CFF!$A$9),"",MAX(V$12:OFFSET(V43,-1,0))+1)</f>
        <v/>
      </c>
      <c r="W43" s="9" t="str">
        <f>IF(AND($J43="Serviço",$M43&lt;&gt;""),IF($L43="",$M43,CONCATENATE($L43,"-",$M43)))</f>
        <v>SINAPI-104111</v>
      </c>
      <c r="X43" s="4">
        <f ca="1">IF(AND(Fonte&lt;&gt;"",Código&lt;&gt;""),MATCH(Fonte&amp;" "&amp;IF(Fonte="sinapi",SUBSTITUTE(SUBSTITUTE(Código,"/00","/"),"/0","/"),Código),INDIRECT("'[Referência "&amp;_xlnm.Database&amp;".xls]Banco'!$a:$a"),0),"X")</f>
        <v>7487</v>
      </c>
      <c r="Y43" s="121">
        <v>24.59</v>
      </c>
      <c r="Z43" s="132">
        <f ca="1">ROUND(IF(ISNUMBER(R43),R43,IF(LEFT(R43,3)="BDI",HLOOKUP(R43,DADOS!$T$37:$X$38,2,FALSE),0)),15-11*$X$5)</f>
        <v>0.20699999999999999</v>
      </c>
      <c r="AA43" s="4"/>
    </row>
    <row r="44" spans="1:27" x14ac:dyDescent="0.2">
      <c r="A44" t="str">
        <f t="shared" si="0"/>
        <v>S</v>
      </c>
      <c r="B44">
        <f t="shared" si="1"/>
        <v>0</v>
      </c>
      <c r="C44">
        <f t="shared" ca="1" si="2"/>
        <v>1</v>
      </c>
      <c r="D44">
        <f t="shared" ca="1" si="3"/>
        <v>4</v>
      </c>
      <c r="E44">
        <f t="shared" ca="1" si="4"/>
        <v>2</v>
      </c>
      <c r="F44">
        <f t="shared" ca="1" si="5"/>
        <v>0</v>
      </c>
      <c r="G44">
        <f t="shared" ca="1" si="6"/>
        <v>4</v>
      </c>
      <c r="H44">
        <f t="shared" ca="1" si="7"/>
        <v>0</v>
      </c>
      <c r="I44">
        <f t="shared" ca="1" si="8"/>
        <v>0</v>
      </c>
      <c r="J44" s="395" t="s">
        <v>103</v>
      </c>
      <c r="K44" s="162" t="str">
        <f t="shared" ca="1" si="9"/>
        <v>1.4.2.4.</v>
      </c>
      <c r="L44" s="396" t="s">
        <v>257</v>
      </c>
      <c r="M44" s="396" t="s">
        <v>259</v>
      </c>
      <c r="N44" s="397" t="s">
        <v>303</v>
      </c>
      <c r="O44" s="398" t="s">
        <v>331</v>
      </c>
      <c r="P44" s="399">
        <v>51.72</v>
      </c>
      <c r="Q44" s="228"/>
      <c r="R44" s="231" t="s">
        <v>7</v>
      </c>
      <c r="S44" s="121">
        <f t="shared" si="10"/>
        <v>0</v>
      </c>
      <c r="T44" s="98">
        <f t="shared" si="11"/>
        <v>0</v>
      </c>
      <c r="U44" s="13" t="str">
        <f t="shared" si="12"/>
        <v>SEM VALOR</v>
      </c>
      <c r="V44" s="4" t="str">
        <f ca="1">IF(OR($A44=0,$A44="S",$A44&gt;CFF!$A$9),"",MAX(V$12:OFFSET(V44,-1,0))+1)</f>
        <v/>
      </c>
      <c r="W44" s="9" t="str">
        <f t="shared" si="13"/>
        <v>COMPOSIÇÃO-002</v>
      </c>
      <c r="X44" s="4">
        <f t="shared" ca="1" si="14"/>
        <v>8</v>
      </c>
      <c r="Y44" s="121">
        <v>97.59</v>
      </c>
      <c r="Z44" s="132">
        <f ca="1">ROUND(IF(ISNUMBER(R44),R44,IF(LEFT(R44,3)="BDI",HLOOKUP(R44,DADOS!$T$37:$X$38,2,FALSE),0)),15-11*$X$5)</f>
        <v>0.20699999999999999</v>
      </c>
      <c r="AA44" s="4"/>
    </row>
    <row r="45" spans="1:27" x14ac:dyDescent="0.2">
      <c r="A45">
        <f t="shared" si="0"/>
        <v>2</v>
      </c>
      <c r="B45">
        <f t="shared" ca="1" si="1"/>
        <v>3</v>
      </c>
      <c r="C45">
        <f t="shared" ca="1" si="2"/>
        <v>1</v>
      </c>
      <c r="D45">
        <f t="shared" ca="1" si="3"/>
        <v>5</v>
      </c>
      <c r="E45">
        <f t="shared" ca="1" si="4"/>
        <v>0</v>
      </c>
      <c r="F45">
        <f t="shared" ca="1" si="5"/>
        <v>0</v>
      </c>
      <c r="G45">
        <f t="shared" ca="1" si="6"/>
        <v>0</v>
      </c>
      <c r="H45">
        <f t="shared" ref="H45:H69" ca="1" si="15">IF(OR($A45="S",$A45=0),0,MATCH(0,OFFSET($B45,1,$A45,ROW($A$70)-ROW($A45)),0))</f>
        <v>25</v>
      </c>
      <c r="I45">
        <f t="shared" ref="I45:I69" ca="1" si="16">IF(OR($A45="S",$A45=0),0,MATCH(OFFSET($B45,0,$A45)+1,OFFSET($B45,1,$A45,ROW($A$70)-ROW($A45)),0))</f>
        <v>3</v>
      </c>
      <c r="J45" s="395" t="s">
        <v>100</v>
      </c>
      <c r="K45" s="162" t="str">
        <f t="shared" ca="1" si="9"/>
        <v>1.5.</v>
      </c>
      <c r="L45" s="396"/>
      <c r="M45" s="396"/>
      <c r="N45" s="397" t="s">
        <v>232</v>
      </c>
      <c r="O45" s="398" t="s">
        <v>106</v>
      </c>
      <c r="P45" s="399"/>
      <c r="Q45" s="228"/>
      <c r="R45" s="231" t="s">
        <v>7</v>
      </c>
      <c r="S45" s="121">
        <f t="shared" si="10"/>
        <v>0</v>
      </c>
      <c r="T45" s="98">
        <f t="shared" ca="1" si="11"/>
        <v>0</v>
      </c>
      <c r="U45" s="13" t="str">
        <f t="shared" ca="1" si="12"/>
        <v>SEM VALOR</v>
      </c>
      <c r="V45" s="4">
        <f ca="1">IF(OR($A45=0,$A45="S",$A45&gt;CFF!$A$9),"",MAX(V$12:OFFSET(V45,-1,0))+1)</f>
        <v>6</v>
      </c>
      <c r="W45" s="9" t="b">
        <f t="shared" si="13"/>
        <v>0</v>
      </c>
      <c r="X45" s="4" t="str">
        <f t="shared" ca="1" si="14"/>
        <v>X</v>
      </c>
      <c r="Y45" s="121">
        <v>0</v>
      </c>
      <c r="Z45" s="132">
        <f ca="1">ROUND(IF(ISNUMBER(R45),R45,IF(LEFT(R45,3)="BDI",HLOOKUP(R45,DADOS!$T$37:$X$38,2,FALSE),0)),15-11*$X$5)</f>
        <v>0.20699999999999999</v>
      </c>
      <c r="AA45" s="4"/>
    </row>
    <row r="46" spans="1:27" ht="38.25" x14ac:dyDescent="0.2">
      <c r="A46" t="str">
        <f t="shared" si="0"/>
        <v>S</v>
      </c>
      <c r="B46">
        <f t="shared" si="1"/>
        <v>0</v>
      </c>
      <c r="C46">
        <f t="shared" ca="1" si="2"/>
        <v>1</v>
      </c>
      <c r="D46">
        <f t="shared" ca="1" si="3"/>
        <v>5</v>
      </c>
      <c r="E46">
        <f t="shared" ca="1" si="4"/>
        <v>0</v>
      </c>
      <c r="F46">
        <f t="shared" ca="1" si="5"/>
        <v>0</v>
      </c>
      <c r="G46">
        <f t="shared" ca="1" si="6"/>
        <v>1</v>
      </c>
      <c r="H46">
        <f t="shared" ca="1" si="15"/>
        <v>0</v>
      </c>
      <c r="I46">
        <f t="shared" ca="1" si="16"/>
        <v>0</v>
      </c>
      <c r="J46" s="395" t="s">
        <v>103</v>
      </c>
      <c r="K46" s="162" t="str">
        <f t="shared" ca="1" si="9"/>
        <v>1.5.0.1.</v>
      </c>
      <c r="L46" s="396" t="s">
        <v>231</v>
      </c>
      <c r="M46" s="396" t="s">
        <v>233</v>
      </c>
      <c r="N46" s="397" t="s">
        <v>312</v>
      </c>
      <c r="O46" s="398" t="s">
        <v>331</v>
      </c>
      <c r="P46" s="399">
        <v>121.54</v>
      </c>
      <c r="Q46" s="228"/>
      <c r="R46" s="231" t="s">
        <v>7</v>
      </c>
      <c r="S46" s="121">
        <f t="shared" si="10"/>
        <v>0</v>
      </c>
      <c r="T46" s="98">
        <f t="shared" si="11"/>
        <v>0</v>
      </c>
      <c r="U46" s="13" t="str">
        <f t="shared" si="12"/>
        <v>SEM VALOR</v>
      </c>
      <c r="V46" s="4" t="str">
        <f ca="1">IF(OR($A46=0,$A46="S",$A46&gt;CFF!$A$9),"",MAX(V$12:OFFSET(V46,-1,0))+1)</f>
        <v/>
      </c>
      <c r="W46" s="9" t="str">
        <f t="shared" si="13"/>
        <v>SINAPI-87894</v>
      </c>
      <c r="X46" s="4">
        <f t="shared" ca="1" si="14"/>
        <v>11224</v>
      </c>
      <c r="Y46" s="121">
        <v>7.93</v>
      </c>
      <c r="Z46" s="132">
        <f ca="1">ROUND(IF(ISNUMBER(R46),R46,IF(LEFT(R46,3)="BDI",HLOOKUP(R46,DADOS!$T$37:$X$38,2,FALSE),0)),15-11*$X$5)</f>
        <v>0.20699999999999999</v>
      </c>
      <c r="AA46" s="4"/>
    </row>
    <row r="47" spans="1:27" ht="38.25" x14ac:dyDescent="0.2">
      <c r="A47" t="str">
        <f>CHOOSE(1+LOG(1+2*(J47="Meta")+4*(J47="Nível 2")+8*(J47="Nível 3")+16*(J47="Nível 4")+32*(J47="Serviço"),2),0,1,2,3,4,"S")</f>
        <v>S</v>
      </c>
      <c r="B47">
        <f>IF(OR(A47="S",A47=0),0,IF(ISERROR(I47),H47,SMALL(H47:I47,1)))</f>
        <v>0</v>
      </c>
      <c r="C47">
        <f ca="1">IF($A47=1,OFFSET(C47,-1,0)+1,OFFSET(C47,-1,0))</f>
        <v>1</v>
      </c>
      <c r="D47">
        <f ca="1">IF($A47=1,0,IF($A47=2,OFFSET(D47,-1,0)+1,OFFSET(D47,-1,0)))</f>
        <v>5</v>
      </c>
      <c r="E47">
        <f ca="1">IF(AND($A47&lt;=2,$A47&lt;&gt;0),0,IF($A47=3,OFFSET(E47,-1,0)+1,OFFSET(E47,-1,0)))</f>
        <v>0</v>
      </c>
      <c r="F47">
        <f ca="1">IF(AND($A47&lt;=3,$A47&lt;&gt;0),0,IF($A47=4,OFFSET(F47,-1,0)+1,OFFSET(F47,-1,0)))</f>
        <v>0</v>
      </c>
      <c r="G47">
        <f ca="1">IF(AND($A47&lt;=4,$A47&lt;&gt;0),0,IF($A47="S",OFFSET(G47,-1,0)+1,OFFSET(G47,-1,0)))</f>
        <v>2</v>
      </c>
      <c r="H47">
        <f t="shared" ca="1" si="15"/>
        <v>0</v>
      </c>
      <c r="I47">
        <f t="shared" ca="1" si="16"/>
        <v>0</v>
      </c>
      <c r="J47" s="395" t="s">
        <v>103</v>
      </c>
      <c r="K47" s="162" t="str">
        <f ca="1">IF($A47=0,"-",CONCATENATE(C47&amp;".",IF(AND($A$5&gt;=2,$A47&gt;=2),D47&amp;".",""),IF(AND($A$5&gt;=3,$A47&gt;=3),E47&amp;".",""),IF(AND($A$5&gt;=4,$A47&gt;=4),F47&amp;".",""),IF($A47="S",G47&amp;".","")))</f>
        <v>1.5.0.2.</v>
      </c>
      <c r="L47" s="396" t="s">
        <v>231</v>
      </c>
      <c r="M47" s="396" t="s">
        <v>265</v>
      </c>
      <c r="N47" s="397" t="s">
        <v>313</v>
      </c>
      <c r="O47" s="398" t="s">
        <v>331</v>
      </c>
      <c r="P47" s="399">
        <v>121.54</v>
      </c>
      <c r="Q47" s="228"/>
      <c r="R47" s="231" t="s">
        <v>7</v>
      </c>
      <c r="S47" s="121">
        <f>IF($A47="S",IF($Q$10="Preço Unitário (R$)",PO.CustoUnitario,ROUND(PO.CustoUnitario*(1+$Z47),15-13*$X$6)),0)</f>
        <v>0</v>
      </c>
      <c r="T47" s="98">
        <f>IF($A47="S",VTOTAL1,IF($A47=0,0,ROUND(SomaAgrup,15-13*$X$7)))</f>
        <v>0</v>
      </c>
      <c r="U47" s="13" t="str">
        <f>IF($J47="","",IF($N47="","DESCRIÇÃO",IF(AND($J47="Serviço",$O47=""),"UNIDADE",IF($T47&lt;=0,"SEM VALOR",IF(AND($Y47&lt;&gt;"",$Q47&gt;$Y47),"ACIMA REF.","")))))</f>
        <v>SEM VALOR</v>
      </c>
      <c r="V47" s="4" t="str">
        <f ca="1">IF(OR($A47=0,$A47="S",$A47&gt;CFF!$A$9),"",MAX(V$12:OFFSET(V47,-1,0))+1)</f>
        <v/>
      </c>
      <c r="W47" s="9" t="str">
        <f>IF(AND($J47="Serviço",$M47&lt;&gt;""),IF($L47="",$M47,CONCATENATE($L47,"-",$M47)))</f>
        <v>SINAPI-104236</v>
      </c>
      <c r="X47" s="4">
        <f ca="1">IF(AND(Fonte&lt;&gt;"",Código&lt;&gt;""),MATCH(Fonte&amp;" "&amp;IF(Fonte="sinapi",SUBSTITUTE(SUBSTITUTE(Código,"/00","/"),"/0","/"),Código),INDIRECT("'[Referência "&amp;_xlnm.Database&amp;".xls]Banco'!$a:$a"),0),"X")</f>
        <v>11387</v>
      </c>
      <c r="Y47" s="121">
        <v>46.26</v>
      </c>
      <c r="Z47" s="132">
        <f ca="1">ROUND(IF(ISNUMBER(R47),R47,IF(LEFT(R47,3)="BDI",HLOOKUP(R47,DADOS!$T$37:$X$38,2,FALSE),0)),15-11*$X$5)</f>
        <v>0.20699999999999999</v>
      </c>
      <c r="AA47" s="4"/>
    </row>
    <row r="48" spans="1:27" x14ac:dyDescent="0.2">
      <c r="A48">
        <f t="shared" ref="A48:A49" si="17">CHOOSE(1+LOG(1+2*(J48="Meta")+4*(J48="Nível 2")+8*(J48="Nível 3")+16*(J48="Nível 4")+32*(J48="Serviço"),2),0,1,2,3,4,"S")</f>
        <v>2</v>
      </c>
      <c r="B48">
        <f t="shared" ref="B48:B49" ca="1" si="18">IF(OR(A48="S",A48=0),0,IF(ISERROR(I48),H48,SMALL(H48:I48,1)))</f>
        <v>2</v>
      </c>
      <c r="C48">
        <f t="shared" ref="C48:C49" ca="1" si="19">IF($A48=1,OFFSET(C48,-1,0)+1,OFFSET(C48,-1,0))</f>
        <v>1</v>
      </c>
      <c r="D48">
        <f t="shared" ref="D48:D49" ca="1" si="20">IF($A48=1,0,IF($A48=2,OFFSET(D48,-1,0)+1,OFFSET(D48,-1,0)))</f>
        <v>6</v>
      </c>
      <c r="E48">
        <f t="shared" ref="E48:E49" ca="1" si="21">IF(AND($A48&lt;=2,$A48&lt;&gt;0),0,IF($A48=3,OFFSET(E48,-1,0)+1,OFFSET(E48,-1,0)))</f>
        <v>0</v>
      </c>
      <c r="F48">
        <f t="shared" ref="F48:F49" ca="1" si="22">IF(AND($A48&lt;=3,$A48&lt;&gt;0),0,IF($A48=4,OFFSET(F48,-1,0)+1,OFFSET(F48,-1,0)))</f>
        <v>0</v>
      </c>
      <c r="G48">
        <f t="shared" ref="G48:G49" ca="1" si="23">IF(AND($A48&lt;=4,$A48&lt;&gt;0),0,IF($A48="S",OFFSET(G48,-1,0)+1,OFFSET(G48,-1,0)))</f>
        <v>0</v>
      </c>
      <c r="H48">
        <f t="shared" ca="1" si="15"/>
        <v>22</v>
      </c>
      <c r="I48">
        <f t="shared" ca="1" si="16"/>
        <v>2</v>
      </c>
      <c r="J48" s="395" t="s">
        <v>100</v>
      </c>
      <c r="K48" s="162" t="str">
        <f t="shared" ref="K48:K49" ca="1" si="24">IF($A48=0,"-",CONCATENATE(C48&amp;".",IF(AND($A$5&gt;=2,$A48&gt;=2),D48&amp;".",""),IF(AND($A$5&gt;=3,$A48&gt;=3),E48&amp;".",""),IF(AND($A$5&gt;=4,$A48&gt;=4),F48&amp;".",""),IF($A48="S",G48&amp;".","")))</f>
        <v>1.6.</v>
      </c>
      <c r="L48" s="396"/>
      <c r="M48" s="396"/>
      <c r="N48" s="397" t="s">
        <v>286</v>
      </c>
      <c r="O48" s="398" t="s">
        <v>106</v>
      </c>
      <c r="P48" s="399"/>
      <c r="Q48" s="228"/>
      <c r="R48" s="231" t="s">
        <v>7</v>
      </c>
      <c r="S48" s="121">
        <f>IF($A48="S",IF($Q$10="Preço Unitário (R$)",PO.CustoUnitario,ROUND(PO.CustoUnitario*(1+$Z48),15-13*$X$6)),0)</f>
        <v>0</v>
      </c>
      <c r="T48" s="98">
        <f ca="1">IF($A48="S",VTOTAL1,IF($A48=0,0,ROUND(SomaAgrup,15-13*$X$7)))</f>
        <v>0</v>
      </c>
      <c r="U48" s="13" t="str">
        <f t="shared" ref="U48:U49" ca="1" si="25">IF($J48="","",IF($N48="","DESCRIÇÃO",IF(AND($J48="Serviço",$O48=""),"UNIDADE",IF($T48&lt;=0,"SEM VALOR",IF(AND($Y48&lt;&gt;"",$Q48&gt;$Y48),"ACIMA REF.","")))))</f>
        <v>SEM VALOR</v>
      </c>
      <c r="V48" s="4">
        <f ca="1">IF(OR($A48=0,$A48="S",$A48&gt;CFF!$A$9),"",MAX(V$12:OFFSET(V48,-1,0))+1)</f>
        <v>7</v>
      </c>
      <c r="W48" s="9" t="b">
        <f t="shared" ref="W48:W49" si="26">IF(AND($J48="Serviço",$M48&lt;&gt;""),IF($L48="",$M48,CONCATENATE($L48,"-",$M48)))</f>
        <v>0</v>
      </c>
      <c r="X48" s="4" t="str">
        <f ca="1">IF(AND(Fonte&lt;&gt;"",Código&lt;&gt;""),MATCH(Fonte&amp;" "&amp;IF(Fonte="sinapi",SUBSTITUTE(SUBSTITUTE(Código,"/00","/"),"/0","/"),Código),INDIRECT("'[Referência "&amp;_xlnm.Database&amp;".xls]Banco'!$a:$a"),0),"X")</f>
        <v>X</v>
      </c>
      <c r="Y48" s="121">
        <v>0</v>
      </c>
      <c r="Z48" s="132">
        <f ca="1">ROUND(IF(ISNUMBER(R48),R48,IF(LEFT(R48,3)="BDI",HLOOKUP(R48,DADOS!$T$37:$X$38,2,FALSE),0)),15-11*$X$5)</f>
        <v>0.20699999999999999</v>
      </c>
      <c r="AA48" s="4"/>
    </row>
    <row r="49" spans="1:27" x14ac:dyDescent="0.2">
      <c r="A49" t="str">
        <f t="shared" si="17"/>
        <v>S</v>
      </c>
      <c r="B49">
        <f t="shared" si="18"/>
        <v>0</v>
      </c>
      <c r="C49">
        <f t="shared" ca="1" si="19"/>
        <v>1</v>
      </c>
      <c r="D49">
        <f t="shared" ca="1" si="20"/>
        <v>6</v>
      </c>
      <c r="E49">
        <f t="shared" ca="1" si="21"/>
        <v>0</v>
      </c>
      <c r="F49">
        <f t="shared" ca="1" si="22"/>
        <v>0</v>
      </c>
      <c r="G49">
        <f t="shared" ca="1" si="23"/>
        <v>1</v>
      </c>
      <c r="H49">
        <f t="shared" ca="1" si="15"/>
        <v>0</v>
      </c>
      <c r="I49">
        <f t="shared" ca="1" si="16"/>
        <v>0</v>
      </c>
      <c r="J49" s="395" t="s">
        <v>103</v>
      </c>
      <c r="K49" s="162" t="str">
        <f t="shared" ca="1" si="24"/>
        <v>1.6.0.1.</v>
      </c>
      <c r="L49" s="396" t="s">
        <v>231</v>
      </c>
      <c r="M49" s="396" t="s">
        <v>246</v>
      </c>
      <c r="N49" s="397" t="s">
        <v>304</v>
      </c>
      <c r="O49" s="398" t="s">
        <v>331</v>
      </c>
      <c r="P49" s="399">
        <v>73.72</v>
      </c>
      <c r="Q49" s="228"/>
      <c r="R49" s="231" t="s">
        <v>7</v>
      </c>
      <c r="S49" s="121">
        <f>IF($A49="S",IF($Q$10="Preço Unitário (R$)",PO.CustoUnitario,ROUND(PO.CustoUnitario*(1+$Z49),15-13*$X$6)),0)</f>
        <v>0</v>
      </c>
      <c r="T49" s="98">
        <f>IF($A49="S",VTOTAL1,IF($A49=0,0,ROUND(SomaAgrup,15-13*$X$7)))</f>
        <v>0</v>
      </c>
      <c r="U49" s="13" t="str">
        <f t="shared" si="25"/>
        <v>SEM VALOR</v>
      </c>
      <c r="V49" s="4" t="str">
        <f ca="1">IF(OR($A49=0,$A49="S",$A49&gt;CFF!$A$9),"",MAX(V$12:OFFSET(V49,-1,0))+1)</f>
        <v/>
      </c>
      <c r="W49" s="9" t="str">
        <f t="shared" si="26"/>
        <v>SINAPI-98557</v>
      </c>
      <c r="X49" s="4">
        <f ca="1">IF(AND(Fonte&lt;&gt;"",Código&lt;&gt;""),MATCH(Fonte&amp;" "&amp;IF(Fonte="sinapi",SUBSTITUTE(SUBSTITUTE(Código,"/00","/"),"/0","/"),Código),INDIRECT("'[Referência "&amp;_xlnm.Database&amp;".xls]Banco'!$a:$a"),0),"X")</f>
        <v>7683</v>
      </c>
      <c r="Y49" s="121">
        <v>60.71</v>
      </c>
      <c r="Z49" s="132">
        <f ca="1">ROUND(IF(ISNUMBER(R49),R49,IF(LEFT(R49,3)="BDI",HLOOKUP(R49,DADOS!$T$37:$X$38,2,FALSE),0)),15-11*$X$5)</f>
        <v>0.20699999999999999</v>
      </c>
      <c r="AA49" s="4"/>
    </row>
    <row r="50" spans="1:27" x14ac:dyDescent="0.2">
      <c r="A50">
        <f t="shared" ref="A50:A51" si="27">CHOOSE(1+LOG(1+2*(J50="Meta")+4*(J50="Nível 2")+8*(J50="Nível 3")+16*(J50="Nível 4")+32*(J50="Serviço"),2),0,1,2,3,4,"S")</f>
        <v>2</v>
      </c>
      <c r="B50">
        <f t="shared" ref="B50:B51" ca="1" si="28">IF(OR(A50="S",A50=0),0,IF(ISERROR(I50),H50,SMALL(H50:I50,1)))</f>
        <v>5</v>
      </c>
      <c r="C50">
        <f t="shared" ref="C50:C51" ca="1" si="29">IF($A50=1,OFFSET(C50,-1,0)+1,OFFSET(C50,-1,0))</f>
        <v>1</v>
      </c>
      <c r="D50">
        <f t="shared" ref="D50:D51" ca="1" si="30">IF($A50=1,0,IF($A50=2,OFFSET(D50,-1,0)+1,OFFSET(D50,-1,0)))</f>
        <v>7</v>
      </c>
      <c r="E50">
        <f t="shared" ref="E50:E51" ca="1" si="31">IF(AND($A50&lt;=2,$A50&lt;&gt;0),0,IF($A50=3,OFFSET(E50,-1,0)+1,OFFSET(E50,-1,0)))</f>
        <v>0</v>
      </c>
      <c r="F50">
        <f t="shared" ref="F50:F51" ca="1" si="32">IF(AND($A50&lt;=3,$A50&lt;&gt;0),0,IF($A50=4,OFFSET(F50,-1,0)+1,OFFSET(F50,-1,0)))</f>
        <v>0</v>
      </c>
      <c r="G50">
        <f t="shared" ref="G50:G51" ca="1" si="33">IF(AND($A50&lt;=4,$A50&lt;&gt;0),0,IF($A50="S",OFFSET(G50,-1,0)+1,OFFSET(G50,-1,0)))</f>
        <v>0</v>
      </c>
      <c r="H50">
        <f t="shared" ca="1" si="15"/>
        <v>20</v>
      </c>
      <c r="I50">
        <f t="shared" ca="1" si="16"/>
        <v>5</v>
      </c>
      <c r="J50" s="395" t="s">
        <v>100</v>
      </c>
      <c r="K50" s="162" t="str">
        <f t="shared" ref="K50:K51" ca="1" si="34">IF($A50=0,"-",CONCATENATE(C50&amp;".",IF(AND($A$5&gt;=2,$A50&gt;=2),D50&amp;".",""),IF(AND($A$5&gt;=3,$A50&gt;=3),E50&amp;".",""),IF(AND($A$5&gt;=4,$A50&gt;=4),F50&amp;".",""),IF($A50="S",G50&amp;".","")))</f>
        <v>1.7.</v>
      </c>
      <c r="L50" s="396"/>
      <c r="M50" s="396"/>
      <c r="N50" s="397" t="s">
        <v>281</v>
      </c>
      <c r="O50" s="398" t="s">
        <v>106</v>
      </c>
      <c r="P50" s="399"/>
      <c r="Q50" s="228"/>
      <c r="R50" s="231" t="s">
        <v>7</v>
      </c>
      <c r="S50" s="121">
        <f t="shared" ref="S50:S51" si="35">IF($A50="S",IF($Q$10="Preço Unitário (R$)",PO.CustoUnitario,ROUND(PO.CustoUnitario*(1+$Z50),15-13*$X$6)),0)</f>
        <v>0</v>
      </c>
      <c r="T50" s="98">
        <f t="shared" ref="T50:T51" ca="1" si="36">IF($A50="S",VTOTAL1,IF($A50=0,0,ROUND(SomaAgrup,15-13*$X$7)))</f>
        <v>0</v>
      </c>
      <c r="U50" s="13" t="str">
        <f t="shared" ref="U50:U51" ca="1" si="37">IF($J50="","",IF($N50="","DESCRIÇÃO",IF(AND($J50="Serviço",$O50=""),"UNIDADE",IF($T50&lt;=0,"SEM VALOR",IF(AND($Y50&lt;&gt;"",$Q50&gt;$Y50),"ACIMA REF.","")))))</f>
        <v>SEM VALOR</v>
      </c>
      <c r="V50" s="4">
        <f ca="1">IF(OR($A50=0,$A50="S",$A50&gt;CFF!$A$9),"",MAX(V$12:OFFSET(V50,-1,0))+1)</f>
        <v>8</v>
      </c>
      <c r="W50" s="9" t="b">
        <f t="shared" ref="W50:W51" si="38">IF(AND($J50="Serviço",$M50&lt;&gt;""),IF($L50="",$M50,CONCATENATE($L50,"-",$M50)))</f>
        <v>0</v>
      </c>
      <c r="X50" s="4" t="str">
        <f t="shared" ref="X50:X51" ca="1" si="39">IF(AND(Fonte&lt;&gt;"",Código&lt;&gt;""),MATCH(Fonte&amp;" "&amp;IF(Fonte="sinapi",SUBSTITUTE(SUBSTITUTE(Código,"/00","/"),"/0","/"),Código),INDIRECT("'[Referência "&amp;_xlnm.Database&amp;".xls]Banco'!$a:$a"),0),"X")</f>
        <v>X</v>
      </c>
      <c r="Y50" s="121">
        <v>0</v>
      </c>
      <c r="Z50" s="132">
        <f ca="1">ROUND(IF(ISNUMBER(R50),R50,IF(LEFT(R50,3)="BDI",HLOOKUP(R50,DADOS!$T$37:$X$38,2,FALSE),0)),15-11*$X$5)</f>
        <v>0.20699999999999999</v>
      </c>
      <c r="AA50" s="4"/>
    </row>
    <row r="51" spans="1:27" x14ac:dyDescent="0.2">
      <c r="A51" t="str">
        <f t="shared" si="27"/>
        <v>S</v>
      </c>
      <c r="B51">
        <f t="shared" si="28"/>
        <v>0</v>
      </c>
      <c r="C51">
        <f t="shared" ca="1" si="29"/>
        <v>1</v>
      </c>
      <c r="D51">
        <f t="shared" ca="1" si="30"/>
        <v>7</v>
      </c>
      <c r="E51">
        <f t="shared" ca="1" si="31"/>
        <v>0</v>
      </c>
      <c r="F51">
        <f t="shared" ca="1" si="32"/>
        <v>0</v>
      </c>
      <c r="G51">
        <f t="shared" ca="1" si="33"/>
        <v>1</v>
      </c>
      <c r="H51">
        <f t="shared" ca="1" si="15"/>
        <v>0</v>
      </c>
      <c r="I51">
        <f t="shared" ca="1" si="16"/>
        <v>0</v>
      </c>
      <c r="J51" s="395" t="s">
        <v>103</v>
      </c>
      <c r="K51" s="162" t="str">
        <f t="shared" ca="1" si="34"/>
        <v>1.7.0.1.</v>
      </c>
      <c r="L51" s="396" t="s">
        <v>257</v>
      </c>
      <c r="M51" s="396" t="s">
        <v>266</v>
      </c>
      <c r="N51" s="397" t="s">
        <v>314</v>
      </c>
      <c r="O51" s="398" t="s">
        <v>331</v>
      </c>
      <c r="P51" s="399">
        <v>254.57</v>
      </c>
      <c r="Q51" s="228"/>
      <c r="R51" s="231" t="s">
        <v>7</v>
      </c>
      <c r="S51" s="121">
        <f t="shared" si="35"/>
        <v>0</v>
      </c>
      <c r="T51" s="98">
        <f t="shared" si="36"/>
        <v>0</v>
      </c>
      <c r="U51" s="13" t="str">
        <f t="shared" si="37"/>
        <v>SEM VALOR</v>
      </c>
      <c r="V51" s="4" t="str">
        <f ca="1">IF(OR($A51=0,$A51="S",$A51&gt;CFF!$A$9),"",MAX(V$12:OFFSET(V51,-1,0))+1)</f>
        <v/>
      </c>
      <c r="W51" s="9" t="str">
        <f t="shared" si="38"/>
        <v>COMPOSIÇÃO-005</v>
      </c>
      <c r="X51" s="4">
        <f t="shared" ca="1" si="39"/>
        <v>11</v>
      </c>
      <c r="Y51" s="121">
        <v>177.96</v>
      </c>
      <c r="Z51" s="132">
        <f ca="1">ROUND(IF(ISNUMBER(R51),R51,IF(LEFT(R51,3)="BDI",HLOOKUP(R51,DADOS!$T$37:$X$38,2,FALSE),0)),15-11*$X$5)</f>
        <v>0.20699999999999999</v>
      </c>
      <c r="AA51" s="4"/>
    </row>
    <row r="52" spans="1:27" x14ac:dyDescent="0.2">
      <c r="A52" t="str">
        <f>CHOOSE(1+LOG(1+2*(J52="Meta")+4*(J52="Nível 2")+8*(J52="Nível 3")+16*(J52="Nível 4")+32*(J52="Serviço"),2),0,1,2,3,4,"S")</f>
        <v>S</v>
      </c>
      <c r="B52">
        <f>IF(OR(A52="S",A52=0),0,IF(ISERROR(I52),H52,SMALL(H52:I52,1)))</f>
        <v>0</v>
      </c>
      <c r="C52">
        <f ca="1">IF($A52=1,OFFSET(C52,-1,0)+1,OFFSET(C52,-1,0))</f>
        <v>1</v>
      </c>
      <c r="D52">
        <f ca="1">IF($A52=1,0,IF($A52=2,OFFSET(D52,-1,0)+1,OFFSET(D52,-1,0)))</f>
        <v>7</v>
      </c>
      <c r="E52">
        <f ca="1">IF(AND($A52&lt;=2,$A52&lt;&gt;0),0,IF($A52=3,OFFSET(E52,-1,0)+1,OFFSET(E52,-1,0)))</f>
        <v>0</v>
      </c>
      <c r="F52">
        <f ca="1">IF(AND($A52&lt;=3,$A52&lt;&gt;0),0,IF($A52=4,OFFSET(F52,-1,0)+1,OFFSET(F52,-1,0)))</f>
        <v>0</v>
      </c>
      <c r="G52">
        <f ca="1">IF(AND($A52&lt;=4,$A52&lt;&gt;0),0,IF($A52="S",OFFSET(G52,-1,0)+1,OFFSET(G52,-1,0)))</f>
        <v>2</v>
      </c>
      <c r="H52">
        <f t="shared" ca="1" si="15"/>
        <v>0</v>
      </c>
      <c r="I52">
        <f t="shared" ca="1" si="16"/>
        <v>0</v>
      </c>
      <c r="J52" s="395" t="s">
        <v>103</v>
      </c>
      <c r="K52" s="162" t="str">
        <f ca="1">IF($A52=0,"-",CONCATENATE(C52&amp;".",IF(AND($A$5&gt;=2,$A52&gt;=2),D52&amp;".",""),IF(AND($A$5&gt;=3,$A52&gt;=3),E52&amp;".",""),IF(AND($A$5&gt;=4,$A52&gt;=4),F52&amp;".",""),IF($A52="S",G52&amp;".","")))</f>
        <v>1.7.0.2.</v>
      </c>
      <c r="L52" s="396" t="s">
        <v>257</v>
      </c>
      <c r="M52" s="396" t="s">
        <v>267</v>
      </c>
      <c r="N52" s="397" t="s">
        <v>315</v>
      </c>
      <c r="O52" s="398" t="s">
        <v>268</v>
      </c>
      <c r="P52" s="399">
        <v>12.72</v>
      </c>
      <c r="Q52" s="228"/>
      <c r="R52" s="231" t="s">
        <v>7</v>
      </c>
      <c r="S52" s="121">
        <f>IF($A52="S",IF($Q$10="Preço Unitário (R$)",PO.CustoUnitario,ROUND(PO.CustoUnitario*(1+$Z52),15-13*$X$6)),0)</f>
        <v>0</v>
      </c>
      <c r="T52" s="98">
        <f>IF($A52="S",VTOTAL1,IF($A52=0,0,ROUND(SomaAgrup,15-13*$X$7)))</f>
        <v>0</v>
      </c>
      <c r="U52" s="13" t="str">
        <f>IF($J52="","",IF($N52="","DESCRIÇÃO",IF(AND($J52="Serviço",$O52=""),"UNIDADE",IF($T52&lt;=0,"SEM VALOR",IF(AND($Y52&lt;&gt;"",$Q52&gt;$Y52),"ACIMA REF.","")))))</f>
        <v>SEM VALOR</v>
      </c>
      <c r="V52" s="4" t="str">
        <f ca="1">IF(OR($A52=0,$A52="S",$A52&gt;CFF!$A$9),"",MAX(V$12:OFFSET(V52,-1,0))+1)</f>
        <v/>
      </c>
      <c r="W52" s="9" t="str">
        <f>IF(AND($J52="Serviço",$M52&lt;&gt;""),IF($L52="",$M52,CONCATENATE($L52,"-",$M52)))</f>
        <v>COMPOSIÇÃO-006</v>
      </c>
      <c r="X52" s="4">
        <f ca="1">IF(AND(Fonte&lt;&gt;"",Código&lt;&gt;""),MATCH(Fonte&amp;" "&amp;IF(Fonte="sinapi",SUBSTITUTE(SUBSTITUTE(Código,"/00","/"),"/0","/"),Código),INDIRECT("'[Referência "&amp;_xlnm.Database&amp;".xls]Banco'!$a:$a"),0),"X")</f>
        <v>12</v>
      </c>
      <c r="Y52" s="121">
        <v>128.34</v>
      </c>
      <c r="Z52" s="132">
        <f ca="1">ROUND(IF(ISNUMBER(R52),R52,IF(LEFT(R52,3)="BDI",HLOOKUP(R52,DADOS!$T$37:$X$38,2,FALSE),0)),15-11*$X$5)</f>
        <v>0.20699999999999999</v>
      </c>
      <c r="AA52" s="4"/>
    </row>
    <row r="53" spans="1:27" x14ac:dyDescent="0.2">
      <c r="A53" t="str">
        <f>CHOOSE(1+LOG(1+2*(J53="Meta")+4*(J53="Nível 2")+8*(J53="Nível 3")+16*(J53="Nível 4")+32*(J53="Serviço"),2),0,1,2,3,4,"S")</f>
        <v>S</v>
      </c>
      <c r="B53">
        <f>IF(OR(A53="S",A53=0),0,IF(ISERROR(I53),H53,SMALL(H53:I53,1)))</f>
        <v>0</v>
      </c>
      <c r="C53">
        <f ca="1">IF($A53=1,OFFSET(C53,-1,0)+1,OFFSET(C53,-1,0))</f>
        <v>1</v>
      </c>
      <c r="D53">
        <f ca="1">IF($A53=1,0,IF($A53=2,OFFSET(D53,-1,0)+1,OFFSET(D53,-1,0)))</f>
        <v>7</v>
      </c>
      <c r="E53">
        <f ca="1">IF(AND($A53&lt;=2,$A53&lt;&gt;0),0,IF($A53=3,OFFSET(E53,-1,0)+1,OFFSET(E53,-1,0)))</f>
        <v>0</v>
      </c>
      <c r="F53">
        <f ca="1">IF(AND($A53&lt;=3,$A53&lt;&gt;0),0,IF($A53=4,OFFSET(F53,-1,0)+1,OFFSET(F53,-1,0)))</f>
        <v>0</v>
      </c>
      <c r="G53">
        <f ca="1">IF(AND($A53&lt;=4,$A53&lt;&gt;0),0,IF($A53="S",OFFSET(G53,-1,0)+1,OFFSET(G53,-1,0)))</f>
        <v>3</v>
      </c>
      <c r="H53">
        <f t="shared" ca="1" si="15"/>
        <v>0</v>
      </c>
      <c r="I53">
        <f t="shared" ca="1" si="16"/>
        <v>0</v>
      </c>
      <c r="J53" s="395" t="s">
        <v>103</v>
      </c>
      <c r="K53" s="162" t="str">
        <f ca="1">IF($A53=0,"-",CONCATENATE(C53&amp;".",IF(AND($A$5&gt;=2,$A53&gt;=2),D53&amp;".",""),IF(AND($A$5&gt;=3,$A53&gt;=3),E53&amp;".",""),IF(AND($A$5&gt;=4,$A53&gt;=4),F53&amp;".",""),IF($A53="S",G53&amp;".","")))</f>
        <v>1.7.0.3.</v>
      </c>
      <c r="L53" s="396" t="s">
        <v>231</v>
      </c>
      <c r="M53" s="396" t="s">
        <v>280</v>
      </c>
      <c r="N53" s="397" t="s">
        <v>316</v>
      </c>
      <c r="O53" s="398" t="s">
        <v>331</v>
      </c>
      <c r="P53" s="399">
        <v>254.57</v>
      </c>
      <c r="Q53" s="228"/>
      <c r="R53" s="231" t="s">
        <v>7</v>
      </c>
      <c r="S53" s="121">
        <f>IF($A53="S",IF($Q$10="Preço Unitário (R$)",PO.CustoUnitario,ROUND(PO.CustoUnitario*(1+$Z53),15-13*$X$6)),0)</f>
        <v>0</v>
      </c>
      <c r="T53" s="98">
        <f>IF($A53="S",VTOTAL1,IF($A53=0,0,ROUND(SomaAgrup,15-13*$X$7)))</f>
        <v>0</v>
      </c>
      <c r="U53" s="13" t="str">
        <f>IF($J53="","",IF($N53="","DESCRIÇÃO",IF(AND($J53="Serviço",$O53=""),"UNIDADE",IF($T53&lt;=0,"SEM VALOR",IF(AND($Y53&lt;&gt;"",$Q53&gt;$Y53),"ACIMA REF.","")))))</f>
        <v>SEM VALOR</v>
      </c>
      <c r="V53" s="4" t="str">
        <f ca="1">IF(OR($A53=0,$A53="S",$A53&gt;CFF!$A$9),"",MAX(V$12:OFFSET(V53,-1,0))+1)</f>
        <v/>
      </c>
      <c r="W53" s="9" t="str">
        <f>IF(AND($J53="Serviço",$M53&lt;&gt;""),IF($L53="",$M53,CONCATENATE($L53,"-",$M53)))</f>
        <v>SINAPI-97113</v>
      </c>
      <c r="X53" s="4">
        <f ca="1">IF(AND(Fonte&lt;&gt;"",Código&lt;&gt;""),MATCH(Fonte&amp;" "&amp;IF(Fonte="sinapi",SUBSTITUTE(SUBSTITUTE(Código,"/00","/"),"/0","/"),Código),INDIRECT("'[Referência "&amp;_xlnm.Database&amp;".xls]Banco'!$a:$a"),0),"X")</f>
        <v>10889</v>
      </c>
      <c r="Y53" s="121">
        <v>4.04</v>
      </c>
      <c r="Z53" s="132">
        <f ca="1">ROUND(IF(ISNUMBER(R53),R53,IF(LEFT(R53,3)="BDI",HLOOKUP(R53,DADOS!$T$37:$X$38,2,FALSE),0)),15-11*$X$5)</f>
        <v>0.20699999999999999</v>
      </c>
      <c r="AA53" s="4"/>
    </row>
    <row r="54" spans="1:27" x14ac:dyDescent="0.2">
      <c r="A54" t="str">
        <f>CHOOSE(1+LOG(1+2*(J54="Meta")+4*(J54="Nível 2")+8*(J54="Nível 3")+16*(J54="Nível 4")+32*(J54="Serviço"),2),0,1,2,3,4,"S")</f>
        <v>S</v>
      </c>
      <c r="B54">
        <f>IF(OR(A54="S",A54=0),0,IF(ISERROR(I54),H54,SMALL(H54:I54,1)))</f>
        <v>0</v>
      </c>
      <c r="C54">
        <f ca="1">IF($A54=1,OFFSET(C54,-1,0)+1,OFFSET(C54,-1,0))</f>
        <v>1</v>
      </c>
      <c r="D54">
        <f ca="1">IF($A54=1,0,IF($A54=2,OFFSET(D54,-1,0)+1,OFFSET(D54,-1,0)))</f>
        <v>7</v>
      </c>
      <c r="E54">
        <f ca="1">IF(AND($A54&lt;=2,$A54&lt;&gt;0),0,IF($A54=3,OFFSET(E54,-1,0)+1,OFFSET(E54,-1,0)))</f>
        <v>0</v>
      </c>
      <c r="F54">
        <f ca="1">IF(AND($A54&lt;=3,$A54&lt;&gt;0),0,IF($A54=4,OFFSET(F54,-1,0)+1,OFFSET(F54,-1,0)))</f>
        <v>0</v>
      </c>
      <c r="G54">
        <f ca="1">IF(AND($A54&lt;=4,$A54&lt;&gt;0),0,IF($A54="S",OFFSET(G54,-1,0)+1,OFFSET(G54,-1,0)))</f>
        <v>4</v>
      </c>
      <c r="H54">
        <f t="shared" ca="1" si="15"/>
        <v>0</v>
      </c>
      <c r="I54">
        <f t="shared" ca="1" si="16"/>
        <v>0</v>
      </c>
      <c r="J54" s="395" t="s">
        <v>103</v>
      </c>
      <c r="K54" s="162" t="str">
        <f ca="1">IF($A54=0,"-",CONCATENATE(C54&amp;".",IF(AND($A$5&gt;=2,$A54&gt;=2),D54&amp;".",""),IF(AND($A$5&gt;=3,$A54&gt;=3),E54&amp;".",""),IF(AND($A$5&gt;=4,$A54&gt;=4),F54&amp;".",""),IF($A54="S",G54&amp;".","")))</f>
        <v>1.7.0.4.</v>
      </c>
      <c r="L54" s="396" t="s">
        <v>257</v>
      </c>
      <c r="M54" s="396" t="s">
        <v>270</v>
      </c>
      <c r="N54" s="397" t="s">
        <v>317</v>
      </c>
      <c r="O54" s="398" t="s">
        <v>329</v>
      </c>
      <c r="P54" s="399">
        <v>55.5</v>
      </c>
      <c r="Q54" s="228"/>
      <c r="R54" s="231" t="s">
        <v>7</v>
      </c>
      <c r="S54" s="121">
        <f>IF($A54="S",IF($Q$10="Preço Unitário (R$)",PO.CustoUnitario,ROUND(PO.CustoUnitario*(1+$Z54),15-13*$X$6)),0)</f>
        <v>0</v>
      </c>
      <c r="T54" s="98">
        <f>IF($A54="S",VTOTAL1,IF($A54=0,0,ROUND(SomaAgrup,15-13*$X$7)))</f>
        <v>0</v>
      </c>
      <c r="U54" s="13" t="str">
        <f>IF($J54="","",IF($N54="","DESCRIÇÃO",IF(AND($J54="Serviço",$O54=""),"UNIDADE",IF($T54&lt;=0,"SEM VALOR",IF(AND($Y54&lt;&gt;"",$Q54&gt;$Y54),"ACIMA REF.","")))))</f>
        <v>SEM VALOR</v>
      </c>
      <c r="V54" s="4" t="str">
        <f ca="1">IF(OR($A54=0,$A54="S",$A54&gt;CFF!$A$9),"",MAX(V$12:OFFSET(V54,-1,0))+1)</f>
        <v/>
      </c>
      <c r="W54" s="9" t="str">
        <f>IF(AND($J54="Serviço",$M54&lt;&gt;""),IF($L54="",$M54,CONCATENATE($L54,"-",$M54)))</f>
        <v>COMPOSIÇÃO-007</v>
      </c>
      <c r="X54" s="4">
        <f ca="1">IF(AND(Fonte&lt;&gt;"",Código&lt;&gt;""),MATCH(Fonte&amp;" "&amp;IF(Fonte="sinapi",SUBSTITUTE(SUBSTITUTE(Código,"/00","/"),"/0","/"),Código),INDIRECT("'[Referência "&amp;_xlnm.Database&amp;".xls]Banco'!$a:$a"),0),"X")</f>
        <v>13</v>
      </c>
      <c r="Y54" s="121">
        <v>45.73</v>
      </c>
      <c r="Z54" s="132">
        <f ca="1">ROUND(IF(ISNUMBER(R54),R54,IF(LEFT(R54,3)="BDI",HLOOKUP(R54,DADOS!$T$37:$X$38,2,FALSE),0)),15-11*$X$5)</f>
        <v>0.20699999999999999</v>
      </c>
      <c r="AA54" s="4"/>
    </row>
    <row r="55" spans="1:27" x14ac:dyDescent="0.2">
      <c r="A55">
        <f t="shared" si="0"/>
        <v>2</v>
      </c>
      <c r="B55">
        <f t="shared" ca="1" si="1"/>
        <v>3</v>
      </c>
      <c r="C55">
        <f t="shared" ca="1" si="2"/>
        <v>1</v>
      </c>
      <c r="D55">
        <f t="shared" ca="1" si="3"/>
        <v>8</v>
      </c>
      <c r="E55">
        <f t="shared" ca="1" si="4"/>
        <v>0</v>
      </c>
      <c r="F55">
        <f t="shared" ca="1" si="5"/>
        <v>0</v>
      </c>
      <c r="G55">
        <f t="shared" ca="1" si="6"/>
        <v>0</v>
      </c>
      <c r="H55">
        <f t="shared" ca="1" si="15"/>
        <v>15</v>
      </c>
      <c r="I55">
        <f t="shared" ca="1" si="16"/>
        <v>3</v>
      </c>
      <c r="J55" s="395" t="s">
        <v>100</v>
      </c>
      <c r="K55" s="162" t="str">
        <f t="shared" ca="1" si="9"/>
        <v>1.8.</v>
      </c>
      <c r="L55" s="396"/>
      <c r="M55" s="396"/>
      <c r="N55" s="397" t="s">
        <v>278</v>
      </c>
      <c r="O55" s="398" t="s">
        <v>106</v>
      </c>
      <c r="P55" s="399">
        <v>0</v>
      </c>
      <c r="Q55" s="228"/>
      <c r="R55" s="231" t="s">
        <v>7</v>
      </c>
      <c r="S55" s="121">
        <f t="shared" si="10"/>
        <v>0</v>
      </c>
      <c r="T55" s="98">
        <f t="shared" ca="1" si="11"/>
        <v>0</v>
      </c>
      <c r="U55" s="13" t="str">
        <f t="shared" ca="1" si="12"/>
        <v>SEM VALOR</v>
      </c>
      <c r="V55" s="4">
        <f ca="1">IF(OR($A55=0,$A55="S",$A55&gt;CFF!$A$9),"",MAX(V$12:OFFSET(V55,-1,0))+1)</f>
        <v>9</v>
      </c>
      <c r="W55" s="9" t="b">
        <f t="shared" si="13"/>
        <v>0</v>
      </c>
      <c r="X55" s="4" t="str">
        <f t="shared" ca="1" si="14"/>
        <v>X</v>
      </c>
      <c r="Y55" s="121">
        <v>0</v>
      </c>
      <c r="Z55" s="132">
        <f ca="1">ROUND(IF(ISNUMBER(R55),R55,IF(LEFT(R55,3)="BDI",HLOOKUP(R55,DADOS!$T$37:$X$38,2,FALSE),0)),15-11*$X$5)</f>
        <v>0.20699999999999999</v>
      </c>
      <c r="AA55" s="4"/>
    </row>
    <row r="56" spans="1:27" x14ac:dyDescent="0.2">
      <c r="A56" t="str">
        <f>CHOOSE(1+LOG(1+2*(J56="Meta")+4*(J56="Nível 2")+8*(J56="Nível 3")+16*(J56="Nível 4")+32*(J56="Serviço"),2),0,1,2,3,4,"S")</f>
        <v>S</v>
      </c>
      <c r="B56">
        <f>IF(OR(A56="S",A56=0),0,IF(ISERROR(I56),H56,SMALL(H56:I56,1)))</f>
        <v>0</v>
      </c>
      <c r="C56">
        <f ca="1">IF($A56=1,OFFSET(C56,-1,0)+1,OFFSET(C56,-1,0))</f>
        <v>1</v>
      </c>
      <c r="D56">
        <f ca="1">IF($A56=1,0,IF($A56=2,OFFSET(D56,-1,0)+1,OFFSET(D56,-1,0)))</f>
        <v>8</v>
      </c>
      <c r="E56">
        <f ca="1">IF(AND($A56&lt;=2,$A56&lt;&gt;0),0,IF($A56=3,OFFSET(E56,-1,0)+1,OFFSET(E56,-1,0)))</f>
        <v>0</v>
      </c>
      <c r="F56">
        <f ca="1">IF(AND($A56&lt;=3,$A56&lt;&gt;0),0,IF($A56=4,OFFSET(F56,-1,0)+1,OFFSET(F56,-1,0)))</f>
        <v>0</v>
      </c>
      <c r="G56">
        <f ca="1">IF(AND($A56&lt;=4,$A56&lt;&gt;0),0,IF($A56="S",OFFSET(G56,-1,0)+1,OFFSET(G56,-1,0)))</f>
        <v>1</v>
      </c>
      <c r="H56">
        <f t="shared" ca="1" si="15"/>
        <v>0</v>
      </c>
      <c r="I56">
        <f t="shared" ca="1" si="16"/>
        <v>0</v>
      </c>
      <c r="J56" s="395" t="s">
        <v>103</v>
      </c>
      <c r="K56" s="162" t="str">
        <f ca="1">IF($A56=0,"-",CONCATENATE(C56&amp;".",IF(AND($A$5&gt;=2,$A56&gt;=2),D56&amp;".",""),IF(AND($A$5&gt;=3,$A56&gt;=3),E56&amp;".",""),IF(AND($A$5&gt;=4,$A56&gt;=4),F56&amp;".",""),IF($A56="S",G56&amp;".","")))</f>
        <v>1.8.0.1.</v>
      </c>
      <c r="L56" s="396" t="s">
        <v>257</v>
      </c>
      <c r="M56" s="396" t="s">
        <v>272</v>
      </c>
      <c r="N56" s="397" t="s">
        <v>318</v>
      </c>
      <c r="O56" s="398" t="s">
        <v>331</v>
      </c>
      <c r="P56" s="399">
        <v>91.2</v>
      </c>
      <c r="Q56" s="228"/>
      <c r="R56" s="231" t="s">
        <v>7</v>
      </c>
      <c r="S56" s="121">
        <f>IF($A56="S",IF($Q$10="Preço Unitário (R$)",PO.CustoUnitario,ROUND(PO.CustoUnitario*(1+$Z56),15-13*$X$6)),0)</f>
        <v>0</v>
      </c>
      <c r="T56" s="98">
        <f>IF($A56="S",VTOTAL1,IF($A56=0,0,ROUND(SomaAgrup,15-13*$X$7)))</f>
        <v>0</v>
      </c>
      <c r="U56" s="13" t="str">
        <f>IF($J56="","",IF($N56="","DESCRIÇÃO",IF(AND($J56="Serviço",$O56=""),"UNIDADE",IF($T56&lt;=0,"SEM VALOR",IF(AND($Y56&lt;&gt;"",$Q56&gt;$Y56),"ACIMA REF.","")))))</f>
        <v>SEM VALOR</v>
      </c>
      <c r="V56" s="4" t="str">
        <f ca="1">IF(OR($A56=0,$A56="S",$A56&gt;CFF!$A$9),"",MAX(V$12:OFFSET(V56,-1,0))+1)</f>
        <v/>
      </c>
      <c r="W56" s="9" t="str">
        <f>IF(AND($J56="Serviço",$M56&lt;&gt;""),IF($L56="",$M56,CONCATENATE($L56,"-",$M56)))</f>
        <v>COMPOSIÇÃO-009</v>
      </c>
      <c r="X56" s="4">
        <f ca="1">IF(AND(Fonte&lt;&gt;"",Código&lt;&gt;""),MATCH(Fonte&amp;" "&amp;IF(Fonte="sinapi",SUBSTITUTE(SUBSTITUTE(Código,"/00","/"),"/0","/"),Código),INDIRECT("'[Referência "&amp;_xlnm.Database&amp;".xls]Banco'!$a:$a"),0),"X")</f>
        <v>15</v>
      </c>
      <c r="Y56" s="121">
        <v>91.93</v>
      </c>
      <c r="Z56" s="132">
        <f ca="1">ROUND(IF(ISNUMBER(R56),R56,IF(LEFT(R56,3)="BDI",HLOOKUP(R56,DADOS!$T$37:$X$38,2,FALSE),0)),15-11*$X$5)</f>
        <v>0.20699999999999999</v>
      </c>
      <c r="AA56" s="4"/>
    </row>
    <row r="57" spans="1:27" x14ac:dyDescent="0.2">
      <c r="A57" t="str">
        <f>CHOOSE(1+LOG(1+2*(J57="Meta")+4*(J57="Nível 2")+8*(J57="Nível 3")+16*(J57="Nível 4")+32*(J57="Serviço"),2),0,1,2,3,4,"S")</f>
        <v>S</v>
      </c>
      <c r="B57">
        <f>IF(OR(A57="S",A57=0),0,IF(ISERROR(I57),H57,SMALL(H57:I57,1)))</f>
        <v>0</v>
      </c>
      <c r="C57">
        <f ca="1">IF($A57=1,OFFSET(C57,-1,0)+1,OFFSET(C57,-1,0))</f>
        <v>1</v>
      </c>
      <c r="D57">
        <f ca="1">IF($A57=1,0,IF($A57=2,OFFSET(D57,-1,0)+1,OFFSET(D57,-1,0)))</f>
        <v>8</v>
      </c>
      <c r="E57">
        <f ca="1">IF(AND($A57&lt;=2,$A57&lt;&gt;0),0,IF($A57=3,OFFSET(E57,-1,0)+1,OFFSET(E57,-1,0)))</f>
        <v>0</v>
      </c>
      <c r="F57">
        <f ca="1">IF(AND($A57&lt;=3,$A57&lt;&gt;0),0,IF($A57=4,OFFSET(F57,-1,0)+1,OFFSET(F57,-1,0)))</f>
        <v>0</v>
      </c>
      <c r="G57">
        <f ca="1">IF(AND($A57&lt;=4,$A57&lt;&gt;0),0,IF($A57="S",OFFSET(G57,-1,0)+1,OFFSET(G57,-1,0)))</f>
        <v>2</v>
      </c>
      <c r="H57">
        <f t="shared" ca="1" si="15"/>
        <v>0</v>
      </c>
      <c r="I57">
        <f t="shared" ca="1" si="16"/>
        <v>0</v>
      </c>
      <c r="J57" s="395" t="s">
        <v>103</v>
      </c>
      <c r="K57" s="162" t="str">
        <f ca="1">IF($A57=0,"-",CONCATENATE(C57&amp;".",IF(AND($A$5&gt;=2,$A57&gt;=2),D57&amp;".",""),IF(AND($A$5&gt;=3,$A57&gt;=3),E57&amp;".",""),IF(AND($A$5&gt;=4,$A57&gt;=4),F57&amp;".",""),IF($A57="S",G57&amp;".","")))</f>
        <v>1.8.0.2.</v>
      </c>
      <c r="L57" s="396" t="s">
        <v>257</v>
      </c>
      <c r="M57" s="396" t="s">
        <v>270</v>
      </c>
      <c r="N57" s="397" t="s">
        <v>317</v>
      </c>
      <c r="O57" s="398" t="s">
        <v>329</v>
      </c>
      <c r="P57" s="399">
        <v>127.5</v>
      </c>
      <c r="Q57" s="228"/>
      <c r="R57" s="231" t="s">
        <v>7</v>
      </c>
      <c r="S57" s="121">
        <f>IF($A57="S",IF($Q$10="Preço Unitário (R$)",PO.CustoUnitario,ROUND(PO.CustoUnitario*(1+$Z57),15-13*$X$6)),0)</f>
        <v>0</v>
      </c>
      <c r="T57" s="98">
        <f>IF($A57="S",VTOTAL1,IF($A57=0,0,ROUND(SomaAgrup,15-13*$X$7)))</f>
        <v>0</v>
      </c>
      <c r="U57" s="13" t="str">
        <f>IF($J57="","",IF($N57="","DESCRIÇÃO",IF(AND($J57="Serviço",$O57=""),"UNIDADE",IF($T57&lt;=0,"SEM VALOR",IF(AND($Y57&lt;&gt;"",$Q57&gt;$Y57),"ACIMA REF.","")))))</f>
        <v>SEM VALOR</v>
      </c>
      <c r="V57" s="4" t="str">
        <f ca="1">IF(OR($A57=0,$A57="S",$A57&gt;CFF!$A$9),"",MAX(V$12:OFFSET(V57,-1,0))+1)</f>
        <v/>
      </c>
      <c r="W57" s="9" t="str">
        <f>IF(AND($J57="Serviço",$M57&lt;&gt;""),IF($L57="",$M57,CONCATENATE($L57,"-",$M57)))</f>
        <v>COMPOSIÇÃO-007</v>
      </c>
      <c r="X57" s="4">
        <f ca="1">IF(AND(Fonte&lt;&gt;"",Código&lt;&gt;""),MATCH(Fonte&amp;" "&amp;IF(Fonte="sinapi",SUBSTITUTE(SUBSTITUTE(Código,"/00","/"),"/0","/"),Código),INDIRECT("'[Referência "&amp;_xlnm.Database&amp;".xls]Banco'!$a:$a"),0),"X")</f>
        <v>13</v>
      </c>
      <c r="Y57" s="121">
        <v>45.73</v>
      </c>
      <c r="Z57" s="132">
        <f ca="1">ROUND(IF(ISNUMBER(R57),R57,IF(LEFT(R57,3)="BDI",HLOOKUP(R57,DADOS!$T$37:$X$38,2,FALSE),0)),15-11*$X$5)</f>
        <v>0.20699999999999999</v>
      </c>
      <c r="AA57" s="4"/>
    </row>
    <row r="58" spans="1:27" x14ac:dyDescent="0.2">
      <c r="A58">
        <f t="shared" si="0"/>
        <v>2</v>
      </c>
      <c r="B58">
        <f t="shared" ca="1" si="1"/>
        <v>4</v>
      </c>
      <c r="C58">
        <f t="shared" ca="1" si="2"/>
        <v>1</v>
      </c>
      <c r="D58">
        <f t="shared" ca="1" si="3"/>
        <v>9</v>
      </c>
      <c r="E58">
        <f t="shared" ca="1" si="4"/>
        <v>0</v>
      </c>
      <c r="F58">
        <f t="shared" ca="1" si="5"/>
        <v>0</v>
      </c>
      <c r="G58">
        <f t="shared" ca="1" si="6"/>
        <v>0</v>
      </c>
      <c r="H58">
        <f t="shared" ca="1" si="15"/>
        <v>12</v>
      </c>
      <c r="I58">
        <f t="shared" ca="1" si="16"/>
        <v>4</v>
      </c>
      <c r="J58" s="395" t="s">
        <v>100</v>
      </c>
      <c r="K58" s="162" t="str">
        <f t="shared" ca="1" si="9"/>
        <v>1.9.</v>
      </c>
      <c r="L58" s="396"/>
      <c r="M58" s="396"/>
      <c r="N58" s="397" t="s">
        <v>253</v>
      </c>
      <c r="O58" s="398" t="s">
        <v>106</v>
      </c>
      <c r="P58" s="399"/>
      <c r="Q58" s="228"/>
      <c r="R58" s="231" t="s">
        <v>7</v>
      </c>
      <c r="S58" s="121">
        <f t="shared" si="10"/>
        <v>0</v>
      </c>
      <c r="T58" s="98">
        <f t="shared" ca="1" si="11"/>
        <v>0</v>
      </c>
      <c r="U58" s="13" t="str">
        <f t="shared" ca="1" si="12"/>
        <v>SEM VALOR</v>
      </c>
      <c r="V58" s="4">
        <f ca="1">IF(OR($A58=0,$A58="S",$A58&gt;CFF!$A$9),"",MAX(V$12:OFFSET(V58,-1,0))+1)</f>
        <v>10</v>
      </c>
      <c r="W58" s="9" t="b">
        <f t="shared" si="13"/>
        <v>0</v>
      </c>
      <c r="X58" s="4" t="str">
        <f t="shared" ca="1" si="14"/>
        <v>X</v>
      </c>
      <c r="Y58" s="121">
        <v>0</v>
      </c>
      <c r="Z58" s="132">
        <f ca="1">ROUND(IF(ISNUMBER(R58),R58,IF(LEFT(R58,3)="BDI",HLOOKUP(R58,DADOS!$T$37:$X$38,2,FALSE),0)),15-11*$X$5)</f>
        <v>0.20699999999999999</v>
      </c>
      <c r="AA58" s="4"/>
    </row>
    <row r="59" spans="1:27" ht="38.25" x14ac:dyDescent="0.2">
      <c r="A59" t="str">
        <f t="shared" si="0"/>
        <v>S</v>
      </c>
      <c r="B59">
        <f t="shared" si="1"/>
        <v>0</v>
      </c>
      <c r="C59">
        <f t="shared" ca="1" si="2"/>
        <v>1</v>
      </c>
      <c r="D59">
        <f t="shared" ca="1" si="3"/>
        <v>9</v>
      </c>
      <c r="E59">
        <f t="shared" ca="1" si="4"/>
        <v>0</v>
      </c>
      <c r="F59">
        <f t="shared" ca="1" si="5"/>
        <v>0</v>
      </c>
      <c r="G59">
        <f t="shared" ca="1" si="6"/>
        <v>1</v>
      </c>
      <c r="H59">
        <f t="shared" ca="1" si="15"/>
        <v>0</v>
      </c>
      <c r="I59">
        <f t="shared" ca="1" si="16"/>
        <v>0</v>
      </c>
      <c r="J59" s="395" t="s">
        <v>103</v>
      </c>
      <c r="K59" s="162" t="str">
        <f t="shared" ca="1" si="9"/>
        <v>1.9.0.1.</v>
      </c>
      <c r="L59" s="396" t="s">
        <v>231</v>
      </c>
      <c r="M59" s="396" t="s">
        <v>271</v>
      </c>
      <c r="N59" s="397" t="s">
        <v>319</v>
      </c>
      <c r="O59" s="398" t="s">
        <v>329</v>
      </c>
      <c r="P59" s="399">
        <v>43</v>
      </c>
      <c r="Q59" s="228"/>
      <c r="R59" s="231" t="s">
        <v>7</v>
      </c>
      <c r="S59" s="121">
        <f t="shared" si="10"/>
        <v>0</v>
      </c>
      <c r="T59" s="98">
        <f t="shared" si="11"/>
        <v>0</v>
      </c>
      <c r="U59" s="13" t="str">
        <f t="shared" si="12"/>
        <v>SEM VALOR</v>
      </c>
      <c r="V59" s="4" t="str">
        <f ca="1">IF(OR($A59=0,$A59="S",$A59&gt;CFF!$A$9),"",MAX(V$12:OFFSET(V59,-1,0))+1)</f>
        <v/>
      </c>
      <c r="W59" s="9" t="str">
        <f t="shared" si="13"/>
        <v>SINAPI-99837</v>
      </c>
      <c r="X59" s="4">
        <f t="shared" ca="1" si="14"/>
        <v>7018</v>
      </c>
      <c r="Y59" s="121">
        <v>698.99</v>
      </c>
      <c r="Z59" s="132">
        <f ca="1">ROUND(IF(ISNUMBER(R59),R59,IF(LEFT(R59,3)="BDI",HLOOKUP(R59,DADOS!$T$37:$X$38,2,FALSE),0)),15-11*$X$5)</f>
        <v>0.20699999999999999</v>
      </c>
      <c r="AA59" s="4"/>
    </row>
    <row r="60" spans="1:27" x14ac:dyDescent="0.2">
      <c r="A60" t="str">
        <f>CHOOSE(1+LOG(1+2*(J60="Meta")+4*(J60="Nível 2")+8*(J60="Nível 3")+16*(J60="Nível 4")+32*(J60="Serviço"),2),0,1,2,3,4,"S")</f>
        <v>S</v>
      </c>
      <c r="B60">
        <f>IF(OR(A60="S",A60=0),0,IF(ISERROR(I60),H60,SMALL(H60:I60,1)))</f>
        <v>0</v>
      </c>
      <c r="C60">
        <f ca="1">IF($A60=1,OFFSET(C60,-1,0)+1,OFFSET(C60,-1,0))</f>
        <v>1</v>
      </c>
      <c r="D60">
        <f ca="1">IF($A60=1,0,IF($A60=2,OFFSET(D60,-1,0)+1,OFFSET(D60,-1,0)))</f>
        <v>9</v>
      </c>
      <c r="E60">
        <f ca="1">IF(AND($A60&lt;=2,$A60&lt;&gt;0),0,IF($A60=3,OFFSET(E60,-1,0)+1,OFFSET(E60,-1,0)))</f>
        <v>0</v>
      </c>
      <c r="F60">
        <f ca="1">IF(AND($A60&lt;=3,$A60&lt;&gt;0),0,IF($A60=4,OFFSET(F60,-1,0)+1,OFFSET(F60,-1,0)))</f>
        <v>0</v>
      </c>
      <c r="G60">
        <f ca="1">IF(AND($A60&lt;=4,$A60&lt;&gt;0),0,IF($A60="S",OFFSET(G60,-1,0)+1,OFFSET(G60,-1,0)))</f>
        <v>2</v>
      </c>
      <c r="H60">
        <f t="shared" ca="1" si="15"/>
        <v>0</v>
      </c>
      <c r="I60">
        <f t="shared" ca="1" si="16"/>
        <v>0</v>
      </c>
      <c r="J60" s="395" t="s">
        <v>103</v>
      </c>
      <c r="K60" s="162" t="str">
        <f ca="1">IF($A60=0,"-",CONCATENATE(C60&amp;".",IF(AND($A$5&gt;=2,$A60&gt;=2),D60&amp;".",""),IF(AND($A$5&gt;=3,$A60&gt;=3),E60&amp;".",""),IF(AND($A$5&gt;=4,$A60&gt;=4),F60&amp;".",""),IF($A60="S",G60&amp;".","")))</f>
        <v>1.9.0.2.</v>
      </c>
      <c r="L60" s="396" t="s">
        <v>257</v>
      </c>
      <c r="M60" s="396" t="s">
        <v>273</v>
      </c>
      <c r="N60" s="397" t="s">
        <v>320</v>
      </c>
      <c r="O60" s="398" t="s">
        <v>329</v>
      </c>
      <c r="P60" s="399">
        <v>13.9</v>
      </c>
      <c r="Q60" s="228"/>
      <c r="R60" s="231" t="s">
        <v>7</v>
      </c>
      <c r="S60" s="121">
        <f>IF($A60="S",IF($Q$10="Preço Unitário (R$)",PO.CustoUnitario,ROUND(PO.CustoUnitario*(1+$Z60),15-13*$X$6)),0)</f>
        <v>0</v>
      </c>
      <c r="T60" s="98">
        <f>IF($A60="S",VTOTAL1,IF($A60=0,0,ROUND(SomaAgrup,15-13*$X$7)))</f>
        <v>0</v>
      </c>
      <c r="U60" s="13" t="str">
        <f>IF($J60="","",IF($N60="","DESCRIÇÃO",IF(AND($J60="Serviço",$O60=""),"UNIDADE",IF($T60&lt;=0,"SEM VALOR",IF(AND($Y60&lt;&gt;"",$Q60&gt;$Y60),"ACIMA REF.","")))))</f>
        <v>SEM VALOR</v>
      </c>
      <c r="V60" s="4" t="str">
        <f ca="1">IF(OR($A60=0,$A60="S",$A60&gt;CFF!$A$9),"",MAX(V$12:OFFSET(V60,-1,0))+1)</f>
        <v/>
      </c>
      <c r="W60" s="9" t="str">
        <f>IF(AND($J60="Serviço",$M60&lt;&gt;""),IF($L60="",$M60,CONCATENATE($L60,"-",$M60)))</f>
        <v>COMPOSIÇÃO-11</v>
      </c>
      <c r="X60" s="4">
        <f ca="1">IF(AND(Fonte&lt;&gt;"",Código&lt;&gt;""),MATCH(Fonte&amp;" "&amp;IF(Fonte="sinapi",SUBSTITUTE(SUBSTITUTE(Código,"/00","/"),"/0","/"),Código),INDIRECT("'[Referência "&amp;_xlnm.Database&amp;".xls]Banco'!$a:$a"),0),"X")</f>
        <v>16</v>
      </c>
      <c r="Y60" s="121">
        <v>151.72999999999999</v>
      </c>
      <c r="Z60" s="132">
        <f ca="1">ROUND(IF(ISNUMBER(R60),R60,IF(LEFT(R60,3)="BDI",HLOOKUP(R60,DADOS!$T$37:$X$38,2,FALSE),0)),15-11*$X$5)</f>
        <v>0.20699999999999999</v>
      </c>
      <c r="AA60" s="4"/>
    </row>
    <row r="61" spans="1:27" x14ac:dyDescent="0.2">
      <c r="A61" t="str">
        <f>CHOOSE(1+LOG(1+2*(J61="Meta")+4*(J61="Nível 2")+8*(J61="Nível 3")+16*(J61="Nível 4")+32*(J61="Serviço"),2),0,1,2,3,4,"S")</f>
        <v>S</v>
      </c>
      <c r="B61">
        <f>IF(OR(A61="S",A61=0),0,IF(ISERROR(I61),H61,SMALL(H61:I61,1)))</f>
        <v>0</v>
      </c>
      <c r="C61">
        <f ca="1">IF($A61=1,OFFSET(C61,-1,0)+1,OFFSET(C61,-1,0))</f>
        <v>1</v>
      </c>
      <c r="D61">
        <f ca="1">IF($A61=1,0,IF($A61=2,OFFSET(D61,-1,0)+1,OFFSET(D61,-1,0)))</f>
        <v>9</v>
      </c>
      <c r="E61">
        <f ca="1">IF(AND($A61&lt;=2,$A61&lt;&gt;0),0,IF($A61=3,OFFSET(E61,-1,0)+1,OFFSET(E61,-1,0)))</f>
        <v>0</v>
      </c>
      <c r="F61">
        <f ca="1">IF(AND($A61&lt;=3,$A61&lt;&gt;0),0,IF($A61=4,OFFSET(F61,-1,0)+1,OFFSET(F61,-1,0)))</f>
        <v>0</v>
      </c>
      <c r="G61">
        <f ca="1">IF(AND($A61&lt;=4,$A61&lt;&gt;0),0,IF($A61="S",OFFSET(G61,-1,0)+1,OFFSET(G61,-1,0)))</f>
        <v>3</v>
      </c>
      <c r="H61">
        <f t="shared" ca="1" si="15"/>
        <v>0</v>
      </c>
      <c r="I61">
        <f t="shared" ca="1" si="16"/>
        <v>0</v>
      </c>
      <c r="J61" s="395" t="s">
        <v>103</v>
      </c>
      <c r="K61" s="162" t="str">
        <f ca="1">IF($A61=0,"-",CONCATENATE(C61&amp;".",IF(AND($A$5&gt;=2,$A61&gt;=2),D61&amp;".",""),IF(AND($A$5&gt;=3,$A61&gt;=3),E61&amp;".",""),IF(AND($A$5&gt;=4,$A61&gt;=4),F61&amp;".",""),IF($A61="S",G61&amp;".","")))</f>
        <v>1.9.0.3.</v>
      </c>
      <c r="L61" s="396" t="s">
        <v>257</v>
      </c>
      <c r="M61" s="396" t="s">
        <v>274</v>
      </c>
      <c r="N61" s="397" t="s">
        <v>321</v>
      </c>
      <c r="O61" s="398" t="s">
        <v>329</v>
      </c>
      <c r="P61" s="399">
        <v>8.4</v>
      </c>
      <c r="Q61" s="228"/>
      <c r="R61" s="231" t="s">
        <v>7</v>
      </c>
      <c r="S61" s="121">
        <f>IF($A61="S",IF($Q$10="Preço Unitário (R$)",PO.CustoUnitario,ROUND(PO.CustoUnitario*(1+$Z61),15-13*$X$6)),0)</f>
        <v>0</v>
      </c>
      <c r="T61" s="98">
        <f>IF($A61="S",VTOTAL1,IF($A61=0,0,ROUND(SomaAgrup,15-13*$X$7)))</f>
        <v>0</v>
      </c>
      <c r="U61" s="13" t="str">
        <f>IF($J61="","",IF($N61="","DESCRIÇÃO",IF(AND($J61="Serviço",$O61=""),"UNIDADE",IF($T61&lt;=0,"SEM VALOR",IF(AND($Y61&lt;&gt;"",$Q61&gt;$Y61),"ACIMA REF.","")))))</f>
        <v>SEM VALOR</v>
      </c>
      <c r="V61" s="4" t="str">
        <f ca="1">IF(OR($A61=0,$A61="S",$A61&gt;CFF!$A$9),"",MAX(V$12:OFFSET(V61,-1,0))+1)</f>
        <v/>
      </c>
      <c r="W61" s="9" t="str">
        <f>IF(AND($J61="Serviço",$M61&lt;&gt;""),IF($L61="",$M61,CONCATENATE($L61,"-",$M61)))</f>
        <v>COMPOSIÇÃO-12</v>
      </c>
      <c r="X61" s="4">
        <f ca="1">IF(AND(Fonte&lt;&gt;"",Código&lt;&gt;""),MATCH(Fonte&amp;" "&amp;IF(Fonte="sinapi",SUBSTITUTE(SUBSTITUTE(Código,"/00","/"),"/0","/"),Código),INDIRECT("'[Referência "&amp;_xlnm.Database&amp;".xls]Banco'!$a:$a"),0),"X")</f>
        <v>17</v>
      </c>
      <c r="Y61" s="121">
        <v>91.38</v>
      </c>
      <c r="Z61" s="132">
        <f ca="1">ROUND(IF(ISNUMBER(R61),R61,IF(LEFT(R61,3)="BDI",HLOOKUP(R61,DADOS!$T$37:$X$38,2,FALSE),0)),15-11*$X$5)</f>
        <v>0.20699999999999999</v>
      </c>
      <c r="AA61" s="4"/>
    </row>
    <row r="62" spans="1:27" x14ac:dyDescent="0.2">
      <c r="A62">
        <f t="shared" si="0"/>
        <v>2</v>
      </c>
      <c r="B62">
        <f t="shared" ca="1" si="1"/>
        <v>5</v>
      </c>
      <c r="C62">
        <f t="shared" ca="1" si="2"/>
        <v>1</v>
      </c>
      <c r="D62">
        <f t="shared" ca="1" si="3"/>
        <v>10</v>
      </c>
      <c r="E62">
        <f t="shared" ca="1" si="4"/>
        <v>0</v>
      </c>
      <c r="F62">
        <f t="shared" ca="1" si="5"/>
        <v>0</v>
      </c>
      <c r="G62">
        <f t="shared" ca="1" si="6"/>
        <v>0</v>
      </c>
      <c r="H62">
        <f t="shared" ca="1" si="15"/>
        <v>8</v>
      </c>
      <c r="I62">
        <f t="shared" ca="1" si="16"/>
        <v>5</v>
      </c>
      <c r="J62" s="395" t="s">
        <v>100</v>
      </c>
      <c r="K62" s="162" t="str">
        <f t="shared" ca="1" si="9"/>
        <v>1.10.</v>
      </c>
      <c r="L62" s="396"/>
      <c r="M62" s="396"/>
      <c r="N62" s="397" t="s">
        <v>234</v>
      </c>
      <c r="O62" s="398" t="s">
        <v>106</v>
      </c>
      <c r="P62" s="399"/>
      <c r="Q62" s="228"/>
      <c r="R62" s="231" t="s">
        <v>7</v>
      </c>
      <c r="S62" s="121">
        <f t="shared" si="10"/>
        <v>0</v>
      </c>
      <c r="T62" s="98">
        <f t="shared" ca="1" si="11"/>
        <v>0</v>
      </c>
      <c r="U62" s="13" t="str">
        <f t="shared" ca="1" si="12"/>
        <v>SEM VALOR</v>
      </c>
      <c r="V62" s="4">
        <f ca="1">IF(OR($A62=0,$A62="S",$A62&gt;CFF!$A$9),"",MAX(V$12:OFFSET(V62,-1,0))+1)</f>
        <v>11</v>
      </c>
      <c r="W62" s="9" t="b">
        <f t="shared" si="13"/>
        <v>0</v>
      </c>
      <c r="X62" s="4" t="str">
        <f t="shared" ca="1" si="14"/>
        <v>X</v>
      </c>
      <c r="Y62" s="121">
        <v>0</v>
      </c>
      <c r="Z62" s="132">
        <f ca="1">ROUND(IF(ISNUMBER(R62),R62,IF(LEFT(R62,3)="BDI",HLOOKUP(R62,DADOS!$T$37:$X$38,2,FALSE),0)),15-11*$X$5)</f>
        <v>0.20699999999999999</v>
      </c>
      <c r="AA62" s="4"/>
    </row>
    <row r="63" spans="1:27" ht="25.5" x14ac:dyDescent="0.2">
      <c r="A63" t="str">
        <f>CHOOSE(1+LOG(1+2*(J63="Meta")+4*(J63="Nível 2")+8*(J63="Nível 3")+16*(J63="Nível 4")+32*(J63="Serviço"),2),0,1,2,3,4,"S")</f>
        <v>S</v>
      </c>
      <c r="B63">
        <f>IF(OR(A63="S",A63=0),0,IF(ISERROR(I63),H63,SMALL(H63:I63,1)))</f>
        <v>0</v>
      </c>
      <c r="C63">
        <f ca="1">IF($A63=1,OFFSET(C63,-1,0)+1,OFFSET(C63,-1,0))</f>
        <v>1</v>
      </c>
      <c r="D63">
        <f ca="1">IF($A63=1,0,IF($A63=2,OFFSET(D63,-1,0)+1,OFFSET(D63,-1,0)))</f>
        <v>10</v>
      </c>
      <c r="E63">
        <f ca="1">IF(AND($A63&lt;=2,$A63&lt;&gt;0),0,IF($A63=3,OFFSET(E63,-1,0)+1,OFFSET(E63,-1,0)))</f>
        <v>0</v>
      </c>
      <c r="F63">
        <f ca="1">IF(AND($A63&lt;=3,$A63&lt;&gt;0),0,IF($A63=4,OFFSET(F63,-1,0)+1,OFFSET(F63,-1,0)))</f>
        <v>0</v>
      </c>
      <c r="G63">
        <f ca="1">IF(AND($A63&lt;=4,$A63&lt;&gt;0),0,IF($A63="S",OFFSET(G63,-1,0)+1,OFFSET(G63,-1,0)))</f>
        <v>1</v>
      </c>
      <c r="H63">
        <f t="shared" ca="1" si="15"/>
        <v>0</v>
      </c>
      <c r="I63">
        <f t="shared" ca="1" si="16"/>
        <v>0</v>
      </c>
      <c r="J63" s="395" t="s">
        <v>103</v>
      </c>
      <c r="K63" s="162" t="str">
        <f ca="1">IF($A63=0,"-",CONCATENATE(C63&amp;".",IF(AND($A$5&gt;=2,$A63&gt;=2),D63&amp;".",""),IF(AND($A$5&gt;=3,$A63&gt;=3),E63&amp;".",""),IF(AND($A$5&gt;=4,$A63&gt;=4),F63&amp;".",""),IF($A63="S",G63&amp;".","")))</f>
        <v>1.10.0.1.</v>
      </c>
      <c r="L63" s="396" t="s">
        <v>231</v>
      </c>
      <c r="M63" s="396" t="s">
        <v>252</v>
      </c>
      <c r="N63" s="397" t="s">
        <v>322</v>
      </c>
      <c r="O63" s="398" t="s">
        <v>331</v>
      </c>
      <c r="P63" s="399">
        <v>345.77</v>
      </c>
      <c r="Q63" s="228"/>
      <c r="R63" s="231" t="s">
        <v>7</v>
      </c>
      <c r="S63" s="121">
        <f>IF($A63="S",IF($Q$10="Preço Unitário (R$)",PO.CustoUnitario,ROUND(PO.CustoUnitario*(1+$Z63),15-13*$X$6)),0)</f>
        <v>0</v>
      </c>
      <c r="T63" s="98">
        <f>IF($A63="S",VTOTAL1,IF($A63=0,0,ROUND(SomaAgrup,15-13*$X$7)))</f>
        <v>0</v>
      </c>
      <c r="U63" s="13" t="str">
        <f>IF($J63="","",IF($N63="","DESCRIÇÃO",IF(AND($J63="Serviço",$O63=""),"UNIDADE",IF($T63&lt;=0,"SEM VALOR",IF(AND($Y63&lt;&gt;"",$Q63&gt;$Y63),"ACIMA REF.","")))))</f>
        <v>SEM VALOR</v>
      </c>
      <c r="V63" s="4" t="str">
        <f ca="1">IF(OR($A63=0,$A63="S",$A63&gt;CFF!$A$9),"",MAX(V$12:OFFSET(V63,-1,0))+1)</f>
        <v/>
      </c>
      <c r="W63" s="9" t="str">
        <f>IF(AND($J63="Serviço",$M63&lt;&gt;""),IF($L63="",$M63,CONCATENATE($L63,"-",$M63)))</f>
        <v>SINAPI-102491</v>
      </c>
      <c r="X63" s="4">
        <f ca="1">IF(AND(Fonte&lt;&gt;"",Código&lt;&gt;""),MATCH(Fonte&amp;" "&amp;IF(Fonte="sinapi",SUBSTITUTE(SUBSTITUTE(Código,"/00","/"),"/0","/"),Código),INDIRECT("'[Referência "&amp;_xlnm.Database&amp;".xls]Banco'!$a:$a"),0),"X")</f>
        <v>11040</v>
      </c>
      <c r="Y63" s="121">
        <v>24.06</v>
      </c>
      <c r="Z63" s="132">
        <f ca="1">ROUND(IF(ISNUMBER(R63),R63,IF(LEFT(R63,3)="BDI",HLOOKUP(R63,DADOS!$T$37:$X$38,2,FALSE),0)),15-11*$X$5)</f>
        <v>0.20699999999999999</v>
      </c>
      <c r="AA63" s="4"/>
    </row>
    <row r="64" spans="1:27" x14ac:dyDescent="0.2">
      <c r="A64" t="str">
        <f>CHOOSE(1+LOG(1+2*(J64="Meta")+4*(J64="Nível 2")+8*(J64="Nível 3")+16*(J64="Nível 4")+32*(J64="Serviço"),2),0,1,2,3,4,"S")</f>
        <v>S</v>
      </c>
      <c r="B64">
        <f>IF(OR(A64="S",A64=0),0,IF(ISERROR(I64),H64,SMALL(H64:I64,1)))</f>
        <v>0</v>
      </c>
      <c r="C64">
        <f ca="1">IF($A64=1,OFFSET(C64,-1,0)+1,OFFSET(C64,-1,0))</f>
        <v>1</v>
      </c>
      <c r="D64">
        <f ca="1">IF($A64=1,0,IF($A64=2,OFFSET(D64,-1,0)+1,OFFSET(D64,-1,0)))</f>
        <v>10</v>
      </c>
      <c r="E64">
        <f ca="1">IF(AND($A64&lt;=2,$A64&lt;&gt;0),0,IF($A64=3,OFFSET(E64,-1,0)+1,OFFSET(E64,-1,0)))</f>
        <v>0</v>
      </c>
      <c r="F64">
        <f ca="1">IF(AND($A64&lt;=3,$A64&lt;&gt;0),0,IF($A64=4,OFFSET(F64,-1,0)+1,OFFSET(F64,-1,0)))</f>
        <v>0</v>
      </c>
      <c r="G64">
        <f ca="1">IF(AND($A64&lt;=4,$A64&lt;&gt;0),0,IF($A64="S",OFFSET(G64,-1,0)+1,OFFSET(G64,-1,0)))</f>
        <v>2</v>
      </c>
      <c r="H64">
        <f t="shared" ca="1" si="15"/>
        <v>0</v>
      </c>
      <c r="I64">
        <f t="shared" ca="1" si="16"/>
        <v>0</v>
      </c>
      <c r="J64" s="395" t="s">
        <v>103</v>
      </c>
      <c r="K64" s="162" t="str">
        <f ca="1">IF($A64=0,"-",CONCATENATE(C64&amp;".",IF(AND($A$5&gt;=2,$A64&gt;=2),D64&amp;".",""),IF(AND($A$5&gt;=3,$A64&gt;=3),E64&amp;".",""),IF(AND($A$5&gt;=4,$A64&gt;=4),F64&amp;".",""),IF($A64="S",G64&amp;".","")))</f>
        <v>1.10.0.2.</v>
      </c>
      <c r="L64" s="396" t="s">
        <v>231</v>
      </c>
      <c r="M64" s="396" t="s">
        <v>275</v>
      </c>
      <c r="N64" s="397" t="s">
        <v>323</v>
      </c>
      <c r="O64" s="398" t="s">
        <v>331</v>
      </c>
      <c r="P64" s="399">
        <v>60.08</v>
      </c>
      <c r="Q64" s="228"/>
      <c r="R64" s="231" t="s">
        <v>7</v>
      </c>
      <c r="S64" s="121">
        <f>IF($A64="S",IF($Q$10="Preço Unitário (R$)",PO.CustoUnitario,ROUND(PO.CustoUnitario*(1+$Z64),15-13*$X$6)),0)</f>
        <v>0</v>
      </c>
      <c r="T64" s="98">
        <f>IF($A64="S",VTOTAL1,IF($A64=0,0,ROUND(SomaAgrup,15-13*$X$7)))</f>
        <v>0</v>
      </c>
      <c r="U64" s="13" t="str">
        <f>IF($J64="","",IF($N64="","DESCRIÇÃO",IF(AND($J64="Serviço",$O64=""),"UNIDADE",IF($T64&lt;=0,"SEM VALOR",IF(AND($Y64&lt;&gt;"",$Q64&gt;$Y64),"ACIMA REF.","")))))</f>
        <v>SEM VALOR</v>
      </c>
      <c r="V64" s="4" t="str">
        <f ca="1">IF(OR($A64=0,$A64="S",$A64&gt;CFF!$A$9),"",MAX(V$12:OFFSET(V64,-1,0))+1)</f>
        <v/>
      </c>
      <c r="W64" s="9" t="str">
        <f>IF(AND($J64="Serviço",$M64&lt;&gt;""),IF($L64="",$M64,CONCATENATE($L64,"-",$M64)))</f>
        <v>SINAPI-88485</v>
      </c>
      <c r="X64" s="4">
        <f ca="1">IF(AND(Fonte&lt;&gt;"",Código&lt;&gt;""),MATCH(Fonte&amp;" "&amp;IF(Fonte="sinapi",SUBSTITUTE(SUBSTITUTE(Código,"/00","/"),"/0","/"),Código),INDIRECT("'[Referência "&amp;_xlnm.Database&amp;".xls]Banco'!$a:$a"),0),"X")</f>
        <v>10944</v>
      </c>
      <c r="Y64" s="121">
        <v>3.32</v>
      </c>
      <c r="Z64" s="132">
        <f ca="1">ROUND(IF(ISNUMBER(R64),R64,IF(LEFT(R64,3)="BDI",HLOOKUP(R64,DADOS!$T$37:$X$38,2,FALSE),0)),15-11*$X$5)</f>
        <v>0.20699999999999999</v>
      </c>
      <c r="AA64" s="4"/>
    </row>
    <row r="65" spans="1:27" x14ac:dyDescent="0.2">
      <c r="A65" t="str">
        <f>CHOOSE(1+LOG(1+2*(J65="Meta")+4*(J65="Nível 2")+8*(J65="Nível 3")+16*(J65="Nível 4")+32*(J65="Serviço"),2),0,1,2,3,4,"S")</f>
        <v>S</v>
      </c>
      <c r="B65">
        <f>IF(OR(A65="S",A65=0),0,IF(ISERROR(I65),H65,SMALL(H65:I65,1)))</f>
        <v>0</v>
      </c>
      <c r="C65">
        <f ca="1">IF($A65=1,OFFSET(C65,-1,0)+1,OFFSET(C65,-1,0))</f>
        <v>1</v>
      </c>
      <c r="D65">
        <f ca="1">IF($A65=1,0,IF($A65=2,OFFSET(D65,-1,0)+1,OFFSET(D65,-1,0)))</f>
        <v>10</v>
      </c>
      <c r="E65">
        <f ca="1">IF(AND($A65&lt;=2,$A65&lt;&gt;0),0,IF($A65=3,OFFSET(E65,-1,0)+1,OFFSET(E65,-1,0)))</f>
        <v>0</v>
      </c>
      <c r="F65">
        <f ca="1">IF(AND($A65&lt;=3,$A65&lt;&gt;0),0,IF($A65=4,OFFSET(F65,-1,0)+1,OFFSET(F65,-1,0)))</f>
        <v>0</v>
      </c>
      <c r="G65">
        <f ca="1">IF(AND($A65&lt;=4,$A65&lt;&gt;0),0,IF($A65="S",OFFSET(G65,-1,0)+1,OFFSET(G65,-1,0)))</f>
        <v>3</v>
      </c>
      <c r="H65">
        <f t="shared" ca="1" si="15"/>
        <v>0</v>
      </c>
      <c r="I65">
        <f t="shared" ca="1" si="16"/>
        <v>0</v>
      </c>
      <c r="J65" s="395" t="s">
        <v>103</v>
      </c>
      <c r="K65" s="162" t="str">
        <f ca="1">IF($A65=0,"-",CONCATENATE(C65&amp;".",IF(AND($A$5&gt;=2,$A65&gt;=2),D65&amp;".",""),IF(AND($A$5&gt;=3,$A65&gt;=3),E65&amp;".",""),IF(AND($A$5&gt;=4,$A65&gt;=4),F65&amp;".",""),IF($A65="S",G65&amp;".","")))</f>
        <v>1.10.0.3.</v>
      </c>
      <c r="L65" s="396" t="s">
        <v>231</v>
      </c>
      <c r="M65" s="396" t="s">
        <v>276</v>
      </c>
      <c r="N65" s="397" t="s">
        <v>324</v>
      </c>
      <c r="O65" s="398" t="s">
        <v>331</v>
      </c>
      <c r="P65" s="399">
        <v>60.08</v>
      </c>
      <c r="Q65" s="228"/>
      <c r="R65" s="231" t="s">
        <v>7</v>
      </c>
      <c r="S65" s="121">
        <f>IF($A65="S",IF($Q$10="Preço Unitário (R$)",PO.CustoUnitario,ROUND(PO.CustoUnitario*(1+$Z65),15-13*$X$6)),0)</f>
        <v>0</v>
      </c>
      <c r="T65" s="98">
        <f>IF($A65="S",VTOTAL1,IF($A65=0,0,ROUND(SomaAgrup,15-13*$X$7)))</f>
        <v>0</v>
      </c>
      <c r="U65" s="13" t="str">
        <f>IF($J65="","",IF($N65="","DESCRIÇÃO",IF(AND($J65="Serviço",$O65=""),"UNIDADE",IF($T65&lt;=0,"SEM VALOR",IF(AND($Y65&lt;&gt;"",$Q65&gt;$Y65),"ACIMA REF.","")))))</f>
        <v>SEM VALOR</v>
      </c>
      <c r="V65" s="4" t="str">
        <f ca="1">IF(OR($A65=0,$A65="S",$A65&gt;CFF!$A$9),"",MAX(V$12:OFFSET(V65,-1,0))+1)</f>
        <v/>
      </c>
      <c r="W65" s="9" t="str">
        <f>IF(AND($J65="Serviço",$M65&lt;&gt;""),IF($L65="",$M65,CONCATENATE($L65,"-",$M65)))</f>
        <v>SINAPI-88489</v>
      </c>
      <c r="X65" s="4">
        <f ca="1">IF(AND(Fonte&lt;&gt;"",Código&lt;&gt;""),MATCH(Fonte&amp;" "&amp;IF(Fonte="sinapi",SUBSTITUTE(SUBSTITUTE(Código,"/00","/"),"/0","/"),Código),INDIRECT("'[Referência "&amp;_xlnm.Database&amp;".xls]Banco'!$a:$a"),0),"X")</f>
        <v>10946</v>
      </c>
      <c r="Y65" s="121">
        <v>19.75</v>
      </c>
      <c r="Z65" s="132">
        <f ca="1">ROUND(IF(ISNUMBER(R65),R65,IF(LEFT(R65,3)="BDI",HLOOKUP(R65,DADOS!$T$37:$X$38,2,FALSE),0)),15-11*$X$5)</f>
        <v>0.20699999999999999</v>
      </c>
      <c r="AA65" s="4"/>
    </row>
    <row r="66" spans="1:27" ht="25.5" x14ac:dyDescent="0.2">
      <c r="A66" t="str">
        <f>CHOOSE(1+LOG(1+2*(J66="Meta")+4*(J66="Nível 2")+8*(J66="Nível 3")+16*(J66="Nível 4")+32*(J66="Serviço"),2),0,1,2,3,4,"S")</f>
        <v>S</v>
      </c>
      <c r="B66">
        <f>IF(OR(A66="S",A66=0),0,IF(ISERROR(I66),H66,SMALL(H66:I66,1)))</f>
        <v>0</v>
      </c>
      <c r="C66">
        <f ca="1">IF($A66=1,OFFSET(C66,-1,0)+1,OFFSET(C66,-1,0))</f>
        <v>1</v>
      </c>
      <c r="D66">
        <f ca="1">IF($A66=1,0,IF($A66=2,OFFSET(D66,-1,0)+1,OFFSET(D66,-1,0)))</f>
        <v>10</v>
      </c>
      <c r="E66">
        <f ca="1">IF(AND($A66&lt;=2,$A66&lt;&gt;0),0,IF($A66=3,OFFSET(E66,-1,0)+1,OFFSET(E66,-1,0)))</f>
        <v>0</v>
      </c>
      <c r="F66">
        <f ca="1">IF(AND($A66&lt;=3,$A66&lt;&gt;0),0,IF($A66=4,OFFSET(F66,-1,0)+1,OFFSET(F66,-1,0)))</f>
        <v>0</v>
      </c>
      <c r="G66">
        <f ca="1">IF(AND($A66&lt;=4,$A66&lt;&gt;0),0,IF($A66="S",OFFSET(G66,-1,0)+1,OFFSET(G66,-1,0)))</f>
        <v>4</v>
      </c>
      <c r="H66">
        <f ca="1">IF(OR($A66="S",$A66=0),0,MATCH(0,OFFSET($B66,1,$A66,ROW($A$70)-ROW($A66)),0))</f>
        <v>0</v>
      </c>
      <c r="I66">
        <f ca="1">IF(OR($A66="S",$A66=0),0,MATCH(OFFSET($B66,0,$A66)+1,OFFSET($B66,1,$A66,ROW($A$70)-ROW($A66)),0))</f>
        <v>0</v>
      </c>
      <c r="J66" s="395" t="s">
        <v>103</v>
      </c>
      <c r="K66" s="162" t="str">
        <f ca="1">IF($A66=0,"-",CONCATENATE(C66&amp;".",IF(AND($A$5&gt;=2,$A66&gt;=2),D66&amp;".",""),IF(AND($A$5&gt;=3,$A66&gt;=3),E66&amp;".",""),IF(AND($A$5&gt;=4,$A66&gt;=4),F66&amp;".",""),IF($A66="S",G66&amp;".","")))</f>
        <v>1.10.0.4.</v>
      </c>
      <c r="L66" s="396" t="s">
        <v>231</v>
      </c>
      <c r="M66" s="396" t="s">
        <v>292</v>
      </c>
      <c r="N66" s="397" t="s">
        <v>325</v>
      </c>
      <c r="O66" s="398" t="s">
        <v>331</v>
      </c>
      <c r="P66" s="399">
        <v>36.83</v>
      </c>
      <c r="Q66" s="228"/>
      <c r="R66" s="231" t="s">
        <v>7</v>
      </c>
      <c r="S66" s="121">
        <f>IF($A66="S",IF($Q$10="Preço Unitário (R$)",PO.CustoUnitario,ROUND(PO.CustoUnitario*(1+$Z66),15-13*$X$6)),0)</f>
        <v>0</v>
      </c>
      <c r="T66" s="98">
        <f>IF($A66="S",VTOTAL1,IF($A66=0,0,ROUND(SomaAgrup,15-13*$X$7)))</f>
        <v>0</v>
      </c>
      <c r="U66" s="13" t="str">
        <f>IF($J66="","",IF($N66="","DESCRIÇÃO",IF(AND($J66="Serviço",$O66=""),"UNIDADE",IF($T66&lt;=0,"SEM VALOR",IF(AND($Y66&lt;&gt;"",$Q66&gt;$Y66),"ACIMA REF.","")))))</f>
        <v>SEM VALOR</v>
      </c>
      <c r="V66" s="4" t="str">
        <f ca="1">IF(OR($A66=0,$A66="S",$A66&gt;CFF!$A$9),"",MAX(V$12:OFFSET(V66,-1,0))+1)</f>
        <v/>
      </c>
      <c r="W66" s="9" t="str">
        <f>IF(AND($J66="Serviço",$M66&lt;&gt;""),IF($L66="",$M66,CONCATENATE($L66,"-",$M66)))</f>
        <v>SINAPI-100757</v>
      </c>
      <c r="X66" s="4">
        <f ca="1">IF(AND(Fonte&lt;&gt;"",Código&lt;&gt;""),MATCH(Fonte&amp;" "&amp;IF(Fonte="sinapi",SUBSTITUTE(SUBSTITUTE(Código,"/00","/"),"/0","/"),Código),INDIRECT("'[Referência "&amp;_xlnm.Database&amp;".xls]Banco'!$a:$a"),0),"X")</f>
        <v>11032</v>
      </c>
      <c r="Y66" s="121">
        <v>57.85</v>
      </c>
      <c r="Z66" s="132">
        <f ca="1">ROUND(IF(ISNUMBER(R66),R66,IF(LEFT(R66,3)="BDI",HLOOKUP(R66,DADOS!$T$37:$X$38,2,FALSE),0)),15-11*$X$5)</f>
        <v>0.20699999999999999</v>
      </c>
      <c r="AA66" s="4"/>
    </row>
    <row r="67" spans="1:27" x14ac:dyDescent="0.2">
      <c r="A67">
        <f t="shared" si="0"/>
        <v>2</v>
      </c>
      <c r="B67">
        <f t="shared" ca="1" si="1"/>
        <v>3</v>
      </c>
      <c r="C67">
        <f t="shared" ca="1" si="2"/>
        <v>1</v>
      </c>
      <c r="D67">
        <f t="shared" ca="1" si="3"/>
        <v>11</v>
      </c>
      <c r="E67">
        <f t="shared" ca="1" si="4"/>
        <v>0</v>
      </c>
      <c r="F67">
        <f t="shared" ca="1" si="5"/>
        <v>0</v>
      </c>
      <c r="G67">
        <f t="shared" ca="1" si="6"/>
        <v>0</v>
      </c>
      <c r="H67">
        <f t="shared" ca="1" si="15"/>
        <v>3</v>
      </c>
      <c r="I67" t="e">
        <f t="shared" ca="1" si="16"/>
        <v>#N/A</v>
      </c>
      <c r="J67" s="395" t="s">
        <v>100</v>
      </c>
      <c r="K67" s="162" t="str">
        <f t="shared" ca="1" si="9"/>
        <v>1.11.</v>
      </c>
      <c r="L67" s="396"/>
      <c r="M67" s="396"/>
      <c r="N67" s="397" t="s">
        <v>242</v>
      </c>
      <c r="O67" s="398" t="s">
        <v>106</v>
      </c>
      <c r="P67" s="399"/>
      <c r="Q67" s="228"/>
      <c r="R67" s="231" t="s">
        <v>7</v>
      </c>
      <c r="S67" s="121">
        <f t="shared" si="10"/>
        <v>0</v>
      </c>
      <c r="T67" s="98">
        <f t="shared" ca="1" si="11"/>
        <v>0</v>
      </c>
      <c r="U67" s="13" t="str">
        <f t="shared" ca="1" si="12"/>
        <v>SEM VALOR</v>
      </c>
      <c r="V67" s="4">
        <f ca="1">IF(OR($A67=0,$A67="S",$A67&gt;CFF!$A$9),"",MAX(V$12:OFFSET(V67,-1,0))+1)</f>
        <v>12</v>
      </c>
      <c r="W67" s="9" t="b">
        <f t="shared" si="13"/>
        <v>0</v>
      </c>
      <c r="X67" s="4" t="str">
        <f t="shared" ca="1" si="14"/>
        <v>X</v>
      </c>
      <c r="Y67" s="121">
        <v>0</v>
      </c>
      <c r="Z67" s="132">
        <f ca="1">ROUND(IF(ISNUMBER(R67),R67,IF(LEFT(R67,3)="BDI",HLOOKUP(R67,DADOS!$T$37:$X$38,2,FALSE),0)),15-11*$X$5)</f>
        <v>0.20699999999999999</v>
      </c>
      <c r="AA67" s="4"/>
    </row>
    <row r="68" spans="1:27" x14ac:dyDescent="0.2">
      <c r="A68" t="str">
        <f t="shared" si="0"/>
        <v>S</v>
      </c>
      <c r="B68">
        <f t="shared" si="1"/>
        <v>0</v>
      </c>
      <c r="C68">
        <f t="shared" ca="1" si="2"/>
        <v>1</v>
      </c>
      <c r="D68">
        <f t="shared" ca="1" si="3"/>
        <v>11</v>
      </c>
      <c r="E68">
        <f t="shared" ca="1" si="4"/>
        <v>0</v>
      </c>
      <c r="F68">
        <f t="shared" ca="1" si="5"/>
        <v>0</v>
      </c>
      <c r="G68">
        <f t="shared" ca="1" si="6"/>
        <v>1</v>
      </c>
      <c r="H68">
        <f t="shared" ca="1" si="15"/>
        <v>0</v>
      </c>
      <c r="I68">
        <f t="shared" ca="1" si="16"/>
        <v>0</v>
      </c>
      <c r="J68" s="395" t="s">
        <v>103</v>
      </c>
      <c r="K68" s="162" t="str">
        <f t="shared" ca="1" si="9"/>
        <v>1.11.0.1.</v>
      </c>
      <c r="L68" s="396" t="s">
        <v>257</v>
      </c>
      <c r="M68" s="396" t="s">
        <v>269</v>
      </c>
      <c r="N68" s="397" t="s">
        <v>326</v>
      </c>
      <c r="O68" s="398" t="s">
        <v>331</v>
      </c>
      <c r="P68" s="399">
        <v>345.77</v>
      </c>
      <c r="Q68" s="228"/>
      <c r="R68" s="231" t="s">
        <v>7</v>
      </c>
      <c r="S68" s="121">
        <f t="shared" si="10"/>
        <v>0</v>
      </c>
      <c r="T68" s="98">
        <f t="shared" si="11"/>
        <v>0</v>
      </c>
      <c r="U68" s="13" t="str">
        <f t="shared" si="12"/>
        <v>SEM VALOR</v>
      </c>
      <c r="V68" s="4" t="str">
        <f ca="1">IF(OR($A68=0,$A68="S",$A68&gt;CFF!$A$9),"",MAX(V$12:OFFSET(V68,-1,0))+1)</f>
        <v/>
      </c>
      <c r="W68" s="9" t="str">
        <f t="shared" si="13"/>
        <v>COMPOSIÇÃO-008</v>
      </c>
      <c r="X68" s="4">
        <f t="shared" ca="1" si="14"/>
        <v>14</v>
      </c>
      <c r="Y68" s="121">
        <v>4.24</v>
      </c>
      <c r="Z68" s="132">
        <f ca="1">ROUND(IF(ISNUMBER(R68),R68,IF(LEFT(R68,3)="BDI",HLOOKUP(R68,DADOS!$T$37:$X$38,2,FALSE),0)),15-11*$X$5)</f>
        <v>0.20699999999999999</v>
      </c>
      <c r="AA68" s="4"/>
    </row>
    <row r="69" spans="1:27" x14ac:dyDescent="0.2">
      <c r="A69" t="str">
        <f>CHOOSE(1+LOG(1+2*(J69="Meta")+4*(J69="Nível 2")+8*(J69="Nível 3")+16*(J69="Nível 4")+32*(J69="Serviço"),2),0,1,2,3,4,"S")</f>
        <v>S</v>
      </c>
      <c r="B69">
        <f>IF(OR(A69="S",A69=0),0,IF(ISERROR(I69),H69,SMALL(H69:I69,1)))</f>
        <v>0</v>
      </c>
      <c r="C69">
        <f ca="1">IF($A69=1,OFFSET(C69,-1,0)+1,OFFSET(C69,-1,0))</f>
        <v>1</v>
      </c>
      <c r="D69">
        <f ca="1">IF($A69=1,0,IF($A69=2,OFFSET(D69,-1,0)+1,OFFSET(D69,-1,0)))</f>
        <v>11</v>
      </c>
      <c r="E69">
        <f ca="1">IF(AND($A69&lt;=2,$A69&lt;&gt;0),0,IF($A69=3,OFFSET(E69,-1,0)+1,OFFSET(E69,-1,0)))</f>
        <v>0</v>
      </c>
      <c r="F69">
        <f ca="1">IF(AND($A69&lt;=3,$A69&lt;&gt;0),0,IF($A69=4,OFFSET(F69,-1,0)+1,OFFSET(F69,-1,0)))</f>
        <v>0</v>
      </c>
      <c r="G69">
        <f ca="1">IF(AND($A69&lt;=4,$A69&lt;&gt;0),0,IF($A69="S",OFFSET(G69,-1,0)+1,OFFSET(G69,-1,0)))</f>
        <v>2</v>
      </c>
      <c r="H69">
        <f t="shared" ca="1" si="15"/>
        <v>0</v>
      </c>
      <c r="I69">
        <f t="shared" ca="1" si="16"/>
        <v>0</v>
      </c>
      <c r="J69" s="395" t="s">
        <v>103</v>
      </c>
      <c r="K69" s="162" t="str">
        <f ca="1">IF($A69=0,"-",CONCATENATE(C69&amp;".",IF(AND($A$5&gt;=2,$A69&gt;=2),D69&amp;".",""),IF(AND($A$5&gt;=3,$A69&gt;=3),E69&amp;".",""),IF(AND($A$5&gt;=4,$A69&gt;=4),F69&amp;".",""),IF($A69="S",G69&amp;".","")))</f>
        <v>1.11.0.2.</v>
      </c>
      <c r="L69" s="396" t="s">
        <v>231</v>
      </c>
      <c r="M69" s="396" t="s">
        <v>283</v>
      </c>
      <c r="N69" s="397" t="s">
        <v>327</v>
      </c>
      <c r="O69" s="398" t="s">
        <v>331</v>
      </c>
      <c r="P69" s="399">
        <v>10</v>
      </c>
      <c r="Q69" s="228"/>
      <c r="R69" s="231" t="s">
        <v>7</v>
      </c>
      <c r="S69" s="121">
        <f>IF($A69="S",IF($Q$10="Preço Unitário (R$)",PO.CustoUnitario,ROUND(PO.CustoUnitario*(1+$Z69),15-13*$X$6)),0)</f>
        <v>0</v>
      </c>
      <c r="T69" s="98">
        <f>IF($A69="S",VTOTAL1,IF($A69=0,0,ROUND(SomaAgrup,15-13*$X$7)))</f>
        <v>0</v>
      </c>
      <c r="U69" s="13" t="str">
        <f>IF($J69="","",IF($N69="","DESCRIÇÃO",IF(AND($J69="Serviço",$O69=""),"UNIDADE",IF($T69&lt;=0,"SEM VALOR",IF(AND($Y69&lt;&gt;"",$Q69&gt;$Y69),"ACIMA REF.","")))))</f>
        <v>SEM VALOR</v>
      </c>
      <c r="V69" s="4" t="str">
        <f ca="1">IF(OR($A69=0,$A69="S",$A69&gt;CFF!$A$9),"",MAX(V$12:OFFSET(V69,-1,0))+1)</f>
        <v/>
      </c>
      <c r="W69" s="9" t="str">
        <f>IF(AND($J69="Serviço",$M69&lt;&gt;""),IF($L69="",$M69,CONCATENATE($L69,"-",$M69)))</f>
        <v>SINAPI-103946</v>
      </c>
      <c r="X69" s="4">
        <f ca="1">IF(AND(Fonte&lt;&gt;"",Código&lt;&gt;""),MATCH(Fonte&amp;" "&amp;IF(Fonte="sinapi",SUBSTITUTE(SUBSTITUTE(Código,"/00","/"),"/0","/"),Código),INDIRECT("'[Referência "&amp;_xlnm.Database&amp;".xls]Banco'!$a:$a"),0),"X")</f>
        <v>11998</v>
      </c>
      <c r="Y69" s="121">
        <v>38.82</v>
      </c>
      <c r="Z69" s="132">
        <f ca="1">ROUND(IF(ISNUMBER(R69),R69,IF(LEFT(R69,3)="BDI",HLOOKUP(R69,DADOS!$T$37:$X$38,2,FALSE),0)),15-11*$X$5)</f>
        <v>0.20699999999999999</v>
      </c>
      <c r="AA69" s="4"/>
    </row>
    <row r="70" spans="1:27" x14ac:dyDescent="0.2">
      <c r="A70">
        <v>-1</v>
      </c>
      <c r="C70">
        <v>0</v>
      </c>
      <c r="D70">
        <v>0</v>
      </c>
      <c r="E70">
        <v>0</v>
      </c>
      <c r="F70">
        <v>0</v>
      </c>
      <c r="G70">
        <v>0</v>
      </c>
      <c r="J70" s="83"/>
      <c r="K70" s="83"/>
      <c r="L70" s="83"/>
      <c r="M70" s="83"/>
      <c r="N70" s="83"/>
      <c r="O70" s="83"/>
      <c r="P70" s="83"/>
      <c r="Q70" s="83"/>
      <c r="R70" s="83"/>
      <c r="S70" s="83"/>
      <c r="T70" s="83"/>
      <c r="U70" s="4"/>
      <c r="V70" s="4"/>
      <c r="W70" s="4"/>
      <c r="X70" s="4"/>
      <c r="Y70" s="4"/>
      <c r="Z70" s="4"/>
      <c r="AA70" s="4"/>
    </row>
    <row r="71" spans="1:27" ht="14.25" x14ac:dyDescent="0.2">
      <c r="A71" s="4"/>
      <c r="B71" s="4"/>
      <c r="C71" s="4"/>
      <c r="D71" s="4"/>
      <c r="E71" s="4"/>
      <c r="F71" s="4"/>
      <c r="G71" s="4"/>
      <c r="H71" s="4"/>
      <c r="I71" s="4"/>
      <c r="J71" s="4"/>
      <c r="K71" s="84" t="s">
        <v>62</v>
      </c>
      <c r="L71" s="4"/>
      <c r="M71" s="367" t="s">
        <v>141</v>
      </c>
      <c r="N71" s="368"/>
      <c r="O71" s="368"/>
      <c r="P71" s="368"/>
      <c r="Q71" s="368"/>
      <c r="R71" s="368"/>
      <c r="S71" s="368"/>
      <c r="T71" s="369"/>
      <c r="U71" s="4"/>
      <c r="V71" s="4"/>
      <c r="W71" s="4"/>
      <c r="X71" s="4"/>
      <c r="Y71" s="4"/>
      <c r="Z71" s="4"/>
      <c r="AA71" s="4"/>
    </row>
    <row r="72" spans="1:27" x14ac:dyDescent="0.2">
      <c r="A72" s="4"/>
      <c r="B72" s="4"/>
      <c r="C72" s="4"/>
      <c r="D72" s="4"/>
      <c r="E72" s="4"/>
      <c r="F72" s="4"/>
      <c r="G72" s="4"/>
      <c r="H72" s="4"/>
      <c r="I72" s="4"/>
      <c r="J72" s="4"/>
      <c r="K72" s="4"/>
      <c r="L72" s="4"/>
      <c r="M72" s="4"/>
      <c r="N72" s="4"/>
      <c r="O72" s="4"/>
      <c r="P72" s="4"/>
      <c r="Q72" s="4"/>
      <c r="R72" s="4"/>
      <c r="S72" s="4"/>
      <c r="T72" s="4"/>
      <c r="U72" s="4"/>
      <c r="V72" s="4"/>
      <c r="W72" s="4"/>
      <c r="X72" s="4"/>
      <c r="Y72" s="4"/>
      <c r="Z72" s="4"/>
      <c r="AA72" s="4"/>
    </row>
    <row r="73" spans="1:27" ht="14.25" x14ac:dyDescent="0.2">
      <c r="A73" s="4"/>
      <c r="B73" s="4"/>
      <c r="C73" s="4"/>
      <c r="D73" s="4"/>
      <c r="E73" s="4"/>
      <c r="F73" s="4"/>
      <c r="G73" s="4"/>
      <c r="H73" s="4"/>
      <c r="I73" s="4"/>
      <c r="J73" s="4"/>
      <c r="K73" s="90" t="s">
        <v>21</v>
      </c>
      <c r="L73" s="20"/>
      <c r="M73" s="20"/>
      <c r="N73" s="20"/>
      <c r="O73" s="20"/>
      <c r="P73" s="20"/>
      <c r="Q73" s="20"/>
      <c r="R73" s="20"/>
      <c r="S73" s="20"/>
      <c r="T73" s="89"/>
      <c r="U73" s="4"/>
      <c r="V73" s="4"/>
      <c r="W73" s="4"/>
      <c r="X73" s="4"/>
      <c r="Y73" s="4"/>
      <c r="Z73" s="4"/>
      <c r="AA73" s="4"/>
    </row>
    <row r="74" spans="1:27" ht="12.75" customHeight="1" x14ac:dyDescent="0.2">
      <c r="A74" s="4"/>
      <c r="B74" s="4"/>
      <c r="C74" s="4"/>
      <c r="D74" s="4"/>
      <c r="E74" s="4"/>
      <c r="F74" s="4"/>
      <c r="G74" s="4"/>
      <c r="H74" s="4"/>
      <c r="I74" s="4"/>
      <c r="J74" s="4"/>
      <c r="K74" s="361"/>
      <c r="L74" s="362"/>
      <c r="M74" s="362"/>
      <c r="N74" s="362"/>
      <c r="O74" s="362"/>
      <c r="P74" s="362"/>
      <c r="Q74" s="362"/>
      <c r="R74" s="362"/>
      <c r="S74" s="362"/>
      <c r="T74" s="363"/>
      <c r="U74" s="4"/>
      <c r="V74" s="4"/>
      <c r="W74" s="4"/>
      <c r="X74" s="4"/>
      <c r="Y74" s="4"/>
      <c r="Z74" s="4"/>
      <c r="AA74" s="4"/>
    </row>
    <row r="75" spans="1:27" x14ac:dyDescent="0.2">
      <c r="A75" s="4"/>
      <c r="B75" s="4"/>
      <c r="C75" s="4"/>
      <c r="D75" s="4"/>
      <c r="E75" s="4"/>
      <c r="F75" s="4"/>
      <c r="G75" s="4"/>
      <c r="H75" s="4"/>
      <c r="I75" s="4"/>
      <c r="J75" s="4"/>
      <c r="K75" s="361"/>
      <c r="L75" s="362"/>
      <c r="M75" s="362"/>
      <c r="N75" s="362"/>
      <c r="O75" s="362"/>
      <c r="P75" s="362"/>
      <c r="Q75" s="362"/>
      <c r="R75" s="362"/>
      <c r="S75" s="362"/>
      <c r="T75" s="363"/>
      <c r="U75" s="4"/>
      <c r="V75" s="4"/>
      <c r="W75" s="4"/>
      <c r="X75" s="4"/>
      <c r="Y75" s="4"/>
      <c r="Z75" s="4"/>
      <c r="AA75" s="4"/>
    </row>
    <row r="76" spans="1:27" x14ac:dyDescent="0.2">
      <c r="A76" s="4"/>
      <c r="B76" s="4"/>
      <c r="C76" s="4"/>
      <c r="D76" s="4"/>
      <c r="E76" s="4"/>
      <c r="F76" s="4"/>
      <c r="G76" s="4"/>
      <c r="H76" s="4"/>
      <c r="I76" s="4"/>
      <c r="J76" s="4"/>
      <c r="K76" s="364"/>
      <c r="L76" s="365"/>
      <c r="M76" s="365"/>
      <c r="N76" s="365"/>
      <c r="O76" s="365"/>
      <c r="P76" s="365"/>
      <c r="Q76" s="365"/>
      <c r="R76" s="365"/>
      <c r="S76" s="365"/>
      <c r="T76" s="366"/>
      <c r="U76" s="4"/>
      <c r="V76" s="4"/>
      <c r="W76" s="4"/>
      <c r="X76" s="4"/>
      <c r="Y76" s="4"/>
      <c r="Z76" s="4"/>
      <c r="AA76" s="4"/>
    </row>
    <row r="77" spans="1:27" ht="14.25" x14ac:dyDescent="0.2">
      <c r="A77" s="4"/>
      <c r="B77" s="4"/>
      <c r="C77" s="4"/>
      <c r="D77" s="4"/>
      <c r="E77" s="4"/>
      <c r="F77" s="4"/>
      <c r="G77" s="4"/>
      <c r="H77" s="4"/>
      <c r="I77" s="4"/>
      <c r="J77" s="4"/>
      <c r="K77" s="213"/>
      <c r="L77" s="213"/>
      <c r="M77" s="213"/>
      <c r="N77" s="213"/>
      <c r="O77" s="213"/>
      <c r="P77" s="213"/>
      <c r="Q77" s="213"/>
      <c r="R77" s="213"/>
      <c r="S77" s="213"/>
      <c r="T77" s="213"/>
      <c r="U77" s="4"/>
      <c r="V77" s="4"/>
      <c r="W77" s="4"/>
      <c r="X77" s="4"/>
      <c r="Y77" s="4"/>
      <c r="Z77" s="4"/>
      <c r="AA77" s="4"/>
    </row>
    <row r="78" spans="1:27" ht="15" x14ac:dyDescent="0.25">
      <c r="A78" s="4"/>
      <c r="B78" s="4"/>
      <c r="C78" s="4"/>
      <c r="D78" s="4"/>
      <c r="E78" s="4"/>
      <c r="F78" s="4"/>
      <c r="G78" s="4"/>
      <c r="H78" s="4"/>
      <c r="I78" s="4"/>
      <c r="J78" s="4"/>
      <c r="K78" s="358"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78" s="359"/>
      <c r="M78" s="359"/>
      <c r="N78" s="359"/>
      <c r="O78" s="359"/>
      <c r="P78" s="359"/>
      <c r="Q78" s="359"/>
      <c r="R78" s="359"/>
      <c r="S78" s="359"/>
      <c r="T78" s="360"/>
      <c r="U78" s="4"/>
      <c r="V78" s="4"/>
      <c r="W78" s="4"/>
      <c r="X78" s="4"/>
      <c r="Y78" s="4"/>
      <c r="Z78" s="4"/>
      <c r="AA78" s="4"/>
    </row>
    <row r="79" spans="1:27" x14ac:dyDescent="0.2">
      <c r="A79" s="4"/>
      <c r="B79" s="4"/>
      <c r="C79" s="4"/>
      <c r="D79" s="4"/>
      <c r="E79" s="4"/>
      <c r="F79" s="4"/>
      <c r="G79" s="4"/>
      <c r="H79" s="4"/>
      <c r="I79" s="4"/>
      <c r="J79" s="4"/>
      <c r="K79" s="4"/>
      <c r="L79" s="4"/>
      <c r="M79" s="4"/>
      <c r="N79" s="4"/>
      <c r="O79" s="4"/>
      <c r="P79" s="4"/>
      <c r="Q79" s="4"/>
      <c r="R79" s="4"/>
      <c r="S79" s="4"/>
      <c r="T79" s="4"/>
      <c r="U79" s="4"/>
      <c r="V79" s="4"/>
      <c r="W79" s="4"/>
      <c r="X79" s="4"/>
      <c r="Y79" s="4"/>
      <c r="Z79" s="4"/>
      <c r="AA79" s="4"/>
    </row>
    <row r="80" spans="1:27" ht="21" customHeight="1" x14ac:dyDescent="0.2">
      <c r="A80" s="4"/>
      <c r="B80" s="4"/>
      <c r="C80" s="4"/>
      <c r="D80" s="4"/>
      <c r="E80" s="4"/>
      <c r="F80" s="4"/>
      <c r="G80" s="4"/>
      <c r="H80" s="4"/>
      <c r="I80" s="4"/>
      <c r="J80" s="4"/>
      <c r="K80" s="4"/>
      <c r="L80" s="4"/>
      <c r="M80" s="4"/>
      <c r="N80" s="4"/>
      <c r="O80" s="4"/>
      <c r="P80" s="4"/>
      <c r="Q80" s="4"/>
      <c r="R80" s="4"/>
      <c r="S80" s="4"/>
      <c r="T80" s="4"/>
      <c r="U80" s="4"/>
      <c r="V80" s="4"/>
      <c r="W80" s="4"/>
      <c r="X80" s="4"/>
      <c r="Y80" s="4"/>
      <c r="Z80" s="4"/>
      <c r="AA80" s="4"/>
    </row>
    <row r="81" spans="1:27" x14ac:dyDescent="0.2">
      <c r="A81" s="4"/>
      <c r="B81" s="4"/>
      <c r="C81" s="4"/>
      <c r="D81" s="4"/>
      <c r="E81" s="4"/>
      <c r="F81" s="4"/>
      <c r="G81" s="4"/>
      <c r="H81" s="4"/>
      <c r="I81" s="4"/>
      <c r="J81" s="4"/>
      <c r="K81" s="371" t="s">
        <v>284</v>
      </c>
      <c r="L81" s="371"/>
      <c r="M81" s="371"/>
      <c r="N81" s="4"/>
      <c r="O81" s="4"/>
      <c r="P81" s="4"/>
      <c r="Q81" s="4"/>
      <c r="R81" s="4"/>
      <c r="S81" s="4"/>
      <c r="T81" s="4"/>
      <c r="U81" s="4"/>
      <c r="V81" s="4"/>
      <c r="W81" s="4"/>
      <c r="X81" s="4"/>
      <c r="Y81" s="4"/>
      <c r="Z81" s="4"/>
      <c r="AA81" s="4"/>
    </row>
    <row r="82" spans="1:27" x14ac:dyDescent="0.2">
      <c r="A82" s="4"/>
      <c r="B82" s="4"/>
      <c r="C82" s="4"/>
      <c r="D82" s="4"/>
      <c r="E82" s="4"/>
      <c r="F82" s="4"/>
      <c r="G82" s="4"/>
      <c r="H82" s="4"/>
      <c r="I82" s="4"/>
      <c r="J82" s="4"/>
      <c r="K82" s="112" t="s">
        <v>120</v>
      </c>
      <c r="L82" s="4"/>
      <c r="M82" s="4"/>
      <c r="N82" s="4"/>
      <c r="O82" s="4"/>
      <c r="P82" s="4"/>
      <c r="Q82" s="4"/>
      <c r="R82" s="4"/>
      <c r="S82" s="4"/>
      <c r="T82" s="4"/>
      <c r="U82" s="4"/>
      <c r="V82" s="4"/>
      <c r="W82" s="4"/>
      <c r="X82" s="4"/>
      <c r="Y82" s="4"/>
      <c r="Z82" s="4"/>
      <c r="AA82" s="4"/>
    </row>
    <row r="83" spans="1:27" x14ac:dyDescent="0.2">
      <c r="A83" s="4"/>
      <c r="B83" s="4"/>
      <c r="C83" s="4"/>
      <c r="D83" s="4"/>
      <c r="E83" s="4"/>
      <c r="F83" s="4"/>
      <c r="G83" s="4"/>
      <c r="H83" s="4"/>
      <c r="I83" s="4"/>
      <c r="J83" s="4"/>
      <c r="K83" s="4"/>
      <c r="L83" s="4"/>
      <c r="M83" s="4"/>
      <c r="N83" s="4"/>
      <c r="O83" s="4"/>
      <c r="P83" s="4"/>
      <c r="Q83" s="4"/>
      <c r="R83" s="4"/>
      <c r="S83" s="4"/>
      <c r="T83" s="4"/>
      <c r="U83" s="4"/>
      <c r="V83" s="4"/>
      <c r="W83" s="4"/>
      <c r="X83" s="4"/>
      <c r="Y83" s="4"/>
      <c r="Z83" s="4"/>
      <c r="AA83" s="4"/>
    </row>
    <row r="84" spans="1:27" x14ac:dyDescent="0.2">
      <c r="A84" s="4"/>
      <c r="B84" s="4"/>
      <c r="C84" s="4"/>
      <c r="D84" s="4"/>
      <c r="E84" s="4"/>
      <c r="F84" s="4"/>
      <c r="G84" s="4"/>
      <c r="H84" s="4"/>
      <c r="I84" s="4"/>
      <c r="J84" s="4"/>
      <c r="K84" s="370">
        <f ca="1">TODAY()</f>
        <v>45110</v>
      </c>
      <c r="L84" s="370"/>
      <c r="M84" s="370"/>
      <c r="N84" s="4"/>
      <c r="O84" s="4"/>
      <c r="P84" s="4"/>
      <c r="Q84" s="4"/>
      <c r="R84" s="4"/>
      <c r="S84" s="4"/>
      <c r="T84" s="4"/>
      <c r="U84" s="4"/>
      <c r="V84" s="4"/>
      <c r="W84" s="4"/>
      <c r="X84" s="4"/>
      <c r="Y84" s="4"/>
      <c r="Z84" s="4"/>
      <c r="AA84" s="4"/>
    </row>
    <row r="85" spans="1:27" x14ac:dyDescent="0.2">
      <c r="A85" s="4"/>
      <c r="B85" s="4"/>
      <c r="C85" s="4"/>
      <c r="D85" s="4"/>
      <c r="E85" s="4"/>
      <c r="F85" s="4"/>
      <c r="G85" s="4"/>
      <c r="H85" s="4"/>
      <c r="I85" s="4"/>
      <c r="J85" s="4"/>
      <c r="K85" s="141" t="s">
        <v>121</v>
      </c>
      <c r="L85" s="83"/>
      <c r="M85" s="83"/>
      <c r="N85" s="4"/>
      <c r="O85" s="4"/>
      <c r="P85" s="4"/>
      <c r="Q85" s="4"/>
      <c r="R85" s="4"/>
      <c r="S85" s="4"/>
      <c r="T85" s="4"/>
      <c r="U85" s="4"/>
      <c r="V85" s="4"/>
      <c r="W85" s="4"/>
      <c r="X85" s="4"/>
      <c r="Y85" s="4"/>
      <c r="Z85" s="4"/>
      <c r="AA85" s="4"/>
    </row>
  </sheetData>
  <sheetProtection algorithmName="SHA-512" hashValue="NtCgtTc65FjEC0Mz2GelLlxgn50AcmibSPtxwMn7WEQqP/RWHLxQCwwOa6hQTdV6PXhs+hqIrU2MS1HEHMmu/Q==" saltValue="msCx7GJNhw8qurjkacCv5A==" spinCount="100000" sheet="1" objects="1" scenarios="1"/>
  <mergeCells count="6">
    <mergeCell ref="W2:X2"/>
    <mergeCell ref="K78:T78"/>
    <mergeCell ref="K74:T76"/>
    <mergeCell ref="M71:T71"/>
    <mergeCell ref="K84:M84"/>
    <mergeCell ref="K81:M81"/>
  </mergeCells>
  <phoneticPr fontId="25" type="noConversion"/>
  <conditionalFormatting sqref="O12:R12 L12:M12">
    <cfRule type="expression" dxfId="534" priority="5027" stopIfTrue="1">
      <formula>$J12=$C$2</formula>
    </cfRule>
    <cfRule type="expression" dxfId="533" priority="5028" stopIfTrue="1">
      <formula>UPPER(LEFT($J12,5))="NÍVEL"</formula>
    </cfRule>
    <cfRule type="expression" dxfId="532" priority="5029" stopIfTrue="1">
      <formula>$J12=$C$8</formula>
    </cfRule>
  </conditionalFormatting>
  <conditionalFormatting sqref="Y12:Z12 S12:T12 K12">
    <cfRule type="expression" dxfId="531" priority="5030" stopIfTrue="1">
      <formula>$J12=$C$2</formula>
    </cfRule>
    <cfRule type="expression" dxfId="530" priority="5031" stopIfTrue="1">
      <formula>UPPER(LEFT($J12,5))="NÍVEL"</formula>
    </cfRule>
  </conditionalFormatting>
  <conditionalFormatting sqref="K11 K13 K17 K19:K20 K26:K30 K34:K47 K50:K65 K67:K69">
    <cfRule type="expression" dxfId="529" priority="5043" stopIfTrue="1">
      <formula>$J11=$C$2</formula>
    </cfRule>
    <cfRule type="expression" dxfId="528" priority="5044" stopIfTrue="1">
      <formula>AND($J11&lt;&gt;"",$J11&lt;&gt;"Serviço")</formula>
    </cfRule>
    <cfRule type="expression" dxfId="527" priority="5045" stopIfTrue="1">
      <formula>$J11=""</formula>
    </cfRule>
  </conditionalFormatting>
  <conditionalFormatting sqref="P11 P13 P17 P19:P20 P26:P30 P34:P47 P50:P65 P67:P69">
    <cfRule type="expression" dxfId="526" priority="3370" stopIfTrue="1">
      <formula>$J11=$C$2</formula>
    </cfRule>
    <cfRule type="expression" dxfId="525" priority="5049" stopIfTrue="1">
      <formula>AND($J11&lt;&gt;"Serviço")</formula>
    </cfRule>
    <cfRule type="expression" dxfId="524" priority="5050" stopIfTrue="1">
      <formula>CELL("proteger",P11)</formula>
    </cfRule>
  </conditionalFormatting>
  <conditionalFormatting sqref="Q11:R11 Q13:R13 Q17:R17 Q19:R20 Q26:R30 Q34:R47 Q50:R65 Q67:R69">
    <cfRule type="expression" dxfId="523" priority="5051" stopIfTrue="1">
      <formula>$J11=$C$2</formula>
    </cfRule>
    <cfRule type="expression" dxfId="522" priority="5052" stopIfTrue="1">
      <formula>$J11&lt;&gt;"Serviço"</formula>
    </cfRule>
    <cfRule type="expression" dxfId="521" priority="5053" stopIfTrue="1">
      <formula>CELL("proteger",Q11)</formula>
    </cfRule>
  </conditionalFormatting>
  <conditionalFormatting sqref="S11:T11 Y11:Z11 S13:T13 Y13:Z13 S17:T17 Y17:Z17 Y19:Z20 S19:T20 S26:T30 Y26:Z30 S34:T47 Y34:Z47 Y50:Z65 S50:T65 S67:T69 Y67:Z69">
    <cfRule type="expression" dxfId="520" priority="5054" stopIfTrue="1">
      <formula>$J11=$C$2</formula>
    </cfRule>
    <cfRule type="expression" dxfId="519" priority="5055" stopIfTrue="1">
      <formula>$J11&lt;&gt;"Serviço"</formula>
    </cfRule>
  </conditionalFormatting>
  <conditionalFormatting sqref="L11:M11 L13:M13 L17:M17 L19:M20 L26:M30 L34:M47 L50:M65 L67:M69">
    <cfRule type="expression" dxfId="518" priority="5075" stopIfTrue="1">
      <formula>$J11=$C$2</formula>
    </cfRule>
    <cfRule type="expression" dxfId="517" priority="5076" stopIfTrue="1">
      <formula>$J11&lt;&gt;"Serviço"</formula>
    </cfRule>
    <cfRule type="expression" dxfId="516" priority="5077" stopIfTrue="1">
      <formula>OR(CELL("proteger",L11),$J11="",TipoOrçamento="Licitado")</formula>
    </cfRule>
  </conditionalFormatting>
  <conditionalFormatting sqref="K71:T71">
    <cfRule type="expression" dxfId="515" priority="5056" stopIfTrue="1">
      <formula>OR(Tipo.Orçamento="LICITADO",Tipo.Orçamento="REPROGRAMADOAC")</formula>
    </cfRule>
    <cfRule type="expression" dxfId="514" priority="5057" stopIfTrue="1">
      <formula>$M$71=""</formula>
    </cfRule>
  </conditionalFormatting>
  <conditionalFormatting sqref="J11 J55 J44:J46 J13:J14 J20 J67:J68 J17 J42 J26 J28:J29 J50:J51 J34:J35">
    <cfRule type="expression" dxfId="513" priority="5084" stopIfTrue="1">
      <formula>TipoOrçamento="Licitado"</formula>
    </cfRule>
  </conditionalFormatting>
  <conditionalFormatting sqref="O11 O13 O17 O19:O20 O26:O30 O34:O47 O50:O65 O67:O69">
    <cfRule type="expression" dxfId="512" priority="3390" stopIfTrue="1">
      <formula>$J11=$C$2</formula>
    </cfRule>
    <cfRule type="expression" dxfId="511" priority="3391" stopIfTrue="1">
      <formula>AND($J11&lt;&gt;"Serviço")</formula>
    </cfRule>
    <cfRule type="expression" dxfId="510" priority="3392" stopIfTrue="1">
      <formula>CELL("proteger",O11)</formula>
    </cfRule>
  </conditionalFormatting>
  <conditionalFormatting sqref="N11 N17 N19:N20 N26:N30 N34:N47 N50:N65 N67:N69">
    <cfRule type="expression" dxfId="509" priority="3393" stopIfTrue="1">
      <formula>$J11=$C$2</formula>
    </cfRule>
    <cfRule type="expression" dxfId="508" priority="3394" stopIfTrue="1">
      <formula>$J11&lt;&gt;"Serviço"</formula>
    </cfRule>
    <cfRule type="expression" dxfId="507" priority="3395" stopIfTrue="1">
      <formula>CELL("proteger",N11)</formula>
    </cfRule>
  </conditionalFormatting>
  <conditionalFormatting sqref="N13">
    <cfRule type="expression" dxfId="506" priority="3259" stopIfTrue="1">
      <formula>$J13=$C$2</formula>
    </cfRule>
    <cfRule type="expression" dxfId="505" priority="3260" stopIfTrue="1">
      <formula>$J13&lt;&gt;"Serviço"</formula>
    </cfRule>
    <cfRule type="expression" dxfId="504" priority="3261" stopIfTrue="1">
      <formula>CELL("proteger",N13)</formula>
    </cfRule>
  </conditionalFormatting>
  <conditionalFormatting sqref="J58:J59">
    <cfRule type="expression" dxfId="503" priority="2187" stopIfTrue="1">
      <formula>TipoOrçamento="Licitado"</formula>
    </cfRule>
  </conditionalFormatting>
  <conditionalFormatting sqref="K14">
    <cfRule type="expression" dxfId="502" priority="2153" stopIfTrue="1">
      <formula>$J14=$C$2</formula>
    </cfRule>
    <cfRule type="expression" dxfId="501" priority="2154" stopIfTrue="1">
      <formula>AND($J14&lt;&gt;"",$J14&lt;&gt;"Serviço")</formula>
    </cfRule>
    <cfRule type="expression" dxfId="500" priority="2155" stopIfTrue="1">
      <formula>$J14=""</formula>
    </cfRule>
  </conditionalFormatting>
  <conditionalFormatting sqref="P14">
    <cfRule type="expression" dxfId="499" priority="2146" stopIfTrue="1">
      <formula>$J14=$C$2</formula>
    </cfRule>
    <cfRule type="expression" dxfId="498" priority="2156" stopIfTrue="1">
      <formula>AND($J14&lt;&gt;"Serviço")</formula>
    </cfRule>
    <cfRule type="expression" dxfId="497" priority="2157" stopIfTrue="1">
      <formula>CELL("proteger",P14)</formula>
    </cfRule>
  </conditionalFormatting>
  <conditionalFormatting sqref="Q14:R14">
    <cfRule type="expression" dxfId="496" priority="2158" stopIfTrue="1">
      <formula>$J14=$C$2</formula>
    </cfRule>
    <cfRule type="expression" dxfId="495" priority="2159" stopIfTrue="1">
      <formula>$J14&lt;&gt;"Serviço"</formula>
    </cfRule>
    <cfRule type="expression" dxfId="494" priority="2160" stopIfTrue="1">
      <formula>CELL("proteger",Q14)</formula>
    </cfRule>
  </conditionalFormatting>
  <conditionalFormatting sqref="S14:T14 Y14:Z14">
    <cfRule type="expression" dxfId="493" priority="2161" stopIfTrue="1">
      <formula>$J14=$C$2</formula>
    </cfRule>
    <cfRule type="expression" dxfId="492" priority="2162" stopIfTrue="1">
      <formula>$J14&lt;&gt;"Serviço"</formula>
    </cfRule>
  </conditionalFormatting>
  <conditionalFormatting sqref="L14:M14">
    <cfRule type="expression" dxfId="491" priority="2163" stopIfTrue="1">
      <formula>$J14=$C$2</formula>
    </cfRule>
    <cfRule type="expression" dxfId="490" priority="2164" stopIfTrue="1">
      <formula>$J14&lt;&gt;"Serviço"</formula>
    </cfRule>
    <cfRule type="expression" dxfId="489" priority="2165" stopIfTrue="1">
      <formula>OR(CELL("proteger",L14),$J14="",TipoOrçamento="Licitado")</formula>
    </cfRule>
  </conditionalFormatting>
  <conditionalFormatting sqref="O14">
    <cfRule type="expression" dxfId="488" priority="2147" stopIfTrue="1">
      <formula>$J14=$C$2</formula>
    </cfRule>
    <cfRule type="expression" dxfId="487" priority="2148" stopIfTrue="1">
      <formula>AND($J14&lt;&gt;"Serviço")</formula>
    </cfRule>
    <cfRule type="expression" dxfId="486" priority="2149" stopIfTrue="1">
      <formula>CELL("proteger",O14)</formula>
    </cfRule>
  </conditionalFormatting>
  <conditionalFormatting sqref="N14">
    <cfRule type="expression" dxfId="485" priority="2150" stopIfTrue="1">
      <formula>$J14=$C$2</formula>
    </cfRule>
    <cfRule type="expression" dxfId="484" priority="2151" stopIfTrue="1">
      <formula>$J14&lt;&gt;"Serviço"</formula>
    </cfRule>
    <cfRule type="expression" dxfId="483" priority="2152" stopIfTrue="1">
      <formula>CELL("proteger",N14)</formula>
    </cfRule>
  </conditionalFormatting>
  <conditionalFormatting sqref="J19">
    <cfRule type="expression" dxfId="482" priority="2124" stopIfTrue="1">
      <formula>TipoOrçamento="Licitado"</formula>
    </cfRule>
  </conditionalFormatting>
  <conditionalFormatting sqref="J47">
    <cfRule type="expression" dxfId="481" priority="2040" stopIfTrue="1">
      <formula>TipoOrçamento="Licitado"</formula>
    </cfRule>
  </conditionalFormatting>
  <conditionalFormatting sqref="J62">
    <cfRule type="expression" dxfId="480" priority="1956" stopIfTrue="1">
      <formula>TipoOrçamento="Licitado"</formula>
    </cfRule>
  </conditionalFormatting>
  <conditionalFormatting sqref="J27">
    <cfRule type="expression" dxfId="479" priority="1935" stopIfTrue="1">
      <formula>TipoOrçamento="Licitado"</formula>
    </cfRule>
  </conditionalFormatting>
  <conditionalFormatting sqref="J43">
    <cfRule type="expression" dxfId="478" priority="1746" stopIfTrue="1">
      <formula>TipoOrçamento="Licitado"</formula>
    </cfRule>
  </conditionalFormatting>
  <conditionalFormatting sqref="J56">
    <cfRule type="expression" dxfId="477" priority="1389" stopIfTrue="1">
      <formula>TipoOrçamento="Licitado"</formula>
    </cfRule>
  </conditionalFormatting>
  <conditionalFormatting sqref="J30">
    <cfRule type="expression" dxfId="476" priority="1092" stopIfTrue="1">
      <formula>TipoOrçamento="Licitado"</formula>
    </cfRule>
  </conditionalFormatting>
  <conditionalFormatting sqref="J63">
    <cfRule type="expression" dxfId="475" priority="945" stopIfTrue="1">
      <formula>TipoOrçamento="Licitado"</formula>
    </cfRule>
  </conditionalFormatting>
  <conditionalFormatting sqref="J64">
    <cfRule type="expression" dxfId="474" priority="903" stopIfTrue="1">
      <formula>TipoOrçamento="Licitado"</formula>
    </cfRule>
  </conditionalFormatting>
  <conditionalFormatting sqref="J41">
    <cfRule type="expression" dxfId="473" priority="861" stopIfTrue="1">
      <formula>TipoOrçamento="Licitado"</formula>
    </cfRule>
  </conditionalFormatting>
  <conditionalFormatting sqref="K15">
    <cfRule type="expression" dxfId="472" priority="491" stopIfTrue="1">
      <formula>$J15=$C$2</formula>
    </cfRule>
    <cfRule type="expression" dxfId="471" priority="492" stopIfTrue="1">
      <formula>AND($J15&lt;&gt;"",$J15&lt;&gt;"Serviço")</formula>
    </cfRule>
    <cfRule type="expression" dxfId="470" priority="493" stopIfTrue="1">
      <formula>$J15=""</formula>
    </cfRule>
  </conditionalFormatting>
  <conditionalFormatting sqref="P15">
    <cfRule type="expression" dxfId="469" priority="484" stopIfTrue="1">
      <formula>$J15=$C$2</formula>
    </cfRule>
    <cfRule type="expression" dxfId="468" priority="494" stopIfTrue="1">
      <formula>AND($J15&lt;&gt;"Serviço")</formula>
    </cfRule>
    <cfRule type="expression" dxfId="467" priority="495" stopIfTrue="1">
      <formula>CELL("proteger",P15)</formula>
    </cfRule>
  </conditionalFormatting>
  <conditionalFormatting sqref="Q15:R15">
    <cfRule type="expression" dxfId="466" priority="496" stopIfTrue="1">
      <formula>$J15=$C$2</formula>
    </cfRule>
    <cfRule type="expression" dxfId="465" priority="497" stopIfTrue="1">
      <formula>$J15&lt;&gt;"Serviço"</formula>
    </cfRule>
    <cfRule type="expression" dxfId="464" priority="498" stopIfTrue="1">
      <formula>CELL("proteger",Q15)</formula>
    </cfRule>
  </conditionalFormatting>
  <conditionalFormatting sqref="S15:T15 Y15:Z15">
    <cfRule type="expression" dxfId="463" priority="499" stopIfTrue="1">
      <formula>$J15=$C$2</formula>
    </cfRule>
    <cfRule type="expression" dxfId="462" priority="500" stopIfTrue="1">
      <formula>$J15&lt;&gt;"Serviço"</formula>
    </cfRule>
  </conditionalFormatting>
  <conditionalFormatting sqref="L15:M15">
    <cfRule type="expression" dxfId="461" priority="501" stopIfTrue="1">
      <formula>$J15=$C$2</formula>
    </cfRule>
    <cfRule type="expression" dxfId="460" priority="502" stopIfTrue="1">
      <formula>$J15&lt;&gt;"Serviço"</formula>
    </cfRule>
    <cfRule type="expression" dxfId="459" priority="503" stopIfTrue="1">
      <formula>OR(CELL("proteger",L15),$J15="",TipoOrçamento="Licitado")</formula>
    </cfRule>
  </conditionalFormatting>
  <conditionalFormatting sqref="J15">
    <cfRule type="expression" dxfId="458" priority="504" stopIfTrue="1">
      <formula>TipoOrçamento="Licitado"</formula>
    </cfRule>
  </conditionalFormatting>
  <conditionalFormatting sqref="O15">
    <cfRule type="expression" dxfId="457" priority="485" stopIfTrue="1">
      <formula>$J15=$C$2</formula>
    </cfRule>
    <cfRule type="expression" dxfId="456" priority="486" stopIfTrue="1">
      <formula>AND($J15&lt;&gt;"Serviço")</formula>
    </cfRule>
    <cfRule type="expression" dxfId="455" priority="487" stopIfTrue="1">
      <formula>CELL("proteger",O15)</formula>
    </cfRule>
  </conditionalFormatting>
  <conditionalFormatting sqref="N15">
    <cfRule type="expression" dxfId="454" priority="488" stopIfTrue="1">
      <formula>$J15=$C$2</formula>
    </cfRule>
    <cfRule type="expression" dxfId="453" priority="489" stopIfTrue="1">
      <formula>$J15&lt;&gt;"Serviço"</formula>
    </cfRule>
    <cfRule type="expression" dxfId="452" priority="490" stopIfTrue="1">
      <formula>CELL("proteger",N15)</formula>
    </cfRule>
  </conditionalFormatting>
  <conditionalFormatting sqref="K18">
    <cfRule type="expression" dxfId="451" priority="470" stopIfTrue="1">
      <formula>$J18=$C$2</formula>
    </cfRule>
    <cfRule type="expression" dxfId="450" priority="471" stopIfTrue="1">
      <formula>AND($J18&lt;&gt;"",$J18&lt;&gt;"Serviço")</formula>
    </cfRule>
    <cfRule type="expression" dxfId="449" priority="472" stopIfTrue="1">
      <formula>$J18=""</formula>
    </cfRule>
  </conditionalFormatting>
  <conditionalFormatting sqref="P18">
    <cfRule type="expression" dxfId="448" priority="463" stopIfTrue="1">
      <formula>$J18=$C$2</formula>
    </cfRule>
    <cfRule type="expression" dxfId="447" priority="473" stopIfTrue="1">
      <formula>AND($J18&lt;&gt;"Serviço")</formula>
    </cfRule>
    <cfRule type="expression" dxfId="446" priority="474" stopIfTrue="1">
      <formula>CELL("proteger",P18)</formula>
    </cfRule>
  </conditionalFormatting>
  <conditionalFormatting sqref="Q18:R18">
    <cfRule type="expression" dxfId="445" priority="475" stopIfTrue="1">
      <formula>$J18=$C$2</formula>
    </cfRule>
    <cfRule type="expression" dxfId="444" priority="476" stopIfTrue="1">
      <formula>$J18&lt;&gt;"Serviço"</formula>
    </cfRule>
    <cfRule type="expression" dxfId="443" priority="477" stopIfTrue="1">
      <formula>CELL("proteger",Q18)</formula>
    </cfRule>
  </conditionalFormatting>
  <conditionalFormatting sqref="S18:T18 Y18:Z18">
    <cfRule type="expression" dxfId="442" priority="478" stopIfTrue="1">
      <formula>$J18=$C$2</formula>
    </cfRule>
    <cfRule type="expression" dxfId="441" priority="479" stopIfTrue="1">
      <formula>$J18&lt;&gt;"Serviço"</formula>
    </cfRule>
  </conditionalFormatting>
  <conditionalFormatting sqref="L18:M18">
    <cfRule type="expression" dxfId="440" priority="480" stopIfTrue="1">
      <formula>$J18=$C$2</formula>
    </cfRule>
    <cfRule type="expression" dxfId="439" priority="481" stopIfTrue="1">
      <formula>$J18&lt;&gt;"Serviço"</formula>
    </cfRule>
    <cfRule type="expression" dxfId="438" priority="482" stopIfTrue="1">
      <formula>OR(CELL("proteger",L18),$J18="",TipoOrçamento="Licitado")</formula>
    </cfRule>
  </conditionalFormatting>
  <conditionalFormatting sqref="J18">
    <cfRule type="expression" dxfId="437" priority="483" stopIfTrue="1">
      <formula>TipoOrçamento="Licitado"</formula>
    </cfRule>
  </conditionalFormatting>
  <conditionalFormatting sqref="O18">
    <cfRule type="expression" dxfId="436" priority="464" stopIfTrue="1">
      <formula>$J18=$C$2</formula>
    </cfRule>
    <cfRule type="expression" dxfId="435" priority="465" stopIfTrue="1">
      <formula>AND($J18&lt;&gt;"Serviço")</formula>
    </cfRule>
    <cfRule type="expression" dxfId="434" priority="466" stopIfTrue="1">
      <formula>CELL("proteger",O18)</formula>
    </cfRule>
  </conditionalFormatting>
  <conditionalFormatting sqref="N18">
    <cfRule type="expression" dxfId="433" priority="467" stopIfTrue="1">
      <formula>$J18=$C$2</formula>
    </cfRule>
    <cfRule type="expression" dxfId="432" priority="468" stopIfTrue="1">
      <formula>$J18&lt;&gt;"Serviço"</formula>
    </cfRule>
    <cfRule type="expression" dxfId="431" priority="469" stopIfTrue="1">
      <formula>CELL("proteger",N18)</formula>
    </cfRule>
  </conditionalFormatting>
  <conditionalFormatting sqref="K21:K25">
    <cfRule type="expression" dxfId="430" priority="449" stopIfTrue="1">
      <formula>$J21=$C$2</formula>
    </cfRule>
    <cfRule type="expression" dxfId="429" priority="450" stopIfTrue="1">
      <formula>AND($J21&lt;&gt;"",$J21&lt;&gt;"Serviço")</formula>
    </cfRule>
    <cfRule type="expression" dxfId="428" priority="451" stopIfTrue="1">
      <formula>$J21=""</formula>
    </cfRule>
  </conditionalFormatting>
  <conditionalFormatting sqref="P21:P25">
    <cfRule type="expression" dxfId="427" priority="442" stopIfTrue="1">
      <formula>$J21=$C$2</formula>
    </cfRule>
    <cfRule type="expression" dxfId="426" priority="452" stopIfTrue="1">
      <formula>AND($J21&lt;&gt;"Serviço")</formula>
    </cfRule>
    <cfRule type="expression" dxfId="425" priority="453" stopIfTrue="1">
      <formula>CELL("proteger",P21)</formula>
    </cfRule>
  </conditionalFormatting>
  <conditionalFormatting sqref="Q21:R25">
    <cfRule type="expression" dxfId="424" priority="454" stopIfTrue="1">
      <formula>$J21=$C$2</formula>
    </cfRule>
    <cfRule type="expression" dxfId="423" priority="455" stopIfTrue="1">
      <formula>$J21&lt;&gt;"Serviço"</formula>
    </cfRule>
    <cfRule type="expression" dxfId="422" priority="456" stopIfTrue="1">
      <formula>CELL("proteger",Q21)</formula>
    </cfRule>
  </conditionalFormatting>
  <conditionalFormatting sqref="S21:T25 Y21:Z25">
    <cfRule type="expression" dxfId="421" priority="457" stopIfTrue="1">
      <formula>$J21=$C$2</formula>
    </cfRule>
    <cfRule type="expression" dxfId="420" priority="458" stopIfTrue="1">
      <formula>$J21&lt;&gt;"Serviço"</formula>
    </cfRule>
  </conditionalFormatting>
  <conditionalFormatting sqref="L21:M25">
    <cfRule type="expression" dxfId="419" priority="459" stopIfTrue="1">
      <formula>$J21=$C$2</formula>
    </cfRule>
    <cfRule type="expression" dxfId="418" priority="460" stopIfTrue="1">
      <formula>$J21&lt;&gt;"Serviço"</formula>
    </cfRule>
    <cfRule type="expression" dxfId="417" priority="461" stopIfTrue="1">
      <formula>OR(CELL("proteger",L21),$J21="",TipoOrçamento="Licitado")</formula>
    </cfRule>
  </conditionalFormatting>
  <conditionalFormatting sqref="J21:J25">
    <cfRule type="expression" dxfId="416" priority="462" stopIfTrue="1">
      <formula>TipoOrçamento="Licitado"</formula>
    </cfRule>
  </conditionalFormatting>
  <conditionalFormatting sqref="O21:O25">
    <cfRule type="expression" dxfId="415" priority="443" stopIfTrue="1">
      <formula>$J21=$C$2</formula>
    </cfRule>
    <cfRule type="expression" dxfId="414" priority="444" stopIfTrue="1">
      <formula>AND($J21&lt;&gt;"Serviço")</formula>
    </cfRule>
    <cfRule type="expression" dxfId="413" priority="445" stopIfTrue="1">
      <formula>CELL("proteger",O21)</formula>
    </cfRule>
  </conditionalFormatting>
  <conditionalFormatting sqref="N21:N25">
    <cfRule type="expression" dxfId="412" priority="446" stopIfTrue="1">
      <formula>$J21=$C$2</formula>
    </cfRule>
    <cfRule type="expression" dxfId="411" priority="447" stopIfTrue="1">
      <formula>$J21&lt;&gt;"Serviço"</formula>
    </cfRule>
    <cfRule type="expression" dxfId="410" priority="448" stopIfTrue="1">
      <formula>CELL("proteger",N21)</formula>
    </cfRule>
  </conditionalFormatting>
  <conditionalFormatting sqref="J36:J40">
    <cfRule type="expression" dxfId="409" priority="441" stopIfTrue="1">
      <formula>TipoOrçamento="Licitado"</formula>
    </cfRule>
  </conditionalFormatting>
  <conditionalFormatting sqref="J52">
    <cfRule type="expression" dxfId="408" priority="357" stopIfTrue="1">
      <formula>TipoOrçamento="Licitado"</formula>
    </cfRule>
  </conditionalFormatting>
  <conditionalFormatting sqref="J54">
    <cfRule type="expression" dxfId="407" priority="315" stopIfTrue="1">
      <formula>TipoOrçamento="Licitado"</formula>
    </cfRule>
  </conditionalFormatting>
  <conditionalFormatting sqref="J60">
    <cfRule type="expression" dxfId="406" priority="273" stopIfTrue="1">
      <formula>TipoOrçamento="Licitado"</formula>
    </cfRule>
  </conditionalFormatting>
  <conditionalFormatting sqref="J61">
    <cfRule type="expression" dxfId="405" priority="252" stopIfTrue="1">
      <formula>TipoOrçamento="Licitado"</formula>
    </cfRule>
  </conditionalFormatting>
  <conditionalFormatting sqref="J57">
    <cfRule type="expression" dxfId="404" priority="231" stopIfTrue="1">
      <formula>TipoOrçamento="Licitado"</formula>
    </cfRule>
  </conditionalFormatting>
  <conditionalFormatting sqref="K16">
    <cfRule type="expression" dxfId="403" priority="134" stopIfTrue="1">
      <formula>$J16=$C$2</formula>
    </cfRule>
    <cfRule type="expression" dxfId="402" priority="135" stopIfTrue="1">
      <formula>AND($J16&lt;&gt;"",$J16&lt;&gt;"Serviço")</formula>
    </cfRule>
    <cfRule type="expression" dxfId="401" priority="136" stopIfTrue="1">
      <formula>$J16=""</formula>
    </cfRule>
  </conditionalFormatting>
  <conditionalFormatting sqref="P16">
    <cfRule type="expression" dxfId="400" priority="127" stopIfTrue="1">
      <formula>$J16=$C$2</formula>
    </cfRule>
    <cfRule type="expression" dxfId="399" priority="137" stopIfTrue="1">
      <formula>AND($J16&lt;&gt;"Serviço")</formula>
    </cfRule>
    <cfRule type="expression" dxfId="398" priority="138" stopIfTrue="1">
      <formula>CELL("proteger",P16)</formula>
    </cfRule>
  </conditionalFormatting>
  <conditionalFormatting sqref="Q16:R16">
    <cfRule type="expression" dxfId="397" priority="139" stopIfTrue="1">
      <formula>$J16=$C$2</formula>
    </cfRule>
    <cfRule type="expression" dxfId="396" priority="140" stopIfTrue="1">
      <formula>$J16&lt;&gt;"Serviço"</formula>
    </cfRule>
    <cfRule type="expression" dxfId="395" priority="141" stopIfTrue="1">
      <formula>CELL("proteger",Q16)</formula>
    </cfRule>
  </conditionalFormatting>
  <conditionalFormatting sqref="S16:T16 Y16:Z16">
    <cfRule type="expression" dxfId="394" priority="142" stopIfTrue="1">
      <formula>$J16=$C$2</formula>
    </cfRule>
    <cfRule type="expression" dxfId="393" priority="143" stopIfTrue="1">
      <formula>$J16&lt;&gt;"Serviço"</formula>
    </cfRule>
  </conditionalFormatting>
  <conditionalFormatting sqref="L16:M16">
    <cfRule type="expression" dxfId="392" priority="144" stopIfTrue="1">
      <formula>$J16=$C$2</formula>
    </cfRule>
    <cfRule type="expression" dxfId="391" priority="145" stopIfTrue="1">
      <formula>$J16&lt;&gt;"Serviço"</formula>
    </cfRule>
    <cfRule type="expression" dxfId="390" priority="146" stopIfTrue="1">
      <formula>OR(CELL("proteger",L16),$J16="",TipoOrçamento="Licitado")</formula>
    </cfRule>
  </conditionalFormatting>
  <conditionalFormatting sqref="J16">
    <cfRule type="expression" dxfId="389" priority="147" stopIfTrue="1">
      <formula>TipoOrçamento="Licitado"</formula>
    </cfRule>
  </conditionalFormatting>
  <conditionalFormatting sqref="O16">
    <cfRule type="expression" dxfId="388" priority="128" stopIfTrue="1">
      <formula>$J16=$C$2</formula>
    </cfRule>
    <cfRule type="expression" dxfId="387" priority="129" stopIfTrue="1">
      <formula>AND($J16&lt;&gt;"Serviço")</formula>
    </cfRule>
    <cfRule type="expression" dxfId="386" priority="130" stopIfTrue="1">
      <formula>CELL("proteger",O16)</formula>
    </cfRule>
  </conditionalFormatting>
  <conditionalFormatting sqref="N16">
    <cfRule type="expression" dxfId="385" priority="131" stopIfTrue="1">
      <formula>$J16=$C$2</formula>
    </cfRule>
    <cfRule type="expression" dxfId="384" priority="132" stopIfTrue="1">
      <formula>$J16&lt;&gt;"Serviço"</formula>
    </cfRule>
    <cfRule type="expression" dxfId="383" priority="133" stopIfTrue="1">
      <formula>CELL("proteger",N16)</formula>
    </cfRule>
  </conditionalFormatting>
  <conditionalFormatting sqref="J53">
    <cfRule type="expression" dxfId="382" priority="126" stopIfTrue="1">
      <formula>TipoOrçamento="Licitado"</formula>
    </cfRule>
  </conditionalFormatting>
  <conditionalFormatting sqref="J65">
    <cfRule type="expression" dxfId="381" priority="105" stopIfTrue="1">
      <formula>TipoOrçamento="Licitado"</formula>
    </cfRule>
  </conditionalFormatting>
  <conditionalFormatting sqref="J69">
    <cfRule type="expression" dxfId="380" priority="84" stopIfTrue="1">
      <formula>TipoOrçamento="Licitado"</formula>
    </cfRule>
  </conditionalFormatting>
  <conditionalFormatting sqref="K31:K33">
    <cfRule type="expression" dxfId="379" priority="50" stopIfTrue="1">
      <formula>$J31=$C$2</formula>
    </cfRule>
    <cfRule type="expression" dxfId="378" priority="51" stopIfTrue="1">
      <formula>AND($J31&lt;&gt;"",$J31&lt;&gt;"Serviço")</formula>
    </cfRule>
    <cfRule type="expression" dxfId="377" priority="52" stopIfTrue="1">
      <formula>$J31=""</formula>
    </cfRule>
  </conditionalFormatting>
  <conditionalFormatting sqref="P31:P33">
    <cfRule type="expression" dxfId="376" priority="43" stopIfTrue="1">
      <formula>$J31=$C$2</formula>
    </cfRule>
    <cfRule type="expression" dxfId="375" priority="53" stopIfTrue="1">
      <formula>AND($J31&lt;&gt;"Serviço")</formula>
    </cfRule>
    <cfRule type="expression" dxfId="374" priority="54" stopIfTrue="1">
      <formula>CELL("proteger",P31)</formula>
    </cfRule>
  </conditionalFormatting>
  <conditionalFormatting sqref="Q31:R33">
    <cfRule type="expression" dxfId="373" priority="55" stopIfTrue="1">
      <formula>$J31=$C$2</formula>
    </cfRule>
    <cfRule type="expression" dxfId="372" priority="56" stopIfTrue="1">
      <formula>$J31&lt;&gt;"Serviço"</formula>
    </cfRule>
    <cfRule type="expression" dxfId="371" priority="57" stopIfTrue="1">
      <formula>CELL("proteger",Q31)</formula>
    </cfRule>
  </conditionalFormatting>
  <conditionalFormatting sqref="S31:T33 Y31:Z33">
    <cfRule type="expression" dxfId="370" priority="58" stopIfTrue="1">
      <formula>$J31=$C$2</formula>
    </cfRule>
    <cfRule type="expression" dxfId="369" priority="59" stopIfTrue="1">
      <formula>$J31&lt;&gt;"Serviço"</formula>
    </cfRule>
  </conditionalFormatting>
  <conditionalFormatting sqref="L31:M33">
    <cfRule type="expression" dxfId="368" priority="60" stopIfTrue="1">
      <formula>$J31=$C$2</formula>
    </cfRule>
    <cfRule type="expression" dxfId="367" priority="61" stopIfTrue="1">
      <formula>$J31&lt;&gt;"Serviço"</formula>
    </cfRule>
    <cfRule type="expression" dxfId="366" priority="62" stopIfTrue="1">
      <formula>OR(CELL("proteger",L31),$J31="",TipoOrçamento="Licitado")</formula>
    </cfRule>
  </conditionalFormatting>
  <conditionalFormatting sqref="J31:J33">
    <cfRule type="expression" dxfId="365" priority="63" stopIfTrue="1">
      <formula>TipoOrçamento="Licitado"</formula>
    </cfRule>
  </conditionalFormatting>
  <conditionalFormatting sqref="O31:O33">
    <cfRule type="expression" dxfId="364" priority="44" stopIfTrue="1">
      <formula>$J31=$C$2</formula>
    </cfRule>
    <cfRule type="expression" dxfId="363" priority="45" stopIfTrue="1">
      <formula>AND($J31&lt;&gt;"Serviço")</formula>
    </cfRule>
    <cfRule type="expression" dxfId="362" priority="46" stopIfTrue="1">
      <formula>CELL("proteger",O31)</formula>
    </cfRule>
  </conditionalFormatting>
  <conditionalFormatting sqref="N31:N33">
    <cfRule type="expression" dxfId="361" priority="47" stopIfTrue="1">
      <formula>$J31=$C$2</formula>
    </cfRule>
    <cfRule type="expression" dxfId="360" priority="48" stopIfTrue="1">
      <formula>$J31&lt;&gt;"Serviço"</formula>
    </cfRule>
    <cfRule type="expression" dxfId="359" priority="49" stopIfTrue="1">
      <formula>CELL("proteger",N31)</formula>
    </cfRule>
  </conditionalFormatting>
  <conditionalFormatting sqref="K48:K49">
    <cfRule type="expression" dxfId="358" priority="29" stopIfTrue="1">
      <formula>$J48=$C$2</formula>
    </cfRule>
    <cfRule type="expression" dxfId="357" priority="30" stopIfTrue="1">
      <formula>AND($J48&lt;&gt;"",$J48&lt;&gt;"Serviço")</formula>
    </cfRule>
    <cfRule type="expression" dxfId="356" priority="31" stopIfTrue="1">
      <formula>$J48=""</formula>
    </cfRule>
  </conditionalFormatting>
  <conditionalFormatting sqref="P48:P49">
    <cfRule type="expression" dxfId="355" priority="22" stopIfTrue="1">
      <formula>$J48=$C$2</formula>
    </cfRule>
    <cfRule type="expression" dxfId="354" priority="32" stopIfTrue="1">
      <formula>AND($J48&lt;&gt;"Serviço")</formula>
    </cfRule>
    <cfRule type="expression" dxfId="353" priority="33" stopIfTrue="1">
      <formula>CELL("proteger",P48)</formula>
    </cfRule>
  </conditionalFormatting>
  <conditionalFormatting sqref="Q48:R49">
    <cfRule type="expression" dxfId="352" priority="34" stopIfTrue="1">
      <formula>$J48=$C$2</formula>
    </cfRule>
    <cfRule type="expression" dxfId="351" priority="35" stopIfTrue="1">
      <formula>$J48&lt;&gt;"Serviço"</formula>
    </cfRule>
    <cfRule type="expression" dxfId="350" priority="36" stopIfTrue="1">
      <formula>CELL("proteger",Q48)</formula>
    </cfRule>
  </conditionalFormatting>
  <conditionalFormatting sqref="S48:T49 Y48:Z49">
    <cfRule type="expression" dxfId="349" priority="37" stopIfTrue="1">
      <formula>$J48=$C$2</formula>
    </cfRule>
    <cfRule type="expression" dxfId="348" priority="38" stopIfTrue="1">
      <formula>$J48&lt;&gt;"Serviço"</formula>
    </cfRule>
  </conditionalFormatting>
  <conditionalFormatting sqref="L48:M49">
    <cfRule type="expression" dxfId="347" priority="39" stopIfTrue="1">
      <formula>$J48=$C$2</formula>
    </cfRule>
    <cfRule type="expression" dxfId="346" priority="40" stopIfTrue="1">
      <formula>$J48&lt;&gt;"Serviço"</formula>
    </cfRule>
    <cfRule type="expression" dxfId="345" priority="41" stopIfTrue="1">
      <formula>OR(CELL("proteger",L48),$J48="",TipoOrçamento="Licitado")</formula>
    </cfRule>
  </conditionalFormatting>
  <conditionalFormatting sqref="J48:J49">
    <cfRule type="expression" dxfId="344" priority="42" stopIfTrue="1">
      <formula>TipoOrçamento="Licitado"</formula>
    </cfRule>
  </conditionalFormatting>
  <conditionalFormatting sqref="O48:O49">
    <cfRule type="expression" dxfId="343" priority="23" stopIfTrue="1">
      <formula>$J48=$C$2</formula>
    </cfRule>
    <cfRule type="expression" dxfId="342" priority="24" stopIfTrue="1">
      <formula>AND($J48&lt;&gt;"Serviço")</formula>
    </cfRule>
    <cfRule type="expression" dxfId="341" priority="25" stopIfTrue="1">
      <formula>CELL("proteger",O48)</formula>
    </cfRule>
  </conditionalFormatting>
  <conditionalFormatting sqref="N48:N49">
    <cfRule type="expression" dxfId="340" priority="26" stopIfTrue="1">
      <formula>$J48=$C$2</formula>
    </cfRule>
    <cfRule type="expression" dxfId="339" priority="27" stopIfTrue="1">
      <formula>$J48&lt;&gt;"Serviço"</formula>
    </cfRule>
    <cfRule type="expression" dxfId="338" priority="28" stopIfTrue="1">
      <formula>CELL("proteger",N48)</formula>
    </cfRule>
  </conditionalFormatting>
  <conditionalFormatting sqref="K66">
    <cfRule type="expression" dxfId="337" priority="8" stopIfTrue="1">
      <formula>$J66=$C$2</formula>
    </cfRule>
    <cfRule type="expression" dxfId="336" priority="9" stopIfTrue="1">
      <formula>AND($J66&lt;&gt;"",$J66&lt;&gt;"Serviço")</formula>
    </cfRule>
    <cfRule type="expression" dxfId="335" priority="10" stopIfTrue="1">
      <formula>$J66=""</formula>
    </cfRule>
  </conditionalFormatting>
  <conditionalFormatting sqref="P66">
    <cfRule type="expression" dxfId="334" priority="1" stopIfTrue="1">
      <formula>$J66=$C$2</formula>
    </cfRule>
    <cfRule type="expression" dxfId="333" priority="11" stopIfTrue="1">
      <formula>AND($J66&lt;&gt;"Serviço")</formula>
    </cfRule>
    <cfRule type="expression" dxfId="332" priority="12" stopIfTrue="1">
      <formula>CELL("proteger",P66)</formula>
    </cfRule>
  </conditionalFormatting>
  <conditionalFormatting sqref="Q66:R66">
    <cfRule type="expression" dxfId="331" priority="13" stopIfTrue="1">
      <formula>$J66=$C$2</formula>
    </cfRule>
    <cfRule type="expression" dxfId="330" priority="14" stopIfTrue="1">
      <formula>$J66&lt;&gt;"Serviço"</formula>
    </cfRule>
    <cfRule type="expression" dxfId="329" priority="15" stopIfTrue="1">
      <formula>CELL("proteger",Q66)</formula>
    </cfRule>
  </conditionalFormatting>
  <conditionalFormatting sqref="S66:T66 Y66:Z66">
    <cfRule type="expression" dxfId="328" priority="16" stopIfTrue="1">
      <formula>$J66=$C$2</formula>
    </cfRule>
    <cfRule type="expression" dxfId="327" priority="17" stopIfTrue="1">
      <formula>$J66&lt;&gt;"Serviço"</formula>
    </cfRule>
  </conditionalFormatting>
  <conditionalFormatting sqref="L66:M66">
    <cfRule type="expression" dxfId="326" priority="18" stopIfTrue="1">
      <formula>$J66=$C$2</formula>
    </cfRule>
    <cfRule type="expression" dxfId="325" priority="19" stopIfTrue="1">
      <formula>$J66&lt;&gt;"Serviço"</formula>
    </cfRule>
    <cfRule type="expression" dxfId="324" priority="20" stopIfTrue="1">
      <formula>OR(CELL("proteger",L66),$J66="",TipoOrçamento="Licitado")</formula>
    </cfRule>
  </conditionalFormatting>
  <conditionalFormatting sqref="J66">
    <cfRule type="expression" dxfId="323" priority="21" stopIfTrue="1">
      <formula>TipoOrçamento="Licitado"</formula>
    </cfRule>
  </conditionalFormatting>
  <conditionalFormatting sqref="O66">
    <cfRule type="expression" dxfId="322" priority="2" stopIfTrue="1">
      <formula>$J66=$C$2</formula>
    </cfRule>
    <cfRule type="expression" dxfId="321" priority="3" stopIfTrue="1">
      <formula>AND($J66&lt;&gt;"Serviço")</formula>
    </cfRule>
    <cfRule type="expression" dxfId="320" priority="4" stopIfTrue="1">
      <formula>CELL("proteger",O66)</formula>
    </cfRule>
  </conditionalFormatting>
  <conditionalFormatting sqref="N66">
    <cfRule type="expression" dxfId="319" priority="5" stopIfTrue="1">
      <formula>$J66=$C$2</formula>
    </cfRule>
    <cfRule type="expression" dxfId="318" priority="6" stopIfTrue="1">
      <formula>$J66&lt;&gt;"Serviço"</formula>
    </cfRule>
    <cfRule type="expression" dxfId="317" priority="7" stopIfTrue="1">
      <formula>CELL("proteger",N66)</formula>
    </cfRule>
  </conditionalFormatting>
  <dataValidations count="3">
    <dataValidation type="decimal" operator="greaterThan" allowBlank="1" showInputMessage="1" showErrorMessage="1" error="Apenas números decimais maiores que zero." sqref="Q11 Q13:Q69" xr:uid="{00000000-0002-0000-03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69" xr:uid="{00000000-0002-0000-03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69" xr:uid="{00000000-0002-0000-0300-000002000000}">
      <formula1>$C$2:$G$2</formula1>
    </dataValidation>
  </dataValidations>
  <pageMargins left="0.78740157480314998" right="0.78740157480314998" top="0.78740157480314998" bottom="0.78740157480314998" header="0.59055118110236204" footer="0.59055118110236204"/>
  <pageSetup paperSize="9" scale="62" fitToHeight="0" orientation="landscape" r:id="rId1"/>
  <headerFooter alignWithMargins="0">
    <oddHeader>&amp;C&amp;14I</oddHeader>
    <oddFooter>&amp;R&amp;P&amp;L27.476 v008   micro</oddFooter>
  </headerFooter>
  <ignoredErrors>
    <ignoredError sqref="K84"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2">
    <tabColor rgb="FFFFFF00"/>
  </sheetPr>
  <dimension ref="A1:U76"/>
  <sheetViews>
    <sheetView showGridLines="0" zoomScale="85" zoomScaleNormal="85" zoomScaleSheetLayoutView="100" workbookViewId="0">
      <pane xSplit="5" ySplit="10" topLeftCell="F98" activePane="bottomRight" state="frozen"/>
      <selection pane="topRight"/>
      <selection pane="bottomLeft"/>
      <selection pane="bottomRight" activeCell="K66" sqref="K66"/>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4" customFormat="1" ht="17.25" customHeight="1" x14ac:dyDescent="0.25">
      <c r="E1" s="85" t="s">
        <v>63</v>
      </c>
      <c r="F1" s="36" t="s">
        <v>64</v>
      </c>
      <c r="K1" s="18"/>
      <c r="O1"/>
    </row>
    <row r="2" spans="1:21" s="4" customFormat="1" ht="15.75" x14ac:dyDescent="0.25">
      <c r="D2" s="6"/>
      <c r="E2" s="85"/>
      <c r="F2" s="36"/>
      <c r="K2" s="19"/>
      <c r="O2"/>
    </row>
    <row r="3" spans="1:21" s="4" customFormat="1" x14ac:dyDescent="0.2">
      <c r="K3" s="20"/>
      <c r="P3" s="20"/>
    </row>
    <row r="4" spans="1:21" s="4" customFormat="1" ht="39.950000000000003" customHeight="1" x14ac:dyDescent="0.2">
      <c r="P4" s="20"/>
    </row>
    <row r="5" spans="1:21" s="4" customFormat="1" ht="39.950000000000003" customHeight="1" x14ac:dyDescent="0.2">
      <c r="P5" s="20"/>
    </row>
    <row r="6" spans="1:21" s="4" customFormat="1" ht="20.25" customHeight="1" x14ac:dyDescent="0.2">
      <c r="P6" s="20"/>
    </row>
    <row r="7" spans="1:21" s="4" customFormat="1" ht="12.75" hidden="1" customHeight="1" x14ac:dyDescent="0.2">
      <c r="E7" s="224">
        <f ca="1">OFFSET(PO!$P$12,ROW($E7)-ROW(E$12),0)</f>
        <v>0</v>
      </c>
      <c r="P7" s="20"/>
    </row>
    <row r="8" spans="1:21" s="4" customFormat="1" ht="9.9499999999999993" customHeight="1" x14ac:dyDescent="0.2">
      <c r="P8" s="20"/>
    </row>
    <row r="9" spans="1:21" s="4" customFormat="1" ht="60" customHeight="1" x14ac:dyDescent="0.2">
      <c r="B9" s="17"/>
      <c r="C9" s="14"/>
      <c r="D9" s="9"/>
      <c r="E9" s="146" t="s">
        <v>46</v>
      </c>
      <c r="F9" s="401" t="s">
        <v>235</v>
      </c>
      <c r="G9" s="401"/>
      <c r="H9" s="401"/>
      <c r="I9" s="401"/>
      <c r="J9" s="401"/>
      <c r="K9" s="401"/>
      <c r="L9" s="401"/>
      <c r="M9" s="401"/>
      <c r="N9" s="401"/>
      <c r="O9" s="401"/>
      <c r="U9" s="122"/>
    </row>
    <row r="10" spans="1:21" s="15" customFormat="1" ht="30" customHeight="1" x14ac:dyDescent="0.2">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
      <c r="A12" s="76" t="str">
        <f>PO!J12</f>
        <v>CTEF</v>
      </c>
      <c r="B12" s="76"/>
      <c r="C12" s="76">
        <f>PO!N12</f>
        <v>0</v>
      </c>
      <c r="D12" s="76"/>
      <c r="E12" s="216"/>
      <c r="F12" s="217"/>
      <c r="G12" s="217"/>
      <c r="H12" s="217"/>
      <c r="I12" s="217"/>
      <c r="J12" s="217"/>
      <c r="K12" s="217"/>
      <c r="L12" s="217"/>
      <c r="M12" s="217"/>
      <c r="N12" s="217"/>
      <c r="O12" s="217"/>
      <c r="U12" s="217"/>
    </row>
    <row r="13" spans="1:21" s="4" customFormat="1" x14ac:dyDescent="0.2">
      <c r="A13" s="126" t="str">
        <f ca="1">OFFSET(PO!J$12,ROW(A13)-ROW($A$12),0)</f>
        <v>Meta</v>
      </c>
      <c r="B13" s="130" t="str">
        <f ca="1">IF($A13=0,"",OFFSET(PO!K$12,ROW(B13)-ROW(B$12),0))</f>
        <v>1.</v>
      </c>
      <c r="C13" s="127" t="str">
        <f ca="1">IF(OFFSET(PO!N$12,ROW(C13)-ROW(C$12),0)=0,"",OFFSET(PO!N$12,ROW(C13)-ROW(C$12),0))</f>
        <v>PISTA DE SKATE</v>
      </c>
      <c r="D13" s="129" t="str">
        <f ca="1">IF(OFFSET(PO!O$12,ROW(D13)-ROW(D$12),0)=0,"",OFFSET(PO!O$12,ROW(D13)-ROW(D$12),0))</f>
        <v/>
      </c>
      <c r="E13" s="165">
        <f ca="1">IF($A13&lt;&gt;"Serviço",0,ROUND(SUMIF($F$9:$P$9,"&lt;&gt;",$F13:$P13),15-13*PO!$X$3))</f>
        <v>0</v>
      </c>
      <c r="F13" s="400">
        <f ca="1">OFFSET(PO!$P$12,ROW($E13)-ROW(F$12),0)</f>
        <v>0</v>
      </c>
      <c r="G13" s="400"/>
      <c r="H13" s="400"/>
      <c r="I13" s="400"/>
      <c r="J13" s="400"/>
      <c r="K13" s="400"/>
      <c r="L13" s="400"/>
      <c r="M13" s="400"/>
      <c r="N13" s="400"/>
      <c r="O13" s="400"/>
      <c r="U13" s="215"/>
    </row>
    <row r="14" spans="1:21" s="4" customFormat="1" x14ac:dyDescent="0.2">
      <c r="A14" s="128" t="str">
        <f ca="1">OFFSET(PO!J$12,ROW(A14)-ROW($A$12),0)</f>
        <v>Nível 2</v>
      </c>
      <c r="B14" s="130" t="str">
        <f ca="1">IF($A14=0,"",OFFSET(PO!K$12,ROW(B14)-ROW(B$12),0))</f>
        <v>1.1.</v>
      </c>
      <c r="C14" s="127" t="str">
        <f ca="1">IF(OFFSET(PO!N$12,ROW(C14)-ROW(C$12),0)=0,"",OFFSET(PO!N$12,ROW(C14)-ROW(C$12),0))</f>
        <v>SERVIÇOS INICIAIS</v>
      </c>
      <c r="D14" s="129" t="str">
        <f ca="1">IF(OFFSET(PO!O$12,ROW(D14)-ROW(D$12),0)=0,"",OFFSET(PO!O$12,ROW(D14)-ROW(D$12),0))</f>
        <v/>
      </c>
      <c r="E14" s="165">
        <f ca="1">IF($A14&lt;&gt;"Serviço",0,ROUND(SUMIF($F$9:$P$9,"&lt;&gt;",$F14:$P14),15-13*PO!$X$3))</f>
        <v>0</v>
      </c>
      <c r="F14" s="400">
        <f ca="1">OFFSET(PO!$P$12,ROW($E14)-ROW(F$12),0)</f>
        <v>0</v>
      </c>
      <c r="G14" s="400"/>
      <c r="H14" s="400"/>
      <c r="I14" s="400"/>
      <c r="J14" s="400"/>
      <c r="K14" s="400"/>
      <c r="L14" s="400"/>
      <c r="M14" s="400"/>
      <c r="N14" s="400"/>
      <c r="O14" s="400"/>
      <c r="U14" s="215"/>
    </row>
    <row r="15" spans="1:21" s="4" customFormat="1" ht="38.25" x14ac:dyDescent="0.2">
      <c r="A15" s="128" t="str">
        <f ca="1">OFFSET(PO!J$12,ROW(A15)-ROW($A$12),0)</f>
        <v>Serviço</v>
      </c>
      <c r="B15" s="130" t="str">
        <f ca="1">IF($A15=0,"",OFFSET(PO!K$12,ROW(B15)-ROW(B$12),0))</f>
        <v>1.1.0.1.</v>
      </c>
      <c r="C15" s="127" t="str">
        <f ca="1">IF(OFFSET(PO!N$12,ROW(C15)-ROW(C$12),0)=0,"",OFFSET(PO!N$12,ROW(C15)-ROW(C$12),0))</f>
        <v>PLACA DE OBRA (PARA CONSTRUCAO CIVIL) EM CHAPA GALVANIZADA *N. 22*, ADESIVADA, DE *2,4 X 1,2* M (SEM POSTES PARA FIXACAO)</v>
      </c>
      <c r="D15" s="129" t="str">
        <f ca="1">IF(OFFSET(PO!O$12,ROW(D15)-ROW(D$12),0)=0,"",OFFSET(PO!O$12,ROW(D15)-ROW(D$12),0))</f>
        <v xml:space="preserve">M2    </v>
      </c>
      <c r="E15" s="165">
        <f ca="1">IF($A15&lt;&gt;"Serviço",0,ROUND(SUMIF($F$9:$P$9,"&lt;&gt;",$F15:$P15),15-13*PO!$X$3))</f>
        <v>4.5</v>
      </c>
      <c r="F15" s="400">
        <f ca="1">OFFSET(PO!$P$12,ROW($E15)-ROW(F$12),0)</f>
        <v>4.5</v>
      </c>
      <c r="G15" s="400"/>
      <c r="H15" s="400"/>
      <c r="I15" s="400"/>
      <c r="J15" s="400"/>
      <c r="K15" s="400"/>
      <c r="L15" s="400"/>
      <c r="M15" s="400"/>
      <c r="N15" s="400"/>
      <c r="O15" s="400"/>
      <c r="U15" s="215"/>
    </row>
    <row r="16" spans="1:21" s="4" customFormat="1" ht="38.25" x14ac:dyDescent="0.2">
      <c r="A16" s="128" t="str">
        <f ca="1">OFFSET(PO!J$12,ROW(A16)-ROW($A$12),0)</f>
        <v>Serviço</v>
      </c>
      <c r="B16" s="130" t="str">
        <f ca="1">IF($A16=0,"",OFFSET(PO!K$12,ROW(B16)-ROW(B$12),0))</f>
        <v>1.1.0.2.</v>
      </c>
      <c r="C16" s="127" t="str">
        <f ca="1">IF(OFFSET(PO!N$12,ROW(C16)-ROW(C$12),0)=0,"",OFFSET(PO!N$12,ROW(C16)-ROW(C$12),0))</f>
        <v>LOCACAO CONVENCIONAL DE OBRA, UTILIZANDO GABARITO DE TÁBUAS CORRIDAS PONTALETADAS A CADA 2,00M -  2 UTILIZAÇÕES. AF_10/2018</v>
      </c>
      <c r="D16" s="129" t="str">
        <f ca="1">IF(OFFSET(PO!O$12,ROW(D16)-ROW(D$12),0)=0,"",OFFSET(PO!O$12,ROW(D16)-ROW(D$12),0))</f>
        <v>M</v>
      </c>
      <c r="E16" s="165">
        <f ca="1">IF($A16&lt;&gt;"Serviço",0,ROUND(SUMIF($F$9:$P$9,"&lt;&gt;",$F16:$P16),15-13*PO!$X$3))</f>
        <v>71.2</v>
      </c>
      <c r="F16" s="400">
        <f ca="1">OFFSET(PO!$P$12,ROW($E16)-ROW(F$12),0)</f>
        <v>71.2</v>
      </c>
      <c r="G16" s="400"/>
      <c r="H16" s="400"/>
      <c r="I16" s="400"/>
      <c r="J16" s="400"/>
      <c r="K16" s="400"/>
      <c r="L16" s="400"/>
      <c r="M16" s="400"/>
      <c r="N16" s="400"/>
      <c r="O16" s="400"/>
      <c r="U16" s="215"/>
    </row>
    <row r="17" spans="1:21" s="4" customFormat="1" ht="38.25" x14ac:dyDescent="0.2">
      <c r="A17" s="128" t="str">
        <f ca="1">OFFSET(PO!J$12,ROW(A17)-ROW($A$12),0)</f>
        <v>Serviço</v>
      </c>
      <c r="B17" s="130" t="str">
        <f ca="1">IF($A17=0,"",OFFSET(PO!K$12,ROW(B17)-ROW(B$12),0))</f>
        <v>1.1.0.3.</v>
      </c>
      <c r="C17" s="127" t="str">
        <f ca="1">IF(OFFSET(PO!N$12,ROW(C17)-ROW(C$12),0)=0,"",OFFSET(PO!N$12,ROW(C17)-ROW(C$12),0))</f>
        <v>ESCAVAÇÃO MECANIZADA PARA BLOCO DE COROAMENTO OU SAPATA COM RETROESCAVADEIRA (INCLUINDO ESCAVAÇÃO PARA COLOCAÇÃO DE FÔRMAS). AF_06/2017</v>
      </c>
      <c r="D17" s="129" t="str">
        <f ca="1">IF(OFFSET(PO!O$12,ROW(D17)-ROW(D$12),0)=0,"",OFFSET(PO!O$12,ROW(D17)-ROW(D$12),0))</f>
        <v>M3</v>
      </c>
      <c r="E17" s="165">
        <f ca="1">IF($A17&lt;&gt;"Serviço",0,ROUND(SUMIF($F$9:$P$9,"&lt;&gt;",$F17:$P17),15-13*PO!$X$3))</f>
        <v>19.2</v>
      </c>
      <c r="F17" s="400">
        <f ca="1">OFFSET(PO!$P$12,ROW($E17)-ROW(F$12),0)</f>
        <v>19.2</v>
      </c>
      <c r="G17" s="400"/>
      <c r="H17" s="400"/>
      <c r="I17" s="400"/>
      <c r="J17" s="400"/>
      <c r="K17" s="400"/>
      <c r="L17" s="400"/>
      <c r="M17" s="400"/>
      <c r="N17" s="400"/>
      <c r="O17" s="400"/>
      <c r="U17" s="215"/>
    </row>
    <row r="18" spans="1:21" s="4" customFormat="1" ht="38.25" x14ac:dyDescent="0.2">
      <c r="A18" s="128" t="str">
        <f ca="1">OFFSET(PO!J$12,ROW(A18)-ROW($A$12),0)</f>
        <v>Serviço</v>
      </c>
      <c r="B18" s="130" t="str">
        <f ca="1">IF($A18=0,"",OFFSET(PO!K$12,ROW(B18)-ROW(B$12),0))</f>
        <v>1.1.0.4.</v>
      </c>
      <c r="C18" s="127" t="str">
        <f ca="1">IF(OFFSET(PO!N$12,ROW(C18)-ROW(C$12),0)=0,"",OFFSET(PO!N$12,ROW(C18)-ROW(C$12),0))</f>
        <v>ESCAVAÇÃO MECANIZADA PARA VIGA BALDRAME COM MINI-ESCAVADEIRA (INCLUINDO ESCAVAÇÃO PARA COLOCAÇÃO DE FÔRMAS). AF_06/2017</v>
      </c>
      <c r="D18" s="129" t="str">
        <f ca="1">IF(OFFSET(PO!O$12,ROW(D18)-ROW(D$12),0)=0,"",OFFSET(PO!O$12,ROW(D18)-ROW(D$12),0))</f>
        <v>M3</v>
      </c>
      <c r="E18" s="165">
        <f ca="1">IF($A18&lt;&gt;"Serviço",0,ROUND(SUMIF($F$9:$P$9,"&lt;&gt;",$F18:$P18),15-13*PO!$X$3))</f>
        <v>39.22</v>
      </c>
      <c r="F18" s="400">
        <f ca="1">OFFSET(PO!$P$12,ROW($E18)-ROW(F$12),0)</f>
        <v>39.22</v>
      </c>
      <c r="G18" s="400"/>
      <c r="H18" s="400"/>
      <c r="I18" s="400"/>
      <c r="J18" s="400"/>
      <c r="K18" s="400"/>
      <c r="L18" s="400"/>
      <c r="M18" s="400"/>
      <c r="N18" s="400"/>
      <c r="O18" s="400"/>
      <c r="U18" s="215"/>
    </row>
    <row r="19" spans="1:21" s="4" customFormat="1" ht="25.5" x14ac:dyDescent="0.2">
      <c r="A19" s="128" t="str">
        <f ca="1">OFFSET(PO!J$12,ROW(A19)-ROW($A$12),0)</f>
        <v>Serviço</v>
      </c>
      <c r="B19" s="130" t="str">
        <f ca="1">IF($A19=0,"",OFFSET(PO!K$12,ROW(B19)-ROW(B$12),0))</f>
        <v>1.1.0.5.</v>
      </c>
      <c r="C19" s="127" t="str">
        <f ca="1">IF(OFFSET(PO!N$12,ROW(C19)-ROW(C$12),0)=0,"",OFFSET(PO!N$12,ROW(C19)-ROW(C$12),0))</f>
        <v>REATERRO MANUAL DE VALAS COM COMPACTAÇÃO MECANIZADA. AF_04/2016</v>
      </c>
      <c r="D19" s="129" t="str">
        <f ca="1">IF(OFFSET(PO!O$12,ROW(D19)-ROW(D$12),0)=0,"",OFFSET(PO!O$12,ROW(D19)-ROW(D$12),0))</f>
        <v>M3</v>
      </c>
      <c r="E19" s="165">
        <f ca="1">IF($A19&lt;&gt;"Serviço",0,ROUND(SUMIF($F$9:$P$9,"&lt;&gt;",$F19:$P19),15-13*PO!$X$3))</f>
        <v>31.37</v>
      </c>
      <c r="F19" s="400">
        <f ca="1">OFFSET(PO!$P$12,ROW($E19)-ROW(F$12),0)</f>
        <v>31.37</v>
      </c>
      <c r="G19" s="400"/>
      <c r="H19" s="400"/>
      <c r="I19" s="400"/>
      <c r="J19" s="400"/>
      <c r="K19" s="400"/>
      <c r="L19" s="400"/>
      <c r="M19" s="400"/>
      <c r="N19" s="400"/>
      <c r="O19" s="400"/>
      <c r="U19" s="215"/>
    </row>
    <row r="20" spans="1:21" s="4" customFormat="1" x14ac:dyDescent="0.2">
      <c r="A20" s="128" t="str">
        <f ca="1">OFFSET(PO!J$12,ROW(A20)-ROW($A$12),0)</f>
        <v>Nível 2</v>
      </c>
      <c r="B20" s="130" t="str">
        <f ca="1">IF($A20=0,"",OFFSET(PO!K$12,ROW(B20)-ROW(B$12),0))</f>
        <v>1.2.</v>
      </c>
      <c r="C20" s="127" t="str">
        <f ca="1">IF(OFFSET(PO!N$12,ROW(C20)-ROW(C$12),0)=0,"",OFFSET(PO!N$12,ROW(C20)-ROW(C$12),0))</f>
        <v>INFRAESTRUTURA</v>
      </c>
      <c r="D20" s="129" t="str">
        <f ca="1">IF(OFFSET(PO!O$12,ROW(D20)-ROW(D$12),0)=0,"",OFFSET(PO!O$12,ROW(D20)-ROW(D$12),0))</f>
        <v/>
      </c>
      <c r="E20" s="165">
        <f ca="1">IF($A20&lt;&gt;"Serviço",0,ROUND(SUMIF($F$9:$P$9,"&lt;&gt;",$F20:$P20),15-13*PO!$X$3))</f>
        <v>0</v>
      </c>
      <c r="F20" s="400">
        <f ca="1">OFFSET(PO!$P$12,ROW($E20)-ROW(F$12),0)</f>
        <v>0</v>
      </c>
      <c r="G20" s="400"/>
      <c r="H20" s="400"/>
      <c r="I20" s="400"/>
      <c r="J20" s="400"/>
      <c r="K20" s="400"/>
      <c r="L20" s="400"/>
      <c r="M20" s="400"/>
      <c r="N20" s="400"/>
      <c r="O20" s="400"/>
      <c r="U20" s="215"/>
    </row>
    <row r="21" spans="1:21" s="4" customFormat="1" x14ac:dyDescent="0.2">
      <c r="A21" s="128" t="str">
        <f ca="1">OFFSET(PO!J$12,ROW(A21)-ROW($A$12),0)</f>
        <v>Nível 3</v>
      </c>
      <c r="B21" s="130" t="str">
        <f ca="1">IF($A21=0,"",OFFSET(PO!K$12,ROW(B21)-ROW(B$12),0))</f>
        <v>1.2.1.</v>
      </c>
      <c r="C21" s="127" t="str">
        <f ca="1">IF(OFFSET(PO!N$12,ROW(C21)-ROW(C$12),0)=0,"",OFFSET(PO!N$12,ROW(C21)-ROW(C$12),0))</f>
        <v>SAPATAS CONCRETO ARMADO</v>
      </c>
      <c r="D21" s="129" t="str">
        <f ca="1">IF(OFFSET(PO!O$12,ROW(D21)-ROW(D$12),0)=0,"",OFFSET(PO!O$12,ROW(D21)-ROW(D$12),0))</f>
        <v/>
      </c>
      <c r="E21" s="165">
        <f ca="1">IF($A21&lt;&gt;"Serviço",0,ROUND(SUMIF($F$9:$P$9,"&lt;&gt;",$F21:$P21),15-13*PO!$X$3))</f>
        <v>0</v>
      </c>
      <c r="F21" s="400">
        <f ca="1">OFFSET(PO!$P$12,ROW($E21)-ROW(F$12),0)</f>
        <v>0</v>
      </c>
      <c r="G21" s="400"/>
      <c r="H21" s="400"/>
      <c r="I21" s="400"/>
      <c r="J21" s="400"/>
      <c r="K21" s="400"/>
      <c r="L21" s="400"/>
      <c r="M21" s="400"/>
      <c r="N21" s="400"/>
      <c r="O21" s="400"/>
      <c r="U21" s="215"/>
    </row>
    <row r="22" spans="1:21" s="4" customFormat="1" ht="25.5" x14ac:dyDescent="0.2">
      <c r="A22" s="128" t="str">
        <f ca="1">OFFSET(PO!J$12,ROW(A22)-ROW($A$12),0)</f>
        <v>Serviço</v>
      </c>
      <c r="B22" s="130" t="str">
        <f ca="1">IF($A22=0,"",OFFSET(PO!K$12,ROW(B22)-ROW(B$12),0))</f>
        <v>1.2.1.1.</v>
      </c>
      <c r="C22" s="127" t="str">
        <f ca="1">IF(OFFSET(PO!N$12,ROW(C22)-ROW(C$12),0)=0,"",OFFSET(PO!N$12,ROW(C22)-ROW(C$12),0))</f>
        <v>ARMAÇÃO DE BLOCO, VIGA BALDRAME OU SAPATA UTILIZANDO AÇO CA-50 DE 10 MM - MONTAGEM. AF_06/2017</v>
      </c>
      <c r="D22" s="129" t="str">
        <f ca="1">IF(OFFSET(PO!O$12,ROW(D22)-ROW(D$12),0)=0,"",OFFSET(PO!O$12,ROW(D22)-ROW(D$12),0))</f>
        <v>KG</v>
      </c>
      <c r="E22" s="165">
        <f ca="1">IF($A22&lt;&gt;"Serviço",0,ROUND(SUMIF($F$9:$P$9,"&lt;&gt;",$F22:$P22),15-13*PO!$X$3))</f>
        <v>284.31</v>
      </c>
      <c r="F22" s="400">
        <f ca="1">OFFSET(PO!$P$12,ROW($E22)-ROW(F$12),0)</f>
        <v>284.31</v>
      </c>
      <c r="G22" s="400"/>
      <c r="H22" s="400"/>
      <c r="I22" s="400"/>
      <c r="J22" s="400"/>
      <c r="K22" s="400"/>
      <c r="L22" s="400"/>
      <c r="M22" s="400"/>
      <c r="N22" s="400"/>
      <c r="O22" s="400"/>
      <c r="U22" s="215"/>
    </row>
    <row r="23" spans="1:21" s="4" customFormat="1" ht="38.25" x14ac:dyDescent="0.2">
      <c r="A23" s="128" t="str">
        <f ca="1">OFFSET(PO!J$12,ROW(A23)-ROW($A$12),0)</f>
        <v>Serviço</v>
      </c>
      <c r="B23" s="130" t="str">
        <f ca="1">IF($A23=0,"",OFFSET(PO!K$12,ROW(B23)-ROW(B$12),0))</f>
        <v>1.2.1.2.</v>
      </c>
      <c r="C23" s="127" t="str">
        <f ca="1">IF(OFFSET(PO!N$12,ROW(C23)-ROW(C$12),0)=0,"",OFFSET(PO!N$12,ROW(C23)-ROW(C$12),0))</f>
        <v>CONCRETAGEM DE SAPATAS, FCK 30 MPA, COM USO DE BOMBA  LANÇAMENTO, ADENSAMENTO E ACABAMENTO. AF_11/2016</v>
      </c>
      <c r="D23" s="129" t="str">
        <f ca="1">IF(OFFSET(PO!O$12,ROW(D23)-ROW(D$12),0)=0,"",OFFSET(PO!O$12,ROW(D23)-ROW(D$12),0))</f>
        <v>M3</v>
      </c>
      <c r="E23" s="165">
        <f ca="1">IF($A23&lt;&gt;"Serviço",0,ROUND(SUMIF($F$9:$P$9,"&lt;&gt;",$F23:$P23),15-13*PO!$X$3))</f>
        <v>19.2</v>
      </c>
      <c r="F23" s="400">
        <f ca="1">OFFSET(PO!$P$12,ROW($E23)-ROW(F$12),0)</f>
        <v>19.2</v>
      </c>
      <c r="G23" s="400"/>
      <c r="H23" s="400"/>
      <c r="I23" s="400"/>
      <c r="J23" s="400"/>
      <c r="K23" s="400"/>
      <c r="L23" s="400"/>
      <c r="M23" s="400"/>
      <c r="N23" s="400"/>
      <c r="O23" s="400"/>
      <c r="U23" s="215"/>
    </row>
    <row r="24" spans="1:21" s="4" customFormat="1" x14ac:dyDescent="0.2">
      <c r="A24" s="128" t="str">
        <f ca="1">OFFSET(PO!J$12,ROW(A24)-ROW($A$12),0)</f>
        <v>Serviço</v>
      </c>
      <c r="B24" s="130" t="str">
        <f ca="1">IF($A24=0,"",OFFSET(PO!K$12,ROW(B24)-ROW(B$12),0))</f>
        <v>1.2.1.3.</v>
      </c>
      <c r="C24" s="127" t="str">
        <f ca="1">IF(OFFSET(PO!N$12,ROW(C24)-ROW(C$12),0)=0,"",OFFSET(PO!N$12,ROW(C24)-ROW(C$12),0))</f>
        <v>FORMAS PINUS SAPATA</v>
      </c>
      <c r="D24" s="129" t="str">
        <f ca="1">IF(OFFSET(PO!O$12,ROW(D24)-ROW(D$12),0)=0,"",OFFSET(PO!O$12,ROW(D24)-ROW(D$12),0))</f>
        <v>M2</v>
      </c>
      <c r="E24" s="165">
        <f ca="1">IF($A24&lt;&gt;"Serviço",0,ROUND(SUMIF($F$9:$P$9,"&lt;&gt;",$F24:$P24),15-13*PO!$X$3))</f>
        <v>76.8</v>
      </c>
      <c r="F24" s="400">
        <f ca="1">OFFSET(PO!$P$12,ROW($E24)-ROW(F$12),0)</f>
        <v>76.8</v>
      </c>
      <c r="G24" s="400"/>
      <c r="H24" s="400"/>
      <c r="I24" s="400"/>
      <c r="J24" s="400"/>
      <c r="K24" s="400"/>
      <c r="L24" s="400"/>
      <c r="M24" s="400"/>
      <c r="N24" s="400"/>
      <c r="O24" s="400"/>
      <c r="U24" s="215"/>
    </row>
    <row r="25" spans="1:21" s="4" customFormat="1" ht="25.5" x14ac:dyDescent="0.2">
      <c r="A25" s="128" t="str">
        <f ca="1">OFFSET(PO!J$12,ROW(A25)-ROW($A$12),0)</f>
        <v>Nível 3</v>
      </c>
      <c r="B25" s="130" t="str">
        <f ca="1">IF($A25=0,"",OFFSET(PO!K$12,ROW(B25)-ROW(B$12),0))</f>
        <v>1.2.2.</v>
      </c>
      <c r="C25" s="127" t="str">
        <f ca="1">IF(OFFSET(PO!N$12,ROW(C25)-ROW(C$12),0)=0,"",OFFSET(PO!N$12,ROW(C25)-ROW(C$12),0))</f>
        <v>VIGA DE BALDRAME CONCRETO ARMADO E IMPERMEABILIZAÇÃO</v>
      </c>
      <c r="D25" s="129" t="str">
        <f ca="1">IF(OFFSET(PO!O$12,ROW(D25)-ROW(D$12),0)=0,"",OFFSET(PO!O$12,ROW(D25)-ROW(D$12),0))</f>
        <v/>
      </c>
      <c r="E25" s="165">
        <f ca="1">IF($A25&lt;&gt;"Serviço",0,ROUND(SUMIF($F$9:$P$9,"&lt;&gt;",$F25:$P25),15-13*PO!$X$3))</f>
        <v>0</v>
      </c>
      <c r="F25" s="400">
        <f ca="1">OFFSET(PO!$P$12,ROW($E25)-ROW(F$12),0)</f>
        <v>0</v>
      </c>
      <c r="G25" s="400"/>
      <c r="H25" s="400"/>
      <c r="I25" s="400"/>
      <c r="J25" s="400"/>
      <c r="K25" s="400"/>
      <c r="L25" s="400"/>
      <c r="M25" s="400"/>
      <c r="N25" s="400"/>
      <c r="O25" s="400"/>
      <c r="U25" s="215"/>
    </row>
    <row r="26" spans="1:21" s="4" customFormat="1" ht="25.5" x14ac:dyDescent="0.2">
      <c r="A26" s="128" t="str">
        <f ca="1">OFFSET(PO!J$12,ROW(A26)-ROW($A$12),0)</f>
        <v>Serviço</v>
      </c>
      <c r="B26" s="130" t="str">
        <f ca="1">IF($A26=0,"",OFFSET(PO!K$12,ROW(B26)-ROW(B$12),0))</f>
        <v>1.2.2.1.</v>
      </c>
      <c r="C26" s="127" t="str">
        <f ca="1">IF(OFFSET(PO!N$12,ROW(C26)-ROW(C$12),0)=0,"",OFFSET(PO!N$12,ROW(C26)-ROW(C$12),0))</f>
        <v>ARMAÇÃO DE BLOCO, VIGA BALDRAME OU SAPATA UTILIZANDO AÇO CA-50 DE 10 MM - MONTAGEM. AF_06/2017</v>
      </c>
      <c r="D26" s="129" t="str">
        <f ca="1">IF(OFFSET(PO!O$12,ROW(D26)-ROW(D$12),0)=0,"",OFFSET(PO!O$12,ROW(D26)-ROW(D$12),0))</f>
        <v>KG</v>
      </c>
      <c r="E26" s="165">
        <f ca="1">IF($A26&lt;&gt;"Serviço",0,ROUND(SUMIF($F$9:$P$9,"&lt;&gt;",$F26:$P26),15-13*PO!$X$3))</f>
        <v>387.23</v>
      </c>
      <c r="F26" s="400">
        <f ca="1">OFFSET(PO!$P$12,ROW($E26)-ROW(F$12),0)</f>
        <v>387.23</v>
      </c>
      <c r="G26" s="400"/>
      <c r="H26" s="400"/>
      <c r="I26" s="400"/>
      <c r="J26" s="400"/>
      <c r="K26" s="400"/>
      <c r="L26" s="400"/>
      <c r="M26" s="400"/>
      <c r="N26" s="400"/>
      <c r="O26" s="400"/>
      <c r="U26" s="215"/>
    </row>
    <row r="27" spans="1:21" s="4" customFormat="1" ht="25.5" x14ac:dyDescent="0.2">
      <c r="A27" s="128" t="str">
        <f ca="1">OFFSET(PO!J$12,ROW(A27)-ROW($A$12),0)</f>
        <v>Serviço</v>
      </c>
      <c r="B27" s="130" t="str">
        <f ca="1">IF($A27=0,"",OFFSET(PO!K$12,ROW(B27)-ROW(B$12),0))</f>
        <v>1.2.2.2.</v>
      </c>
      <c r="C27" s="127" t="str">
        <f ca="1">IF(OFFSET(PO!N$12,ROW(C27)-ROW(C$12),0)=0,"",OFFSET(PO!N$12,ROW(C27)-ROW(C$12),0))</f>
        <v>ARMAÇÃO DE BLOCO, VIGA BALDRAME E SAPATA UTILIZANDO AÇO CA-60 DE 5 MM - MONTAGEM. AF_06/2017</v>
      </c>
      <c r="D27" s="129" t="str">
        <f ca="1">IF(OFFSET(PO!O$12,ROW(D27)-ROW(D$12),0)=0,"",OFFSET(PO!O$12,ROW(D27)-ROW(D$12),0))</f>
        <v>KG</v>
      </c>
      <c r="E27" s="165">
        <f ca="1">IF($A27&lt;&gt;"Serviço",0,ROUND(SUMIF($F$9:$P$9,"&lt;&gt;",$F27:$P27),15-13*PO!$X$3))</f>
        <v>161.88</v>
      </c>
      <c r="F27" s="400">
        <f ca="1">OFFSET(PO!$P$12,ROW($E27)-ROW(F$12),0)</f>
        <v>161.88</v>
      </c>
      <c r="G27" s="400"/>
      <c r="H27" s="400"/>
      <c r="I27" s="400"/>
      <c r="J27" s="400"/>
      <c r="K27" s="400"/>
      <c r="L27" s="400"/>
      <c r="M27" s="400"/>
      <c r="N27" s="400"/>
      <c r="O27" s="400"/>
      <c r="U27" s="215"/>
    </row>
    <row r="28" spans="1:21" s="4" customFormat="1" ht="38.25" x14ac:dyDescent="0.2">
      <c r="A28" s="128" t="str">
        <f ca="1">OFFSET(PO!J$12,ROW(A28)-ROW($A$12),0)</f>
        <v>Serviço</v>
      </c>
      <c r="B28" s="130" t="str">
        <f ca="1">IF($A28=0,"",OFFSET(PO!K$12,ROW(B28)-ROW(B$12),0))</f>
        <v>1.2.2.3.</v>
      </c>
      <c r="C28" s="127" t="str">
        <f ca="1">IF(OFFSET(PO!N$12,ROW(C28)-ROW(C$12),0)=0,"",OFFSET(PO!N$12,ROW(C28)-ROW(C$12),0))</f>
        <v>CONCRETAGEM DE BLOCOS DE COROAMENTO E VIGAS BALDRAMES, FCK 30 MPA, COM USO DE BOMBA  LANÇAMENTO, ADENSAMENTO E ACABAMENTO. AF_06/2017</v>
      </c>
      <c r="D28" s="129" t="str">
        <f ca="1">IF(OFFSET(PO!O$12,ROW(D28)-ROW(D$12),0)=0,"",OFFSET(PO!O$12,ROW(D28)-ROW(D$12),0))</f>
        <v>M3</v>
      </c>
      <c r="E28" s="165">
        <f ca="1">IF($A28&lt;&gt;"Serviço",0,ROUND(SUMIF($F$9:$P$9,"&lt;&gt;",$F28:$P28),15-13*PO!$X$3))</f>
        <v>7.85</v>
      </c>
      <c r="F28" s="400">
        <f ca="1">OFFSET(PO!$P$12,ROW($E28)-ROW(F$12),0)</f>
        <v>7.85</v>
      </c>
      <c r="G28" s="400"/>
      <c r="H28" s="400"/>
      <c r="I28" s="400"/>
      <c r="J28" s="400"/>
      <c r="K28" s="400"/>
      <c r="L28" s="400"/>
      <c r="M28" s="400"/>
      <c r="N28" s="400"/>
      <c r="O28" s="400"/>
      <c r="U28" s="215"/>
    </row>
    <row r="29" spans="1:21" s="4" customFormat="1" x14ac:dyDescent="0.2">
      <c r="A29" s="128" t="str">
        <f ca="1">OFFSET(PO!J$12,ROW(A29)-ROW($A$12),0)</f>
        <v>Serviço</v>
      </c>
      <c r="B29" s="130" t="str">
        <f ca="1">IF($A29=0,"",OFFSET(PO!K$12,ROW(B29)-ROW(B$12),0))</f>
        <v>1.2.2.4.</v>
      </c>
      <c r="C29" s="127" t="str">
        <f ca="1">IF(OFFSET(PO!N$12,ROW(C29)-ROW(C$12),0)=0,"",OFFSET(PO!N$12,ROW(C29)-ROW(C$12),0))</f>
        <v>FORMAS PINUS  VIGA</v>
      </c>
      <c r="D29" s="129" t="str">
        <f ca="1">IF(OFFSET(PO!O$12,ROW(D29)-ROW(D$12),0)=0,"",OFFSET(PO!O$12,ROW(D29)-ROW(D$12),0))</f>
        <v>M2</v>
      </c>
      <c r="E29" s="165">
        <f ca="1">IF($A29&lt;&gt;"Serviço",0,ROUND(SUMIF($F$9:$P$9,"&lt;&gt;",$F29:$P29),15-13*PO!$X$3))</f>
        <v>78.45</v>
      </c>
      <c r="F29" s="400">
        <f ca="1">OFFSET(PO!$P$12,ROW($E29)-ROW(F$12),0)</f>
        <v>78.45</v>
      </c>
      <c r="G29" s="400"/>
      <c r="H29" s="400"/>
      <c r="I29" s="400"/>
      <c r="J29" s="400"/>
      <c r="K29" s="400"/>
      <c r="L29" s="400"/>
      <c r="M29" s="400"/>
      <c r="N29" s="400"/>
      <c r="O29" s="400"/>
      <c r="U29" s="215"/>
    </row>
    <row r="30" spans="1:21" s="4" customFormat="1" ht="25.5" x14ac:dyDescent="0.2">
      <c r="A30" s="128" t="str">
        <f ca="1">OFFSET(PO!J$12,ROW(A30)-ROW($A$12),0)</f>
        <v>Serviço</v>
      </c>
      <c r="B30" s="130" t="str">
        <f ca="1">IF($A30=0,"",OFFSET(PO!K$12,ROW(B30)-ROW(B$12),0))</f>
        <v>1.2.2.5.</v>
      </c>
      <c r="C30" s="127" t="str">
        <f ca="1">IF(OFFSET(PO!N$12,ROW(C30)-ROW(C$12),0)=0,"",OFFSET(PO!N$12,ROW(C30)-ROW(C$12),0))</f>
        <v>IMPERMEABILIZAÇÃO DE SUPERFÍCIE COM EMULSÃO ASFÁLTICA, 2 DEMÃOS AF_06/2018</v>
      </c>
      <c r="D30" s="129" t="str">
        <f ca="1">IF(OFFSET(PO!O$12,ROW(D30)-ROW(D$12),0)=0,"",OFFSET(PO!O$12,ROW(D30)-ROW(D$12),0))</f>
        <v>M2</v>
      </c>
      <c r="E30" s="165">
        <f ca="1">IF($A30&lt;&gt;"Serviço",0,ROUND(SUMIF($F$9:$P$9,"&lt;&gt;",$F30:$P30),15-13*PO!$X$3))</f>
        <v>109.83</v>
      </c>
      <c r="F30" s="400">
        <f ca="1">OFFSET(PO!$P$12,ROW($E30)-ROW(F$12),0)</f>
        <v>109.83</v>
      </c>
      <c r="G30" s="400"/>
      <c r="H30" s="400"/>
      <c r="I30" s="400"/>
      <c r="J30" s="400"/>
      <c r="K30" s="400"/>
      <c r="L30" s="400"/>
      <c r="M30" s="400"/>
      <c r="N30" s="400"/>
      <c r="O30" s="400"/>
      <c r="U30" s="215"/>
    </row>
    <row r="31" spans="1:21" s="4" customFormat="1" x14ac:dyDescent="0.2">
      <c r="A31" s="128" t="str">
        <f ca="1">OFFSET(PO!J$12,ROW(A31)-ROW($A$12),0)</f>
        <v>Nível 2</v>
      </c>
      <c r="B31" s="130" t="str">
        <f ca="1">IF($A31=0,"",OFFSET(PO!K$12,ROW(B31)-ROW(B$12),0))</f>
        <v>1.3.</v>
      </c>
      <c r="C31" s="127" t="str">
        <f ca="1">IF(OFFSET(PO!N$12,ROW(C31)-ROW(C$12),0)=0,"",OFFSET(PO!N$12,ROW(C31)-ROW(C$12),0))</f>
        <v>PAREDES</v>
      </c>
      <c r="D31" s="129" t="str">
        <f ca="1">IF(OFFSET(PO!O$12,ROW(D31)-ROW(D$12),0)=0,"",OFFSET(PO!O$12,ROW(D31)-ROW(D$12),0))</f>
        <v/>
      </c>
      <c r="E31" s="165">
        <f ca="1">IF($A31&lt;&gt;"Serviço",0,ROUND(SUMIF($F$9:$P$9,"&lt;&gt;",$F31:$P31),15-13*PO!$X$3))</f>
        <v>0</v>
      </c>
      <c r="F31" s="400">
        <f ca="1">OFFSET(PO!$P$12,ROW($E31)-ROW(F$12),0)</f>
        <v>0</v>
      </c>
      <c r="G31" s="400"/>
      <c r="H31" s="400"/>
      <c r="I31" s="400"/>
      <c r="J31" s="400"/>
      <c r="K31" s="400"/>
      <c r="L31" s="400"/>
      <c r="M31" s="400"/>
      <c r="N31" s="400"/>
      <c r="O31" s="400"/>
      <c r="U31" s="215"/>
    </row>
    <row r="32" spans="1:21" s="4" customFormat="1" ht="25.5" x14ac:dyDescent="0.2">
      <c r="A32" s="128" t="str">
        <f ca="1">OFFSET(PO!J$12,ROW(A32)-ROW($A$12),0)</f>
        <v>Serviço</v>
      </c>
      <c r="B32" s="130" t="str">
        <f ca="1">IF($A32=0,"",OFFSET(PO!K$12,ROW(B32)-ROW(B$12),0))</f>
        <v>1.3.0.1.</v>
      </c>
      <c r="C32" s="127" t="str">
        <f ca="1">IF(OFFSET(PO!N$12,ROW(C32)-ROW(C$12),0)=0,"",OFFSET(PO!N$12,ROW(C32)-ROW(C$12),0))</f>
        <v>ALVENARIA DE TIJOLOS CERÂMICOS MACIÇOS 5X10X20 CM PAREDE 20 CM</v>
      </c>
      <c r="D32" s="129" t="str">
        <f ca="1">IF(OFFSET(PO!O$12,ROW(D32)-ROW(D$12),0)=0,"",OFFSET(PO!O$12,ROW(D32)-ROW(D$12),0))</f>
        <v>M2</v>
      </c>
      <c r="E32" s="165">
        <f ca="1">IF($A32&lt;&gt;"Serviço",0,ROUND(SUMIF($F$9:$P$9,"&lt;&gt;",$F32:$P32),15-13*PO!$X$3))</f>
        <v>109.43</v>
      </c>
      <c r="F32" s="400">
        <f ca="1">OFFSET(PO!$P$12,ROW($E32)-ROW(F$12),0)</f>
        <v>109.43</v>
      </c>
      <c r="G32" s="400"/>
      <c r="H32" s="400"/>
      <c r="I32" s="400"/>
      <c r="J32" s="400"/>
      <c r="K32" s="400"/>
      <c r="L32" s="400"/>
      <c r="M32" s="400"/>
      <c r="N32" s="400"/>
      <c r="O32" s="400"/>
      <c r="U32" s="215"/>
    </row>
    <row r="33" spans="1:21" s="4" customFormat="1" ht="51" x14ac:dyDescent="0.2">
      <c r="A33" s="128" t="str">
        <f ca="1">OFFSET(PO!J$12,ROW(A33)-ROW($A$12),0)</f>
        <v>Serviço</v>
      </c>
      <c r="B33" s="130" t="str">
        <f ca="1">IF($A33=0,"",OFFSET(PO!K$12,ROW(B33)-ROW(B$12),0))</f>
        <v>1.3.0.2.</v>
      </c>
      <c r="C33" s="127" t="str">
        <f ca="1">IF(OFFSET(PO!N$12,ROW(C33)-ROW(C$12),0)=0,"",OFFSET(PO!N$12,ROW(C33)-ROW(C$12),0))</f>
        <v>DRENO EM MURO DE CONTENÇÃO, EXECUTADO NO PÉ DO MURO, COM TUBO DE PVC CORRUGADO FLEXÍVEL PERFURADO, ENCHIMENTO COM BRITA, ENVOLVIDO COM MANTA GEOTÊXTIL. AF_07/2021</v>
      </c>
      <c r="D33" s="129" t="str">
        <f ca="1">IF(OFFSET(PO!O$12,ROW(D33)-ROW(D$12),0)=0,"",OFFSET(PO!O$12,ROW(D33)-ROW(D$12),0))</f>
        <v>M</v>
      </c>
      <c r="E33" s="165">
        <f ca="1">IF($A33&lt;&gt;"Serviço",0,ROUND(SUMIF($F$9:$P$9,"&lt;&gt;",$F33:$P33),15-13*PO!$X$3))</f>
        <v>50</v>
      </c>
      <c r="F33" s="400">
        <f ca="1">OFFSET(PO!$P$12,ROW($E33)-ROW(F$12),0)</f>
        <v>50</v>
      </c>
      <c r="G33" s="400"/>
      <c r="H33" s="400"/>
      <c r="I33" s="400"/>
      <c r="J33" s="400"/>
      <c r="K33" s="400"/>
      <c r="L33" s="400"/>
      <c r="M33" s="400"/>
      <c r="N33" s="400"/>
      <c r="O33" s="400"/>
      <c r="U33" s="215"/>
    </row>
    <row r="34" spans="1:21" s="4" customFormat="1" x14ac:dyDescent="0.2">
      <c r="A34" s="128" t="str">
        <f ca="1">OFFSET(PO!J$12,ROW(A34)-ROW($A$12),0)</f>
        <v>Nível 2</v>
      </c>
      <c r="B34" s="130" t="str">
        <f ca="1">IF($A34=0,"",OFFSET(PO!K$12,ROW(B34)-ROW(B$12),0))</f>
        <v>1.4.</v>
      </c>
      <c r="C34" s="127" t="str">
        <f ca="1">IF(OFFSET(PO!N$12,ROW(C34)-ROW(C$12),0)=0,"",OFFSET(PO!N$12,ROW(C34)-ROW(C$12),0))</f>
        <v>SUPRAESTUTURA- VIGAS SUPERIORES E PILARES</v>
      </c>
      <c r="D34" s="129" t="str">
        <f ca="1">IF(OFFSET(PO!O$12,ROW(D34)-ROW(D$12),0)=0,"",OFFSET(PO!O$12,ROW(D34)-ROW(D$12),0))</f>
        <v/>
      </c>
      <c r="E34" s="165">
        <f ca="1">IF($A34&lt;&gt;"Serviço",0,ROUND(SUMIF($F$9:$P$9,"&lt;&gt;",$F34:$P34),15-13*PO!$X$3))</f>
        <v>0</v>
      </c>
      <c r="F34" s="400">
        <f ca="1">OFFSET(PO!$P$12,ROW($E34)-ROW(F$12),0)</f>
        <v>0</v>
      </c>
      <c r="G34" s="400"/>
      <c r="H34" s="400"/>
      <c r="I34" s="400"/>
      <c r="J34" s="400"/>
      <c r="K34" s="400"/>
      <c r="L34" s="400"/>
      <c r="M34" s="400"/>
      <c r="N34" s="400"/>
      <c r="O34" s="400"/>
      <c r="U34" s="215"/>
    </row>
    <row r="35" spans="1:21" s="4" customFormat="1" x14ac:dyDescent="0.2">
      <c r="A35" s="128" t="str">
        <f ca="1">OFFSET(PO!J$12,ROW(A35)-ROW($A$12),0)</f>
        <v>Nível 3</v>
      </c>
      <c r="B35" s="130" t="str">
        <f ca="1">IF($A35=0,"",OFFSET(PO!K$12,ROW(B35)-ROW(B$12),0))</f>
        <v>1.4.1.</v>
      </c>
      <c r="C35" s="127" t="str">
        <f ca="1">IF(OFFSET(PO!N$12,ROW(C35)-ROW(C$12),0)=0,"",OFFSET(PO!N$12,ROW(C35)-ROW(C$12),0))</f>
        <v>PILARES</v>
      </c>
      <c r="D35" s="129" t="str">
        <f ca="1">IF(OFFSET(PO!O$12,ROW(D35)-ROW(D$12),0)=0,"",OFFSET(PO!O$12,ROW(D35)-ROW(D$12),0))</f>
        <v/>
      </c>
      <c r="E35" s="165">
        <f ca="1">IF($A35&lt;&gt;"Serviço",0,ROUND(SUMIF($F$9:$P$9,"&lt;&gt;",$F35:$P35),15-13*PO!$X$3))</f>
        <v>0</v>
      </c>
      <c r="F35" s="400">
        <f ca="1">OFFSET(PO!$P$12,ROW($E35)-ROW(F$12),0)</f>
        <v>0</v>
      </c>
      <c r="G35" s="400"/>
      <c r="H35" s="400"/>
      <c r="I35" s="400"/>
      <c r="J35" s="400"/>
      <c r="K35" s="400"/>
      <c r="L35" s="400"/>
      <c r="M35" s="400"/>
      <c r="N35" s="400"/>
      <c r="O35" s="400"/>
      <c r="U35" s="215"/>
    </row>
    <row r="36" spans="1:21" s="4" customFormat="1" x14ac:dyDescent="0.2">
      <c r="A36" s="128" t="str">
        <f ca="1">OFFSET(PO!J$12,ROW(A36)-ROW($A$12),0)</f>
        <v>Serviço</v>
      </c>
      <c r="B36" s="130" t="str">
        <f ca="1">IF($A36=0,"",OFFSET(PO!K$12,ROW(B36)-ROW(B$12),0))</f>
        <v>1.4.1.1.</v>
      </c>
      <c r="C36" s="127" t="str">
        <f ca="1">IF(OFFSET(PO!N$12,ROW(C36)-ROW(C$12),0)=0,"",OFFSET(PO!N$12,ROW(C36)-ROW(C$12),0))</f>
        <v>FORMAS PINUS PILARES</v>
      </c>
      <c r="D36" s="129" t="str">
        <f ca="1">IF(OFFSET(PO!O$12,ROW(D36)-ROW(D$12),0)=0,"",OFFSET(PO!O$12,ROW(D36)-ROW(D$12),0))</f>
        <v>M2</v>
      </c>
      <c r="E36" s="165">
        <f ca="1">IF($A36&lt;&gt;"Serviço",0,ROUND(SUMIF($F$9:$P$9,"&lt;&gt;",$F36:$P36),15-13*PO!$X$3))</f>
        <v>26.52</v>
      </c>
      <c r="F36" s="400">
        <f ca="1">OFFSET(PO!$P$12,ROW($E36)-ROW(F$12),0)</f>
        <v>26.52</v>
      </c>
      <c r="G36" s="400"/>
      <c r="H36" s="400"/>
      <c r="I36" s="400"/>
      <c r="J36" s="400"/>
      <c r="K36" s="400"/>
      <c r="L36" s="400"/>
      <c r="M36" s="400"/>
      <c r="N36" s="400"/>
      <c r="O36" s="400"/>
      <c r="U36" s="215"/>
    </row>
    <row r="37" spans="1:21" s="4" customFormat="1" ht="25.5" x14ac:dyDescent="0.2">
      <c r="A37" s="128" t="str">
        <f ca="1">OFFSET(PO!J$12,ROW(A37)-ROW($A$12),0)</f>
        <v>Serviço</v>
      </c>
      <c r="B37" s="130" t="str">
        <f ca="1">IF($A37=0,"",OFFSET(PO!K$12,ROW(B37)-ROW(B$12),0))</f>
        <v>1.4.1.2.</v>
      </c>
      <c r="C37" s="127" t="str">
        <f ca="1">IF(OFFSET(PO!N$12,ROW(C37)-ROW(C$12),0)=0,"",OFFSET(PO!N$12,ROW(C37)-ROW(C$12),0))</f>
        <v>CONCRETAGEM DE PILARES FCK 30 MPA COM USO DE BOMBA-LANÇAMENTO, ADENSAMENTO E ACABAMENTO</v>
      </c>
      <c r="D37" s="129" t="str">
        <f ca="1">IF(OFFSET(PO!O$12,ROW(D37)-ROW(D$12),0)=0,"",OFFSET(PO!O$12,ROW(D37)-ROW(D$12),0))</f>
        <v>M3</v>
      </c>
      <c r="E37" s="165">
        <f ca="1">IF($A37&lt;&gt;"Serviço",0,ROUND(SUMIF($F$9:$P$9,"&lt;&gt;",$F37:$P37),15-13*PO!$X$3))</f>
        <v>2.65</v>
      </c>
      <c r="F37" s="400">
        <f ca="1">OFFSET(PO!$P$12,ROW($E37)-ROW(F$12),0)</f>
        <v>2.65</v>
      </c>
      <c r="G37" s="400"/>
      <c r="H37" s="400"/>
      <c r="I37" s="400"/>
      <c r="J37" s="400"/>
      <c r="K37" s="400"/>
      <c r="L37" s="400"/>
      <c r="M37" s="400"/>
      <c r="N37" s="400"/>
      <c r="O37" s="400"/>
      <c r="U37" s="215"/>
    </row>
    <row r="38" spans="1:21" s="4" customFormat="1" ht="38.25" x14ac:dyDescent="0.2">
      <c r="A38" s="128" t="str">
        <f ca="1">OFFSET(PO!J$12,ROW(A38)-ROW($A$12),0)</f>
        <v>Serviço</v>
      </c>
      <c r="B38" s="130" t="str">
        <f ca="1">IF($A38=0,"",OFFSET(PO!K$12,ROW(B38)-ROW(B$12),0))</f>
        <v>1.4.1.3.</v>
      </c>
      <c r="C38" s="127" t="str">
        <f ca="1">IF(OFFSET(PO!N$12,ROW(C38)-ROW(C$12),0)=0,"",OFFSET(PO!N$12,ROW(C38)-ROW(C$12),0))</f>
        <v>ARMAÇÃO DE PILAR OU VIGA DE ESTRUTURA DE CONCRETO ARMADO EMBUTIDA EM ALVENARIA DE VEDAÇÃO UTILIZANDO AÇO CA-50 DE 10,0 MM - MONTAGEM. AF_06/2022</v>
      </c>
      <c r="D38" s="129" t="str">
        <f ca="1">IF(OFFSET(PO!O$12,ROW(D38)-ROW(D$12),0)=0,"",OFFSET(PO!O$12,ROW(D38)-ROW(D$12),0))</f>
        <v>KG</v>
      </c>
      <c r="E38" s="165">
        <f ca="1">IF($A38&lt;&gt;"Serviço",0,ROUND(SUMIF($F$9:$P$9,"&lt;&gt;",$F38:$P38),15-13*PO!$X$3))</f>
        <v>128.58000000000001</v>
      </c>
      <c r="F38" s="400">
        <f ca="1">OFFSET(PO!$P$12,ROW($E38)-ROW(F$12),0)</f>
        <v>128.58000000000001</v>
      </c>
      <c r="G38" s="400"/>
      <c r="H38" s="400"/>
      <c r="I38" s="400"/>
      <c r="J38" s="400"/>
      <c r="K38" s="400"/>
      <c r="L38" s="400"/>
      <c r="M38" s="400"/>
      <c r="N38" s="400"/>
      <c r="O38" s="400"/>
      <c r="U38" s="215"/>
    </row>
    <row r="39" spans="1:21" s="4" customFormat="1" ht="38.25" x14ac:dyDescent="0.2">
      <c r="A39" s="128" t="str">
        <f ca="1">OFFSET(PO!J$12,ROW(A39)-ROW($A$12),0)</f>
        <v>Serviço</v>
      </c>
      <c r="B39" s="130" t="str">
        <f ca="1">IF($A39=0,"",OFFSET(PO!K$12,ROW(B39)-ROW(B$12),0))</f>
        <v>1.4.1.4.</v>
      </c>
      <c r="C39" s="127" t="str">
        <f ca="1">IF(OFFSET(PO!N$12,ROW(C39)-ROW(C$12),0)=0,"",OFFSET(PO!N$12,ROW(C39)-ROW(C$12),0))</f>
        <v>ARMAÇÃO DE PILAR OU VIGA DE ESTRUTURA DE CONCRETO ARMADO EMBUTIDA EM ALVENARIA DE VEDAÇÃO UTILIZANDO AÇO CA-60 DE 5,0 MM - MONTAGEM. AF_06/2022</v>
      </c>
      <c r="D39" s="129" t="str">
        <f ca="1">IF(OFFSET(PO!O$12,ROW(D39)-ROW(D$12),0)=0,"",OFFSET(PO!O$12,ROW(D39)-ROW(D$12),0))</f>
        <v>KG</v>
      </c>
      <c r="E39" s="165">
        <f ca="1">IF($A39&lt;&gt;"Serviço",0,ROUND(SUMIF($F$9:$P$9,"&lt;&gt;",$F39:$P39),15-13*PO!$X$3))</f>
        <v>51.34</v>
      </c>
      <c r="F39" s="400">
        <f ca="1">OFFSET(PO!$P$12,ROW($E39)-ROW(F$12),0)</f>
        <v>51.34</v>
      </c>
      <c r="G39" s="400"/>
      <c r="H39" s="400"/>
      <c r="I39" s="400"/>
      <c r="J39" s="400"/>
      <c r="K39" s="400"/>
      <c r="L39" s="400"/>
      <c r="M39" s="400"/>
      <c r="N39" s="400"/>
      <c r="O39" s="400"/>
      <c r="U39" s="215"/>
    </row>
    <row r="40" spans="1:21" s="4" customFormat="1" x14ac:dyDescent="0.2">
      <c r="A40" s="128" t="str">
        <f ca="1">OFFSET(PO!J$12,ROW(A40)-ROW($A$12),0)</f>
        <v>Nível 3</v>
      </c>
      <c r="B40" s="130" t="str">
        <f ca="1">IF($A40=0,"",OFFSET(PO!K$12,ROW(B40)-ROW(B$12),0))</f>
        <v>1.4.2.</v>
      </c>
      <c r="C40" s="127" t="str">
        <f ca="1">IF(OFFSET(PO!N$12,ROW(C40)-ROW(C$12),0)=0,"",OFFSET(PO!N$12,ROW(C40)-ROW(C$12),0))</f>
        <v>VIGAS SUPERIORES HORIZONTAIS E INCLINADAS</v>
      </c>
      <c r="D40" s="129" t="str">
        <f ca="1">IF(OFFSET(PO!O$12,ROW(D40)-ROW(D$12),0)=0,"",OFFSET(PO!O$12,ROW(D40)-ROW(D$12),0))</f>
        <v/>
      </c>
      <c r="E40" s="165">
        <f ca="1">IF($A40&lt;&gt;"Serviço",0,ROUND(SUMIF($F$9:$P$9,"&lt;&gt;",$F40:$P40),15-13*PO!$X$3))</f>
        <v>0</v>
      </c>
      <c r="F40" s="400">
        <f ca="1">OFFSET(PO!$P$12,ROW($E40)-ROW(F$12),0)</f>
        <v>0</v>
      </c>
      <c r="G40" s="400"/>
      <c r="H40" s="400"/>
      <c r="I40" s="400"/>
      <c r="J40" s="400"/>
      <c r="K40" s="400"/>
      <c r="L40" s="400"/>
      <c r="M40" s="400"/>
      <c r="N40" s="400"/>
      <c r="O40" s="400"/>
      <c r="U40" s="215"/>
    </row>
    <row r="41" spans="1:21" s="4" customFormat="1" ht="25.5" x14ac:dyDescent="0.2">
      <c r="A41" s="128" t="str">
        <f ca="1">OFFSET(PO!J$12,ROW(A41)-ROW($A$12),0)</f>
        <v>Serviço</v>
      </c>
      <c r="B41" s="130" t="str">
        <f ca="1">IF($A41=0,"",OFFSET(PO!K$12,ROW(B41)-ROW(B$12),0))</f>
        <v>1.4.2.1.</v>
      </c>
      <c r="C41" s="127" t="str">
        <f ca="1">IF(OFFSET(PO!N$12,ROW(C41)-ROW(C$12),0)=0,"",OFFSET(PO!N$12,ROW(C41)-ROW(C$12),0))</f>
        <v>CONCRETAGEM DE VIGAS FCK 30 MPA COM USO DE BOMBA-LANÇAMENTO, ADENSAMENTO E ACABAMENTO</v>
      </c>
      <c r="D41" s="129" t="str">
        <f ca="1">IF(OFFSET(PO!O$12,ROW(D41)-ROW(D$12),0)=0,"",OFFSET(PO!O$12,ROW(D41)-ROW(D$12),0))</f>
        <v>M3</v>
      </c>
      <c r="E41" s="165">
        <f ca="1">IF($A41&lt;&gt;"Serviço",0,ROUND(SUMIF($F$9:$P$9,"&lt;&gt;",$F41:$P41),15-13*PO!$X$3))</f>
        <v>5.17</v>
      </c>
      <c r="F41" s="400">
        <f ca="1">OFFSET(PO!$P$12,ROW($E41)-ROW(F$12),0)</f>
        <v>5.17</v>
      </c>
      <c r="G41" s="400"/>
      <c r="H41" s="400"/>
      <c r="I41" s="400"/>
      <c r="J41" s="400"/>
      <c r="K41" s="400"/>
      <c r="L41" s="400"/>
      <c r="M41" s="400"/>
      <c r="N41" s="400"/>
      <c r="O41" s="400"/>
      <c r="U41" s="215"/>
    </row>
    <row r="42" spans="1:21" s="4" customFormat="1" ht="38.25" x14ac:dyDescent="0.2">
      <c r="A42" s="128" t="str">
        <f ca="1">OFFSET(PO!J$12,ROW(A42)-ROW($A$12),0)</f>
        <v>Serviço</v>
      </c>
      <c r="B42" s="130" t="str">
        <f ca="1">IF($A42=0,"",OFFSET(PO!K$12,ROW(B42)-ROW(B$12),0))</f>
        <v>1.4.2.2.</v>
      </c>
      <c r="C42" s="127" t="str">
        <f ca="1">IF(OFFSET(PO!N$12,ROW(C42)-ROW(C$12),0)=0,"",OFFSET(PO!N$12,ROW(C42)-ROW(C$12),0))</f>
        <v>ARMAÇÃO DE PILAR OU VIGA DE ESTRUTURA DE CONCRETO ARMADO EMBUTIDA EM ALVENARIA DE VEDAÇÃO UTILIZANDO AÇO CA-50 DE 10,0 MM - MONTAGEM. AF_06/2022</v>
      </c>
      <c r="D42" s="129" t="str">
        <f ca="1">IF(OFFSET(PO!O$12,ROW(D42)-ROW(D$12),0)=0,"",OFFSET(PO!O$12,ROW(D42)-ROW(D$12),0))</f>
        <v>KG</v>
      </c>
      <c r="E42" s="165">
        <f ca="1">IF($A42&lt;&gt;"Serviço",0,ROUND(SUMIF($F$9:$P$9,"&lt;&gt;",$F42:$P42),15-13*PO!$X$3))</f>
        <v>255.31</v>
      </c>
      <c r="F42" s="400">
        <f ca="1">OFFSET(PO!$P$12,ROW($E42)-ROW(F$12),0)</f>
        <v>255.31</v>
      </c>
      <c r="G42" s="400"/>
      <c r="H42" s="400"/>
      <c r="I42" s="400"/>
      <c r="J42" s="400"/>
      <c r="K42" s="400"/>
      <c r="L42" s="400"/>
      <c r="M42" s="400"/>
      <c r="N42" s="400"/>
      <c r="O42" s="400"/>
      <c r="U42" s="215"/>
    </row>
    <row r="43" spans="1:21" s="4" customFormat="1" ht="38.25" x14ac:dyDescent="0.2">
      <c r="A43" s="128" t="str">
        <f ca="1">OFFSET(PO!J$12,ROW(A43)-ROW($A$12),0)</f>
        <v>Serviço</v>
      </c>
      <c r="B43" s="130" t="str">
        <f ca="1">IF($A43=0,"",OFFSET(PO!K$12,ROW(B43)-ROW(B$12),0))</f>
        <v>1.4.2.3.</v>
      </c>
      <c r="C43" s="127" t="str">
        <f ca="1">IF(OFFSET(PO!N$12,ROW(C43)-ROW(C$12),0)=0,"",OFFSET(PO!N$12,ROW(C43)-ROW(C$12),0))</f>
        <v>ARMAÇÃO DE PILAR OU VIGA DE ESTRUTURA DE CONCRETO ARMADO EMBUTIDA EM ALVENARIA DE VEDAÇÃO UTILIZANDO AÇO CA-60 DE 5,0 MM - MONTAGEM. AF_06/2022</v>
      </c>
      <c r="D43" s="129" t="str">
        <f ca="1">IF(OFFSET(PO!O$12,ROW(D43)-ROW(D$12),0)=0,"",OFFSET(PO!O$12,ROW(D43)-ROW(D$12),0))</f>
        <v>KG</v>
      </c>
      <c r="E43" s="165">
        <f ca="1">IF($A43&lt;&gt;"Serviço",0,ROUND(SUMIF($F$9:$P$9,"&lt;&gt;",$F43:$P43),15-13*PO!$X$3))</f>
        <v>106.74</v>
      </c>
      <c r="F43" s="400">
        <f ca="1">OFFSET(PO!$P$12,ROW($E43)-ROW(F$12),0)</f>
        <v>106.74</v>
      </c>
      <c r="G43" s="400"/>
      <c r="H43" s="400"/>
      <c r="I43" s="400"/>
      <c r="J43" s="400"/>
      <c r="K43" s="400"/>
      <c r="L43" s="400"/>
      <c r="M43" s="400"/>
      <c r="N43" s="400"/>
      <c r="O43" s="400"/>
      <c r="U43" s="215"/>
    </row>
    <row r="44" spans="1:21" s="4" customFormat="1" x14ac:dyDescent="0.2">
      <c r="A44" s="128" t="str">
        <f ca="1">OFFSET(PO!J$12,ROW(A44)-ROW($A$12),0)</f>
        <v>Serviço</v>
      </c>
      <c r="B44" s="130" t="str">
        <f ca="1">IF($A44=0,"",OFFSET(PO!K$12,ROW(B44)-ROW(B$12),0))</f>
        <v>1.4.2.4.</v>
      </c>
      <c r="C44" s="127" t="str">
        <f ca="1">IF(OFFSET(PO!N$12,ROW(C44)-ROW(C$12),0)=0,"",OFFSET(PO!N$12,ROW(C44)-ROW(C$12),0))</f>
        <v>FORMAS PINUS  VIGA</v>
      </c>
      <c r="D44" s="129" t="str">
        <f ca="1">IF(OFFSET(PO!O$12,ROW(D44)-ROW(D$12),0)=0,"",OFFSET(PO!O$12,ROW(D44)-ROW(D$12),0))</f>
        <v>M2</v>
      </c>
      <c r="E44" s="165">
        <f ca="1">IF($A44&lt;&gt;"Serviço",0,ROUND(SUMIF($F$9:$P$9,"&lt;&gt;",$F44:$P44),15-13*PO!$X$3))</f>
        <v>51.72</v>
      </c>
      <c r="F44" s="400">
        <f ca="1">OFFSET(PO!$P$12,ROW($E44)-ROW(F$12),0)</f>
        <v>51.72</v>
      </c>
      <c r="G44" s="400"/>
      <c r="H44" s="400"/>
      <c r="I44" s="400"/>
      <c r="J44" s="400"/>
      <c r="K44" s="400"/>
      <c r="L44" s="400"/>
      <c r="M44" s="400"/>
      <c r="N44" s="400"/>
      <c r="O44" s="400"/>
      <c r="U44" s="215"/>
    </row>
    <row r="45" spans="1:21" s="4" customFormat="1" x14ac:dyDescent="0.2">
      <c r="A45" s="128" t="str">
        <f ca="1">OFFSET(PO!J$12,ROW(A45)-ROW($A$12),0)</f>
        <v>Nível 2</v>
      </c>
      <c r="B45" s="130" t="str">
        <f ca="1">IF($A45=0,"",OFFSET(PO!K$12,ROW(B45)-ROW(B$12),0))</f>
        <v>1.5.</v>
      </c>
      <c r="C45" s="127" t="str">
        <f ca="1">IF(OFFSET(PO!N$12,ROW(C45)-ROW(C$12),0)=0,"",OFFSET(PO!N$12,ROW(C45)-ROW(C$12),0))</f>
        <v>REVESTIMENTOS</v>
      </c>
      <c r="D45" s="129" t="str">
        <f ca="1">IF(OFFSET(PO!O$12,ROW(D45)-ROW(D$12),0)=0,"",OFFSET(PO!O$12,ROW(D45)-ROW(D$12),0))</f>
        <v/>
      </c>
      <c r="E45" s="165">
        <f ca="1">IF($A45&lt;&gt;"Serviço",0,ROUND(SUMIF($F$9:$P$9,"&lt;&gt;",$F45:$P45),15-13*PO!$X$3))</f>
        <v>0</v>
      </c>
      <c r="F45" s="400">
        <f ca="1">OFFSET(PO!$P$12,ROW($E45)-ROW(F$12),0)</f>
        <v>0</v>
      </c>
      <c r="G45" s="400"/>
      <c r="H45" s="400"/>
      <c r="I45" s="400"/>
      <c r="J45" s="400"/>
      <c r="K45" s="400"/>
      <c r="L45" s="400"/>
      <c r="M45" s="400"/>
      <c r="N45" s="400"/>
      <c r="O45" s="400"/>
      <c r="U45" s="215"/>
    </row>
    <row r="46" spans="1:21" s="4" customFormat="1" ht="51" x14ac:dyDescent="0.2">
      <c r="A46" s="128" t="str">
        <f ca="1">OFFSET(PO!J$12,ROW(A46)-ROW($A$12),0)</f>
        <v>Serviço</v>
      </c>
      <c r="B46" s="130" t="str">
        <f ca="1">IF($A46=0,"",OFFSET(PO!K$12,ROW(B46)-ROW(B$12),0))</f>
        <v>1.5.0.1.</v>
      </c>
      <c r="C46" s="127" t="str">
        <f ca="1">IF(OFFSET(PO!N$12,ROW(C46)-ROW(C$12),0)=0,"",OFFSET(PO!N$12,ROW(C46)-ROW(C$12),0))</f>
        <v>CHAPISCO APLICADO EM ALVENARIA (SEM PRESENÇA DE VÃOS) E ESTRUTURAS DE CONCRETO DE FACHADA, COM COLHER DE PEDREIRO.  ARGAMASSA TRAÇO 1:3 COM PREPARO EM BETONEIRA 400L. AF_10/2022</v>
      </c>
      <c r="D46" s="129" t="str">
        <f ca="1">IF(OFFSET(PO!O$12,ROW(D46)-ROW(D$12),0)=0,"",OFFSET(PO!O$12,ROW(D46)-ROW(D$12),0))</f>
        <v>M2</v>
      </c>
      <c r="E46" s="165">
        <f ca="1">IF($A46&lt;&gt;"Serviço",0,ROUND(SUMIF($F$9:$P$9,"&lt;&gt;",$F46:$P46),15-13*PO!$X$3))</f>
        <v>121.54</v>
      </c>
      <c r="F46" s="400">
        <f ca="1">OFFSET(PO!$P$12,ROW($E46)-ROW(F$12),0)</f>
        <v>121.54</v>
      </c>
      <c r="G46" s="400"/>
      <c r="H46" s="400"/>
      <c r="I46" s="400"/>
      <c r="J46" s="400"/>
      <c r="K46" s="400"/>
      <c r="L46" s="400"/>
      <c r="M46" s="400"/>
      <c r="N46" s="400"/>
      <c r="O46" s="400"/>
      <c r="U46" s="215"/>
    </row>
    <row r="47" spans="1:21" s="4" customFormat="1" ht="63.75" x14ac:dyDescent="0.2">
      <c r="A47" s="128" t="str">
        <f ca="1">OFFSET(PO!J$12,ROW(A47)-ROW($A$12),0)</f>
        <v>Serviço</v>
      </c>
      <c r="B47" s="130" t="str">
        <f ca="1">IF($A47=0,"",OFFSET(PO!K$12,ROW(B47)-ROW(B$12),0))</f>
        <v>1.5.0.2.</v>
      </c>
      <c r="C47" s="127" t="str">
        <f ca="1">IF(OFFSET(PO!N$12,ROW(C47)-ROW(C$12),0)=0,"",OFFSET(PO!N$12,ROW(C47)-ROW(C$12),0))</f>
        <v>EMBOÇO OU MASSA ÚNICA EM ARGAMASSA TRAÇO 1:2:8, PREPARO MECÂNICA COM BETONEIRA 400 L, APLICADA COM PROJETOR TIPO CANEQUINHA EM PANOS DE FACHADA SEM PRESENÇA DE VÃOS, ESPESSURA DE 25 MM, ACESSO POR ANDAIME. AF_08/2022</v>
      </c>
      <c r="D47" s="129" t="str">
        <f ca="1">IF(OFFSET(PO!O$12,ROW(D47)-ROW(D$12),0)=0,"",OFFSET(PO!O$12,ROW(D47)-ROW(D$12),0))</f>
        <v>M2</v>
      </c>
      <c r="E47" s="165">
        <f ca="1">IF($A47&lt;&gt;"Serviço",0,ROUND(SUMIF($F$9:$P$9,"&lt;&gt;",$F47:$P47),15-13*PO!$X$3))</f>
        <v>121.54</v>
      </c>
      <c r="F47" s="400">
        <f ca="1">OFFSET(PO!$P$12,ROW($E47)-ROW(F$12),0)</f>
        <v>121.54</v>
      </c>
      <c r="G47" s="400"/>
      <c r="H47" s="400"/>
      <c r="I47" s="400"/>
      <c r="J47" s="400"/>
      <c r="K47" s="400"/>
      <c r="L47" s="400"/>
      <c r="M47" s="400"/>
      <c r="N47" s="400"/>
      <c r="O47" s="400"/>
      <c r="U47" s="215"/>
    </row>
    <row r="48" spans="1:21" s="4" customFormat="1" x14ac:dyDescent="0.2">
      <c r="A48" s="128" t="str">
        <f ca="1">OFFSET(PO!J$12,ROW(A48)-ROW($A$12),0)</f>
        <v>Nível 2</v>
      </c>
      <c r="B48" s="130" t="str">
        <f ca="1">IF($A48=0,"",OFFSET(PO!K$12,ROW(B48)-ROW(B$12),0))</f>
        <v>1.6.</v>
      </c>
      <c r="C48" s="127" t="str">
        <f ca="1">IF(OFFSET(PO!N$12,ROW(C48)-ROW(C$12),0)=0,"",OFFSET(PO!N$12,ROW(C48)-ROW(C$12),0))</f>
        <v>IMPERMEABILIZAÇÃO DA ALVENARIA</v>
      </c>
      <c r="D48" s="129" t="str">
        <f ca="1">IF(OFFSET(PO!O$12,ROW(D48)-ROW(D$12),0)=0,"",OFFSET(PO!O$12,ROW(D48)-ROW(D$12),0))</f>
        <v/>
      </c>
      <c r="E48" s="165">
        <f ca="1">IF($A48&lt;&gt;"Serviço",0,ROUND(SUMIF($F$9:$P$9,"&lt;&gt;",$F48:$P48),15-13*PO!$X$3))</f>
        <v>0</v>
      </c>
      <c r="F48" s="400">
        <f ca="1">OFFSET(PO!$P$12,ROW($E48)-ROW(F$12),0)</f>
        <v>0</v>
      </c>
      <c r="G48" s="400"/>
      <c r="H48" s="400"/>
      <c r="I48" s="400"/>
      <c r="J48" s="400"/>
      <c r="K48" s="400"/>
      <c r="L48" s="400"/>
      <c r="M48" s="400"/>
      <c r="N48" s="400"/>
      <c r="O48" s="400"/>
      <c r="U48" s="215"/>
    </row>
    <row r="49" spans="1:21" s="4" customFormat="1" ht="25.5" x14ac:dyDescent="0.2">
      <c r="A49" s="128" t="str">
        <f ca="1">OFFSET(PO!J$12,ROW(A49)-ROW($A$12),0)</f>
        <v>Serviço</v>
      </c>
      <c r="B49" s="130" t="str">
        <f ca="1">IF($A49=0,"",OFFSET(PO!K$12,ROW(B49)-ROW(B$12),0))</f>
        <v>1.6.0.1.</v>
      </c>
      <c r="C49" s="127" t="str">
        <f ca="1">IF(OFFSET(PO!N$12,ROW(C49)-ROW(C$12),0)=0,"",OFFSET(PO!N$12,ROW(C49)-ROW(C$12),0))</f>
        <v>IMPERMEABILIZAÇÃO DE SUPERFÍCIE COM EMULSÃO ASFÁLTICA, 2 DEMÃOS AF_06/2018</v>
      </c>
      <c r="D49" s="129" t="str">
        <f ca="1">IF(OFFSET(PO!O$12,ROW(D49)-ROW(D$12),0)=0,"",OFFSET(PO!O$12,ROW(D49)-ROW(D$12),0))</f>
        <v>M2</v>
      </c>
      <c r="E49" s="165">
        <f ca="1">IF($A49&lt;&gt;"Serviço",0,ROUND(SUMIF($F$9:$P$9,"&lt;&gt;",$F49:$P49),15-13*PO!$X$3))</f>
        <v>73.72</v>
      </c>
      <c r="F49" s="400">
        <f ca="1">OFFSET(PO!$P$12,ROW($E49)-ROW(F$12),0)</f>
        <v>73.72</v>
      </c>
      <c r="G49" s="400"/>
      <c r="H49" s="400"/>
      <c r="I49" s="400"/>
      <c r="J49" s="400"/>
      <c r="K49" s="400"/>
      <c r="L49" s="400"/>
      <c r="M49" s="400"/>
      <c r="N49" s="400"/>
      <c r="O49" s="400"/>
      <c r="U49" s="215"/>
    </row>
    <row r="50" spans="1:21" s="4" customFormat="1" x14ac:dyDescent="0.2">
      <c r="A50" s="128" t="str">
        <f ca="1">OFFSET(PO!J$12,ROW(A50)-ROW($A$12),0)</f>
        <v>Nível 2</v>
      </c>
      <c r="B50" s="130" t="str">
        <f ca="1">IF($A50=0,"",OFFSET(PO!K$12,ROW(B50)-ROW(B$12),0))</f>
        <v>1.7.</v>
      </c>
      <c r="C50" s="127" t="str">
        <f ca="1">IF(OFFSET(PO!N$12,ROW(C50)-ROW(C$12),0)=0,"",OFFSET(PO!N$12,ROW(C50)-ROW(C$12),0))</f>
        <v>PISO DA PISTA DE SKATE</v>
      </c>
      <c r="D50" s="129" t="str">
        <f ca="1">IF(OFFSET(PO!O$12,ROW(D50)-ROW(D$12),0)=0,"",OFFSET(PO!O$12,ROW(D50)-ROW(D$12),0))</f>
        <v/>
      </c>
      <c r="E50" s="165">
        <f ca="1">IF($A50&lt;&gt;"Serviço",0,ROUND(SUMIF($F$9:$P$9,"&lt;&gt;",$F50:$P50),15-13*PO!$X$3))</f>
        <v>0</v>
      </c>
      <c r="F50" s="400">
        <f ca="1">OFFSET(PO!$P$12,ROW($E50)-ROW(F$12),0)</f>
        <v>0</v>
      </c>
      <c r="G50" s="400"/>
      <c r="H50" s="400"/>
      <c r="I50" s="400"/>
      <c r="J50" s="400"/>
      <c r="K50" s="400"/>
      <c r="L50" s="400"/>
      <c r="M50" s="400"/>
      <c r="N50" s="400"/>
      <c r="O50" s="400"/>
      <c r="U50" s="215"/>
    </row>
    <row r="51" spans="1:21" s="4" customFormat="1" ht="25.5" x14ac:dyDescent="0.2">
      <c r="A51" s="128" t="str">
        <f ca="1">OFFSET(PO!J$12,ROW(A51)-ROW($A$12),0)</f>
        <v>Serviço</v>
      </c>
      <c r="B51" s="130" t="str">
        <f ca="1">IF($A51=0,"",OFFSET(PO!K$12,ROW(B51)-ROW(B$12),0))</f>
        <v>1.7.0.1.</v>
      </c>
      <c r="C51" s="127" t="str">
        <f ca="1">IF(OFFSET(PO!N$12,ROW(C51)-ROW(C$12),0)=0,"",OFFSET(PO!N$12,ROW(C51)-ROW(C$12),0))</f>
        <v>PISO EM CONCRETO 30 MPA 7 CM COM MALHA DE AÇO 4,2 MM 10X10 CM</v>
      </c>
      <c r="D51" s="129" t="str">
        <f ca="1">IF(OFFSET(PO!O$12,ROW(D51)-ROW(D$12),0)=0,"",OFFSET(PO!O$12,ROW(D51)-ROW(D$12),0))</f>
        <v>M2</v>
      </c>
      <c r="E51" s="165">
        <f ca="1">IF($A51&lt;&gt;"Serviço",0,ROUND(SUMIF($F$9:$P$9,"&lt;&gt;",$F51:$P51),15-13*PO!$X$3))</f>
        <v>254.57</v>
      </c>
      <c r="F51" s="400">
        <f ca="1">OFFSET(PO!$P$12,ROW($E51)-ROW(F$12),0)</f>
        <v>254.57</v>
      </c>
      <c r="G51" s="400"/>
      <c r="H51" s="400"/>
      <c r="I51" s="400"/>
      <c r="J51" s="400"/>
      <c r="K51" s="400"/>
      <c r="L51" s="400"/>
      <c r="M51" s="400"/>
      <c r="N51" s="400"/>
      <c r="O51" s="400"/>
      <c r="U51" s="215"/>
    </row>
    <row r="52" spans="1:21" s="4" customFormat="1" x14ac:dyDescent="0.2">
      <c r="A52" s="128" t="str">
        <f ca="1">OFFSET(PO!J$12,ROW(A52)-ROW($A$12),0)</f>
        <v>Serviço</v>
      </c>
      <c r="B52" s="130" t="str">
        <f ca="1">IF($A52=0,"",OFFSET(PO!K$12,ROW(B52)-ROW(B$12),0))</f>
        <v>1.7.0.2.</v>
      </c>
      <c r="C52" s="127" t="str">
        <f ca="1">IF(OFFSET(PO!N$12,ROW(C52)-ROW(C$12),0)=0,"",OFFSET(PO!N$12,ROW(C52)-ROW(C$12),0))</f>
        <v>LASTRO DE BRITA 1 - 5 CM</v>
      </c>
      <c r="D52" s="129" t="str">
        <f ca="1">IF(OFFSET(PO!O$12,ROW(D52)-ROW(D$12),0)=0,"",OFFSET(PO!O$12,ROW(D52)-ROW(D$12),0))</f>
        <v>M3</v>
      </c>
      <c r="E52" s="165">
        <f ca="1">IF($A52&lt;&gt;"Serviço",0,ROUND(SUMIF($F$9:$P$9,"&lt;&gt;",$F52:$P52),15-13*PO!$X$3))</f>
        <v>12.72</v>
      </c>
      <c r="F52" s="400">
        <f ca="1">OFFSET(PO!$P$12,ROW($E52)-ROW(F$12),0)</f>
        <v>12.72</v>
      </c>
      <c r="G52" s="400"/>
      <c r="H52" s="400"/>
      <c r="I52" s="400"/>
      <c r="J52" s="400"/>
      <c r="K52" s="400"/>
      <c r="L52" s="400"/>
      <c r="M52" s="400"/>
      <c r="N52" s="400"/>
      <c r="O52" s="400"/>
      <c r="U52" s="215"/>
    </row>
    <row r="53" spans="1:21" s="4" customFormat="1" ht="25.5" x14ac:dyDescent="0.2">
      <c r="A53" s="128" t="str">
        <f ca="1">OFFSET(PO!J$12,ROW(A53)-ROW($A$12),0)</f>
        <v>Serviço</v>
      </c>
      <c r="B53" s="130" t="str">
        <f ca="1">IF($A53=0,"",OFFSET(PO!K$12,ROW(B53)-ROW(B$12),0))</f>
        <v>1.7.0.3.</v>
      </c>
      <c r="C53" s="127" t="str">
        <f ca="1">IF(OFFSET(PO!N$12,ROW(C53)-ROW(C$12),0)=0,"",OFFSET(PO!N$12,ROW(C53)-ROW(C$12),0))</f>
        <v>APLICAÇÃO DE LONA PLÁSTICA PARA EXECUÇÃO DE PAVIMENTOS DE CONCRETO. AF_04/2022</v>
      </c>
      <c r="D53" s="129" t="str">
        <f ca="1">IF(OFFSET(PO!O$12,ROW(D53)-ROW(D$12),0)=0,"",OFFSET(PO!O$12,ROW(D53)-ROW(D$12),0))</f>
        <v>M2</v>
      </c>
      <c r="E53" s="165">
        <f ca="1">IF($A53&lt;&gt;"Serviço",0,ROUND(SUMIF($F$9:$P$9,"&lt;&gt;",$F53:$P53),15-13*PO!$X$3))</f>
        <v>254.57</v>
      </c>
      <c r="F53" s="400">
        <f ca="1">OFFSET(PO!$P$12,ROW($E53)-ROW(F$12),0)</f>
        <v>254.57</v>
      </c>
      <c r="G53" s="400"/>
      <c r="H53" s="400"/>
      <c r="I53" s="400"/>
      <c r="J53" s="400"/>
      <c r="K53" s="400"/>
      <c r="L53" s="400"/>
      <c r="M53" s="400"/>
      <c r="N53" s="400"/>
      <c r="O53" s="400"/>
      <c r="U53" s="215"/>
    </row>
    <row r="54" spans="1:21" s="4" customFormat="1" ht="25.5" x14ac:dyDescent="0.2">
      <c r="A54" s="128" t="str">
        <f ca="1">OFFSET(PO!J$12,ROW(A54)-ROW($A$12),0)</f>
        <v>Serviço</v>
      </c>
      <c r="B54" s="130" t="str">
        <f ca="1">IF($A54=0,"",OFFSET(PO!K$12,ROW(B54)-ROW(B$12),0))</f>
        <v>1.7.0.4.</v>
      </c>
      <c r="C54" s="127" t="str">
        <f ca="1">IF(OFFSET(PO!N$12,ROW(C54)-ROW(C$12),0)=0,"",OFFSET(PO!N$12,ROW(C54)-ROW(C$12),0))</f>
        <v>JUNTA DE DILATAÇÃO - ABERTURA E PREENCHIMENTO COM PU</v>
      </c>
      <c r="D54" s="129" t="str">
        <f ca="1">IF(OFFSET(PO!O$12,ROW(D54)-ROW(D$12),0)=0,"",OFFSET(PO!O$12,ROW(D54)-ROW(D$12),0))</f>
        <v>M</v>
      </c>
      <c r="E54" s="165">
        <f ca="1">IF($A54&lt;&gt;"Serviço",0,ROUND(SUMIF($F$9:$P$9,"&lt;&gt;",$F54:$P54),15-13*PO!$X$3))</f>
        <v>55.5</v>
      </c>
      <c r="F54" s="400">
        <f ca="1">OFFSET(PO!$P$12,ROW($E54)-ROW(F$12),0)</f>
        <v>55.5</v>
      </c>
      <c r="G54" s="400"/>
      <c r="H54" s="400"/>
      <c r="I54" s="400"/>
      <c r="J54" s="400"/>
      <c r="K54" s="400"/>
      <c r="L54" s="400"/>
      <c r="M54" s="400"/>
      <c r="N54" s="400"/>
      <c r="O54" s="400"/>
      <c r="U54" s="215"/>
    </row>
    <row r="55" spans="1:21" s="4" customFormat="1" x14ac:dyDescent="0.2">
      <c r="A55" s="128" t="str">
        <f ca="1">OFFSET(PO!J$12,ROW(A55)-ROW($A$12),0)</f>
        <v>Nível 2</v>
      </c>
      <c r="B55" s="130" t="str">
        <f ca="1">IF($A55=0,"",OFFSET(PO!K$12,ROW(B55)-ROW(B$12),0))</f>
        <v>1.8.</v>
      </c>
      <c r="C55" s="127" t="str">
        <f ca="1">IF(OFFSET(PO!N$12,ROW(C55)-ROW(C$12),0)=0,"",OFFSET(PO!N$12,ROW(C55)-ROW(C$12),0))</f>
        <v>CALÇADA DE CONTORNO</v>
      </c>
      <c r="D55" s="129" t="str">
        <f ca="1">IF(OFFSET(PO!O$12,ROW(D55)-ROW(D$12),0)=0,"",OFFSET(PO!O$12,ROW(D55)-ROW(D$12),0))</f>
        <v/>
      </c>
      <c r="E55" s="165">
        <f ca="1">IF($A55&lt;&gt;"Serviço",0,ROUND(SUMIF($F$9:$P$9,"&lt;&gt;",$F55:$P55),15-13*PO!$X$3))</f>
        <v>0</v>
      </c>
      <c r="F55" s="400">
        <f ca="1">OFFSET(PO!$P$12,ROW($E55)-ROW(F$12),0)</f>
        <v>0</v>
      </c>
      <c r="G55" s="400"/>
      <c r="H55" s="400"/>
      <c r="I55" s="400"/>
      <c r="J55" s="400"/>
      <c r="K55" s="400"/>
      <c r="L55" s="400"/>
      <c r="M55" s="400"/>
      <c r="N55" s="400"/>
      <c r="O55" s="400"/>
      <c r="U55" s="215"/>
    </row>
    <row r="56" spans="1:21" s="4" customFormat="1" ht="25.5" x14ac:dyDescent="0.2">
      <c r="A56" s="128" t="str">
        <f ca="1">OFFSET(PO!J$12,ROW(A56)-ROW($A$12),0)</f>
        <v>Serviço</v>
      </c>
      <c r="B56" s="130" t="str">
        <f ca="1">IF($A56=0,"",OFFSET(PO!K$12,ROW(B56)-ROW(B$12),0))</f>
        <v>1.8.0.1.</v>
      </c>
      <c r="C56" s="127" t="str">
        <f ca="1">IF(OFFSET(PO!N$12,ROW(C56)-ROW(C$12),0)=0,"",OFFSET(PO!N$12,ROW(C56)-ROW(C$12),0))</f>
        <v>CALÇADA DE CONCRETO ARMADO ESPESSURA 6 CM COM MALHA 4,2 MM 10x10 cm</v>
      </c>
      <c r="D56" s="129" t="str">
        <f ca="1">IF(OFFSET(PO!O$12,ROW(D56)-ROW(D$12),0)=0,"",OFFSET(PO!O$12,ROW(D56)-ROW(D$12),0))</f>
        <v>M2</v>
      </c>
      <c r="E56" s="165">
        <f ca="1">IF($A56&lt;&gt;"Serviço",0,ROUND(SUMIF($F$9:$P$9,"&lt;&gt;",$F56:$P56),15-13*PO!$X$3))</f>
        <v>91.2</v>
      </c>
      <c r="F56" s="400">
        <f ca="1">OFFSET(PO!$P$12,ROW($E56)-ROW(F$12),0)</f>
        <v>91.2</v>
      </c>
      <c r="G56" s="400"/>
      <c r="H56" s="400"/>
      <c r="I56" s="400"/>
      <c r="J56" s="400"/>
      <c r="K56" s="400"/>
      <c r="L56" s="400"/>
      <c r="M56" s="400"/>
      <c r="N56" s="400"/>
      <c r="O56" s="400"/>
      <c r="U56" s="215"/>
    </row>
    <row r="57" spans="1:21" s="4" customFormat="1" ht="25.5" x14ac:dyDescent="0.2">
      <c r="A57" s="128" t="str">
        <f ca="1">OFFSET(PO!J$12,ROW(A57)-ROW($A$12),0)</f>
        <v>Serviço</v>
      </c>
      <c r="B57" s="130" t="str">
        <f ca="1">IF($A57=0,"",OFFSET(PO!K$12,ROW(B57)-ROW(B$12),0))</f>
        <v>1.8.0.2.</v>
      </c>
      <c r="C57" s="127" t="str">
        <f ca="1">IF(OFFSET(PO!N$12,ROW(C57)-ROW(C$12),0)=0,"",OFFSET(PO!N$12,ROW(C57)-ROW(C$12),0))</f>
        <v>JUNTA DE DILATAÇÃO - ABERTURA E PREENCHIMENTO COM PU</v>
      </c>
      <c r="D57" s="129" t="str">
        <f ca="1">IF(OFFSET(PO!O$12,ROW(D57)-ROW(D$12),0)=0,"",OFFSET(PO!O$12,ROW(D57)-ROW(D$12),0))</f>
        <v>M</v>
      </c>
      <c r="E57" s="165">
        <f ca="1">IF($A57&lt;&gt;"Serviço",0,ROUND(SUMIF($F$9:$P$9,"&lt;&gt;",$F57:$P57),15-13*PO!$X$3))</f>
        <v>127.5</v>
      </c>
      <c r="F57" s="400">
        <f ca="1">OFFSET(PO!$P$12,ROW($E57)-ROW(F$12),0)</f>
        <v>127.5</v>
      </c>
      <c r="G57" s="400"/>
      <c r="H57" s="400"/>
      <c r="I57" s="400"/>
      <c r="J57" s="400"/>
      <c r="K57" s="400"/>
      <c r="L57" s="400"/>
      <c r="M57" s="400"/>
      <c r="N57" s="400"/>
      <c r="O57" s="400"/>
      <c r="U57" s="215"/>
    </row>
    <row r="58" spans="1:21" s="4" customFormat="1" x14ac:dyDescent="0.2">
      <c r="A58" s="128" t="str">
        <f ca="1">OFFSET(PO!J$12,ROW(A58)-ROW($A$12),0)</f>
        <v>Nível 2</v>
      </c>
      <c r="B58" s="130" t="str">
        <f ca="1">IF($A58=0,"",OFFSET(PO!K$12,ROW(B58)-ROW(B$12),0))</f>
        <v>1.9.</v>
      </c>
      <c r="C58" s="127" t="str">
        <f ca="1">IF(OFFSET(PO!N$12,ROW(C58)-ROW(C$12),0)=0,"",OFFSET(PO!N$12,ROW(C58)-ROW(C$12),0))</f>
        <v>ELEMENTOS METÁLICOS - GUARDA-CORPO E CORRIMÃO</v>
      </c>
      <c r="D58" s="129" t="str">
        <f ca="1">IF(OFFSET(PO!O$12,ROW(D58)-ROW(D$12),0)=0,"",OFFSET(PO!O$12,ROW(D58)-ROW(D$12),0))</f>
        <v/>
      </c>
      <c r="E58" s="165">
        <f ca="1">IF($A58&lt;&gt;"Serviço",0,ROUND(SUMIF($F$9:$P$9,"&lt;&gt;",$F58:$P58),15-13*PO!$X$3))</f>
        <v>0</v>
      </c>
      <c r="F58" s="400">
        <f ca="1">OFFSET(PO!$P$12,ROW($E58)-ROW(F$12),0)</f>
        <v>0</v>
      </c>
      <c r="G58" s="400"/>
      <c r="H58" s="400"/>
      <c r="I58" s="400"/>
      <c r="J58" s="400"/>
      <c r="K58" s="400"/>
      <c r="L58" s="400"/>
      <c r="M58" s="400"/>
      <c r="N58" s="400"/>
      <c r="O58" s="400"/>
      <c r="U58" s="215"/>
    </row>
    <row r="59" spans="1:21" s="4" customFormat="1" ht="63.75" x14ac:dyDescent="0.2">
      <c r="A59" s="128" t="str">
        <f ca="1">OFFSET(PO!J$12,ROW(A59)-ROW($A$12),0)</f>
        <v>Serviço</v>
      </c>
      <c r="B59" s="130" t="str">
        <f ca="1">IF($A59=0,"",OFFSET(PO!K$12,ROW(B59)-ROW(B$12),0))</f>
        <v>1.9.0.1.</v>
      </c>
      <c r="C59" s="127" t="str">
        <f ca="1">IF(OFFSET(PO!N$12,ROW(C59)-ROW(C$12),0)=0,"",OFFSET(PO!N$12,ROW(C59)-ROW(C$12),0))</f>
        <v>GUARDA-CORPO DE AÇO GALVANIZADO DE 1,10M, MONTANTES TUBULARES DE 1.1/4 ESPAÇADOS DE 1,20M, TRAVESSA SUPERIOR DE 1.1/2, GRADIL FORMADO POR TUBOS HORIZONTAIS DE 1 E VERTICAIS DE 3/4, FIXADO COM CHUMBADOR MECÂNICO. AF_04/2019_PS</v>
      </c>
      <c r="D59" s="129" t="str">
        <f ca="1">IF(OFFSET(PO!O$12,ROW(D59)-ROW(D$12),0)=0,"",OFFSET(PO!O$12,ROW(D59)-ROW(D$12),0))</f>
        <v>M</v>
      </c>
      <c r="E59" s="165">
        <f ca="1">IF($A59&lt;&gt;"Serviço",0,ROUND(SUMIF($F$9:$P$9,"&lt;&gt;",$F59:$P59),15-13*PO!$X$3))</f>
        <v>43</v>
      </c>
      <c r="F59" s="400">
        <f ca="1">OFFSET(PO!$P$12,ROW($E59)-ROW(F$12),0)</f>
        <v>43</v>
      </c>
      <c r="G59" s="400"/>
      <c r="H59" s="400"/>
      <c r="I59" s="400"/>
      <c r="J59" s="400"/>
      <c r="K59" s="400"/>
      <c r="L59" s="400"/>
      <c r="M59" s="400"/>
      <c r="N59" s="400"/>
      <c r="O59" s="400"/>
      <c r="U59" s="215"/>
    </row>
    <row r="60" spans="1:21" s="4" customFormat="1" ht="25.5" x14ac:dyDescent="0.2">
      <c r="A60" s="128" t="str">
        <f ca="1">OFFSET(PO!J$12,ROW(A60)-ROW($A$12),0)</f>
        <v>Serviço</v>
      </c>
      <c r="B60" s="130" t="str">
        <f ca="1">IF($A60=0,"",OFFSET(PO!K$12,ROW(B60)-ROW(B$12),0))</f>
        <v>1.9.0.2.</v>
      </c>
      <c r="C60" s="127" t="str">
        <f ca="1">IF(OFFSET(PO!N$12,ROW(C60)-ROW(C$12),0)=0,"",OFFSET(PO!N$12,ROW(C60)-ROW(C$12),0))</f>
        <v>TUBO AÇO GALVANIZADO 3 POLEGADAS AÇO 3 MM CHUMBADO NO CONCRETO DO PISO</v>
      </c>
      <c r="D60" s="129" t="str">
        <f ca="1">IF(OFFSET(PO!O$12,ROW(D60)-ROW(D$12),0)=0,"",OFFSET(PO!O$12,ROW(D60)-ROW(D$12),0))</f>
        <v>M</v>
      </c>
      <c r="E60" s="165">
        <f ca="1">IF($A60&lt;&gt;"Serviço",0,ROUND(SUMIF($F$9:$P$9,"&lt;&gt;",$F60:$P60),15-13*PO!$X$3))</f>
        <v>13.9</v>
      </c>
      <c r="F60" s="400">
        <f ca="1">OFFSET(PO!$P$12,ROW($E60)-ROW(F$12),0)</f>
        <v>13.9</v>
      </c>
      <c r="G60" s="400"/>
      <c r="H60" s="400"/>
      <c r="I60" s="400"/>
      <c r="J60" s="400"/>
      <c r="K60" s="400"/>
      <c r="L60" s="400"/>
      <c r="M60" s="400"/>
      <c r="N60" s="400"/>
      <c r="O60" s="400"/>
      <c r="U60" s="215"/>
    </row>
    <row r="61" spans="1:21" s="4" customFormat="1" x14ac:dyDescent="0.2">
      <c r="A61" s="128" t="str">
        <f ca="1">OFFSET(PO!J$12,ROW(A61)-ROW($A$12),0)</f>
        <v>Serviço</v>
      </c>
      <c r="B61" s="130" t="str">
        <f ca="1">IF($A61=0,"",OFFSET(PO!K$12,ROW(B61)-ROW(B$12),0))</f>
        <v>1.9.0.3.</v>
      </c>
      <c r="C61" s="127" t="str">
        <f ca="1">IF(OFFSET(PO!N$12,ROW(C61)-ROW(C$12),0)=0,"",OFFSET(PO!N$12,ROW(C61)-ROW(C$12),0))</f>
        <v>CANTONEIRA 5 CM X 5 CM X 3 MM DE ESPESSURA</v>
      </c>
      <c r="D61" s="129" t="str">
        <f ca="1">IF(OFFSET(PO!O$12,ROW(D61)-ROW(D$12),0)=0,"",OFFSET(PO!O$12,ROW(D61)-ROW(D$12),0))</f>
        <v>M</v>
      </c>
      <c r="E61" s="165">
        <f ca="1">IF($A61&lt;&gt;"Serviço",0,ROUND(SUMIF($F$9:$P$9,"&lt;&gt;",$F61:$P61),15-13*PO!$X$3))</f>
        <v>8.4</v>
      </c>
      <c r="F61" s="400">
        <f ca="1">OFFSET(PO!$P$12,ROW($E61)-ROW(F$12),0)</f>
        <v>8.4</v>
      </c>
      <c r="G61" s="400"/>
      <c r="H61" s="400"/>
      <c r="I61" s="400"/>
      <c r="J61" s="400"/>
      <c r="K61" s="400"/>
      <c r="L61" s="400"/>
      <c r="M61" s="400"/>
      <c r="N61" s="400"/>
      <c r="O61" s="400"/>
      <c r="U61" s="215"/>
    </row>
    <row r="62" spans="1:21" s="4" customFormat="1" x14ac:dyDescent="0.2">
      <c r="A62" s="128" t="str">
        <f ca="1">OFFSET(PO!J$12,ROW(A62)-ROW($A$12),0)</f>
        <v>Nível 2</v>
      </c>
      <c r="B62" s="130" t="str">
        <f ca="1">IF($A62=0,"",OFFSET(PO!K$12,ROW(B62)-ROW(B$12),0))</f>
        <v>1.10.</v>
      </c>
      <c r="C62" s="127" t="str">
        <f ca="1">IF(OFFSET(PO!N$12,ROW(C62)-ROW(C$12),0)=0,"",OFFSET(PO!N$12,ROW(C62)-ROW(C$12),0))</f>
        <v>PINTURA</v>
      </c>
      <c r="D62" s="129" t="str">
        <f ca="1">IF(OFFSET(PO!O$12,ROW(D62)-ROW(D$12),0)=0,"",OFFSET(PO!O$12,ROW(D62)-ROW(D$12),0))</f>
        <v/>
      </c>
      <c r="E62" s="165">
        <f ca="1">IF($A62&lt;&gt;"Serviço",0,ROUND(SUMIF($F$9:$P$9,"&lt;&gt;",$F62:$P62),15-13*PO!$X$3))</f>
        <v>0</v>
      </c>
      <c r="F62" s="400">
        <f ca="1">OFFSET(PO!$P$12,ROW($E62)-ROW(F$12),0)</f>
        <v>0</v>
      </c>
      <c r="G62" s="400"/>
      <c r="H62" s="400"/>
      <c r="I62" s="400"/>
      <c r="J62" s="400"/>
      <c r="K62" s="400"/>
      <c r="L62" s="400"/>
      <c r="M62" s="400"/>
      <c r="N62" s="400"/>
      <c r="O62" s="400"/>
      <c r="U62" s="215"/>
    </row>
    <row r="63" spans="1:21" s="4" customFormat="1" ht="25.5" x14ac:dyDescent="0.2">
      <c r="A63" s="128" t="str">
        <f ca="1">OFFSET(PO!J$12,ROW(A63)-ROW($A$12),0)</f>
        <v>Serviço</v>
      </c>
      <c r="B63" s="130" t="str">
        <f ca="1">IF($A63=0,"",OFFSET(PO!K$12,ROW(B63)-ROW(B$12),0))</f>
        <v>1.10.0.1.</v>
      </c>
      <c r="C63" s="127" t="str">
        <f ca="1">IF(OFFSET(PO!N$12,ROW(C63)-ROW(C$12),0)=0,"",OFFSET(PO!N$12,ROW(C63)-ROW(C$12),0))</f>
        <v>PINTURA DE PISO COM TINTA ACRÍLICA, APLICAÇÃO MANUAL, 2 DEMÃOS, INCLUSO FUNDO PREPARADOR. AF_05/2021</v>
      </c>
      <c r="D63" s="129" t="str">
        <f ca="1">IF(OFFSET(PO!O$12,ROW(D63)-ROW(D$12),0)=0,"",OFFSET(PO!O$12,ROW(D63)-ROW(D$12),0))</f>
        <v>M2</v>
      </c>
      <c r="E63" s="165">
        <f ca="1">IF($A63&lt;&gt;"Serviço",0,ROUND(SUMIF($F$9:$P$9,"&lt;&gt;",$F63:$P63),15-13*PO!$X$3))</f>
        <v>345.77</v>
      </c>
      <c r="F63" s="400">
        <f ca="1">OFFSET(PO!$P$12,ROW($E63)-ROW(F$12),0)</f>
        <v>345.77</v>
      </c>
      <c r="G63" s="400"/>
      <c r="H63" s="400"/>
      <c r="I63" s="400"/>
      <c r="J63" s="400"/>
      <c r="K63" s="400"/>
      <c r="L63" s="400"/>
      <c r="M63" s="400"/>
      <c r="N63" s="400"/>
      <c r="O63" s="400"/>
      <c r="U63" s="215"/>
    </row>
    <row r="64" spans="1:21" s="4" customFormat="1" ht="25.5" x14ac:dyDescent="0.2">
      <c r="A64" s="128" t="str">
        <f ca="1">OFFSET(PO!J$12,ROW(A64)-ROW($A$12),0)</f>
        <v>Serviço</v>
      </c>
      <c r="B64" s="130" t="str">
        <f ca="1">IF($A64=0,"",OFFSET(PO!K$12,ROW(B64)-ROW(B$12),0))</f>
        <v>1.10.0.2.</v>
      </c>
      <c r="C64" s="127" t="str">
        <f ca="1">IF(OFFSET(PO!N$12,ROW(C64)-ROW(C$12),0)=0,"",OFFSET(PO!N$12,ROW(C64)-ROW(C$12),0))</f>
        <v>APLICAÇÃO DE FUNDO SELADOR ACRÍLICO EM PAREDES, UMA DEMÃO. AF_06/2014</v>
      </c>
      <c r="D64" s="129" t="str">
        <f ca="1">IF(OFFSET(PO!O$12,ROW(D64)-ROW(D$12),0)=0,"",OFFSET(PO!O$12,ROW(D64)-ROW(D$12),0))</f>
        <v>M2</v>
      </c>
      <c r="E64" s="165">
        <f ca="1">IF($A64&lt;&gt;"Serviço",0,ROUND(SUMIF($F$9:$P$9,"&lt;&gt;",$F64:$P64),15-13*PO!$X$3))</f>
        <v>60.08</v>
      </c>
      <c r="F64" s="400">
        <f ca="1">OFFSET(PO!$P$12,ROW($E64)-ROW(F$12),0)</f>
        <v>60.08</v>
      </c>
      <c r="G64" s="400"/>
      <c r="H64" s="400"/>
      <c r="I64" s="400"/>
      <c r="J64" s="400"/>
      <c r="K64" s="400"/>
      <c r="L64" s="400"/>
      <c r="M64" s="400"/>
      <c r="N64" s="400"/>
      <c r="O64" s="400"/>
      <c r="U64" s="215"/>
    </row>
    <row r="65" spans="1:21" s="4" customFormat="1" ht="25.5" x14ac:dyDescent="0.2">
      <c r="A65" s="128" t="str">
        <f ca="1">OFFSET(PO!J$12,ROW(A65)-ROW($A$12),0)</f>
        <v>Serviço</v>
      </c>
      <c r="B65" s="130" t="str">
        <f ca="1">IF($A65=0,"",OFFSET(PO!K$12,ROW(B65)-ROW(B$12),0))</f>
        <v>1.10.0.3.</v>
      </c>
      <c r="C65" s="127" t="str">
        <f ca="1">IF(OFFSET(PO!N$12,ROW(C65)-ROW(C$12),0)=0,"",OFFSET(PO!N$12,ROW(C65)-ROW(C$12),0))</f>
        <v>APLICAÇÃO MANUAL DE PINTURA COM TINTA LÁTEX ACRÍLICA EM PAREDES, DUAS DEMÃOS. AF_06/2014</v>
      </c>
      <c r="D65" s="129" t="str">
        <f ca="1">IF(OFFSET(PO!O$12,ROW(D65)-ROW(D$12),0)=0,"",OFFSET(PO!O$12,ROW(D65)-ROW(D$12),0))</f>
        <v>M2</v>
      </c>
      <c r="E65" s="165">
        <f ca="1">IF($A65&lt;&gt;"Serviço",0,ROUND(SUMIF($F$9:$P$9,"&lt;&gt;",$F65:$P65),15-13*PO!$X$3))</f>
        <v>60.08</v>
      </c>
      <c r="F65" s="400">
        <f ca="1">OFFSET(PO!$P$12,ROW($E65)-ROW(F$12),0)</f>
        <v>60.08</v>
      </c>
      <c r="G65" s="400"/>
      <c r="H65" s="400"/>
      <c r="I65" s="400"/>
      <c r="J65" s="400"/>
      <c r="K65" s="400"/>
      <c r="L65" s="400"/>
      <c r="M65" s="400"/>
      <c r="N65" s="400"/>
      <c r="O65" s="400"/>
      <c r="U65" s="215"/>
    </row>
    <row r="66" spans="1:21" s="4" customFormat="1" ht="51" x14ac:dyDescent="0.2">
      <c r="A66" s="128" t="str">
        <f ca="1">OFFSET(PO!J$12,ROW(A66)-ROW($A$12),0)</f>
        <v>Serviço</v>
      </c>
      <c r="B66" s="130" t="str">
        <f ca="1">IF($A66=0,"",OFFSET(PO!K$12,ROW(B66)-ROW(B$12),0))</f>
        <v>1.10.0.4.</v>
      </c>
      <c r="C66" s="127" t="str">
        <f ca="1">IF(OFFSET(PO!N$12,ROW(C66)-ROW(C$12),0)=0,"",OFFSET(PO!N$12,ROW(C66)-ROW(C$12),0))</f>
        <v>PINTURA COM TINTA ALQUÍDICA DE ACABAMENTO (ESMALTE SINTÉTICO ACETINADO) PULVERIZADA SOBRE SUPERFÍCIES METÁLICAS (EXCETO PERFIL) EXECUTADO EM OBRA (02 DEMÃOS). AF_01/2020_PE</v>
      </c>
      <c r="D66" s="129" t="str">
        <f ca="1">IF(OFFSET(PO!O$12,ROW(D66)-ROW(D$12),0)=0,"",OFFSET(PO!O$12,ROW(D66)-ROW(D$12),0))</f>
        <v>M2</v>
      </c>
      <c r="E66" s="165">
        <f ca="1">IF($A66&lt;&gt;"Serviço",0,ROUND(SUMIF($F$9:$P$9,"&lt;&gt;",$F66:$P66),15-13*PO!$X$3))</f>
        <v>36.83</v>
      </c>
      <c r="F66" s="400">
        <f ca="1">OFFSET(PO!$P$12,ROW($E66)-ROW(F$12),0)</f>
        <v>36.83</v>
      </c>
      <c r="G66" s="400"/>
      <c r="H66" s="400"/>
      <c r="I66" s="400"/>
      <c r="J66" s="400"/>
      <c r="K66" s="400"/>
      <c r="L66" s="400"/>
      <c r="M66" s="400"/>
      <c r="N66" s="400"/>
      <c r="O66" s="400"/>
      <c r="U66" s="215"/>
    </row>
    <row r="67" spans="1:21" s="4" customFormat="1" x14ac:dyDescent="0.2">
      <c r="A67" s="128" t="str">
        <f ca="1">OFFSET(PO!J$12,ROW(A67)-ROW($A$12),0)</f>
        <v>Nível 2</v>
      </c>
      <c r="B67" s="130" t="str">
        <f ca="1">IF($A67=0,"",OFFSET(PO!K$12,ROW(B67)-ROW(B$12),0))</f>
        <v>1.11.</v>
      </c>
      <c r="C67" s="127" t="str">
        <f ca="1">IF(OFFSET(PO!N$12,ROW(C67)-ROW(C$12),0)=0,"",OFFSET(PO!N$12,ROW(C67)-ROW(C$12),0))</f>
        <v>SERVIÇOS FINAIS</v>
      </c>
      <c r="D67" s="129" t="str">
        <f ca="1">IF(OFFSET(PO!O$12,ROW(D67)-ROW(D$12),0)=0,"",OFFSET(PO!O$12,ROW(D67)-ROW(D$12),0))</f>
        <v/>
      </c>
      <c r="E67" s="165">
        <f ca="1">IF($A67&lt;&gt;"Serviço",0,ROUND(SUMIF($F$9:$P$9,"&lt;&gt;",$F67:$P67),15-13*PO!$X$3))</f>
        <v>0</v>
      </c>
      <c r="F67" s="400">
        <f ca="1">OFFSET(PO!$P$12,ROW($E67)-ROW(F$12),0)</f>
        <v>0</v>
      </c>
      <c r="G67" s="400"/>
      <c r="H67" s="400"/>
      <c r="I67" s="400"/>
      <c r="J67" s="400"/>
      <c r="K67" s="400"/>
      <c r="L67" s="400"/>
      <c r="M67" s="400"/>
      <c r="N67" s="400"/>
      <c r="O67" s="400"/>
      <c r="U67" s="215"/>
    </row>
    <row r="68" spans="1:21" s="4" customFormat="1" x14ac:dyDescent="0.2">
      <c r="A68" s="128" t="str">
        <f ca="1">OFFSET(PO!J$12,ROW(A68)-ROW($A$12),0)</f>
        <v>Serviço</v>
      </c>
      <c r="B68" s="130" t="str">
        <f ca="1">IF($A68=0,"",OFFSET(PO!K$12,ROW(B68)-ROW(B$12),0))</f>
        <v>1.11.0.1.</v>
      </c>
      <c r="C68" s="127" t="str">
        <f ca="1">IF(OFFSET(PO!N$12,ROW(C68)-ROW(C$12),0)=0,"",OFFSET(PO!N$12,ROW(C68)-ROW(C$12),0))</f>
        <v>LIMPEZA DE PISO DE CONCRETO</v>
      </c>
      <c r="D68" s="129" t="str">
        <f ca="1">IF(OFFSET(PO!O$12,ROW(D68)-ROW(D$12),0)=0,"",OFFSET(PO!O$12,ROW(D68)-ROW(D$12),0))</f>
        <v>M2</v>
      </c>
      <c r="E68" s="165">
        <f ca="1">IF($A68&lt;&gt;"Serviço",0,ROUND(SUMIF($F$9:$P$9,"&lt;&gt;",$F68:$P68),15-13*PO!$X$3))</f>
        <v>345.77</v>
      </c>
      <c r="F68" s="400">
        <f ca="1">OFFSET(PO!$P$12,ROW($E68)-ROW(F$12),0)</f>
        <v>345.77</v>
      </c>
      <c r="G68" s="400"/>
      <c r="H68" s="400"/>
      <c r="I68" s="400"/>
      <c r="J68" s="400"/>
      <c r="K68" s="400"/>
      <c r="L68" s="400"/>
      <c r="M68" s="400"/>
      <c r="N68" s="400"/>
      <c r="O68" s="400"/>
      <c r="U68" s="215"/>
    </row>
    <row r="69" spans="1:21" s="4" customFormat="1" ht="25.5" x14ac:dyDescent="0.2">
      <c r="A69" s="128" t="str">
        <f ca="1">OFFSET(PO!J$12,ROW(A69)-ROW($A$12),0)</f>
        <v>Serviço</v>
      </c>
      <c r="B69" s="130" t="str">
        <f ca="1">IF($A69=0,"",OFFSET(PO!K$12,ROW(B69)-ROW(B$12),0))</f>
        <v>1.11.0.2.</v>
      </c>
      <c r="C69" s="127" t="str">
        <f ca="1">IF(OFFSET(PO!N$12,ROW(C69)-ROW(C$12),0)=0,"",OFFSET(PO!N$12,ROW(C69)-ROW(C$12),0))</f>
        <v>PLANTIO DE GRAMA ESMERALDA OU SÃO CARLOS OU CURITIBANA, EM PLACAS. AF_05/2022</v>
      </c>
      <c r="D69" s="129" t="str">
        <f ca="1">IF(OFFSET(PO!O$12,ROW(D69)-ROW(D$12),0)=0,"",OFFSET(PO!O$12,ROW(D69)-ROW(D$12),0))</f>
        <v>M2</v>
      </c>
      <c r="E69" s="165">
        <f ca="1">IF($A69&lt;&gt;"Serviço",0,ROUND(SUMIF($F$9:$P$9,"&lt;&gt;",$F69:$P69),15-13*PO!$X$3))</f>
        <v>10</v>
      </c>
      <c r="F69" s="400">
        <f ca="1">OFFSET(PO!$P$12,ROW($E69)-ROW(F$12),0)</f>
        <v>10</v>
      </c>
      <c r="G69" s="400"/>
      <c r="H69" s="400"/>
      <c r="I69" s="400"/>
      <c r="J69" s="400"/>
      <c r="K69" s="400"/>
      <c r="L69" s="400"/>
      <c r="M69" s="400"/>
      <c r="N69" s="400"/>
      <c r="O69" s="400"/>
      <c r="U69" s="215"/>
    </row>
    <row r="70" spans="1:21" s="4" customFormat="1" x14ac:dyDescent="0.2">
      <c r="A70" s="83"/>
      <c r="B70" s="83"/>
      <c r="C70" s="83"/>
      <c r="D70" s="83"/>
      <c r="E70" s="83"/>
      <c r="F70" s="83"/>
      <c r="G70" s="83"/>
      <c r="H70" s="83"/>
      <c r="I70" s="83"/>
      <c r="J70" s="83"/>
      <c r="K70" s="83"/>
      <c r="L70" s="83"/>
      <c r="M70" s="83"/>
      <c r="N70" s="83"/>
      <c r="O70" s="83"/>
      <c r="U70" s="83"/>
    </row>
    <row r="71" spans="1:21" s="4" customFormat="1" x14ac:dyDescent="0.2">
      <c r="B71" s="9"/>
      <c r="C71" s="14"/>
      <c r="D71" s="9"/>
      <c r="E71" s="16"/>
      <c r="F71" s="16"/>
      <c r="G71" s="16"/>
      <c r="H71" s="16"/>
      <c r="I71" s="16"/>
      <c r="J71" s="16"/>
      <c r="K71" s="16"/>
      <c r="L71" s="16"/>
      <c r="M71" s="16"/>
      <c r="N71" s="16"/>
      <c r="O71" s="16"/>
      <c r="U71" s="16"/>
    </row>
    <row r="72" spans="1:21" s="4" customFormat="1" x14ac:dyDescent="0.2">
      <c r="B72" s="372" t="str">
        <f>PO!$K$81</f>
        <v>CONSTANTINA, RS</v>
      </c>
      <c r="C72" s="372"/>
      <c r="D72" s="9"/>
      <c r="E72" s="16"/>
      <c r="F72" s="16"/>
      <c r="G72" s="16"/>
      <c r="H72" s="16"/>
      <c r="I72" s="16"/>
      <c r="J72" s="16"/>
      <c r="K72" s="16"/>
      <c r="L72" s="16"/>
      <c r="M72" s="16"/>
      <c r="N72" s="16"/>
      <c r="O72" s="16"/>
      <c r="U72" s="16"/>
    </row>
    <row r="73" spans="1:21" s="4" customFormat="1" x14ac:dyDescent="0.2">
      <c r="B73" s="113" t="s">
        <v>120</v>
      </c>
      <c r="C73" s="14"/>
      <c r="D73" s="9"/>
      <c r="E73" s="16"/>
      <c r="F73" s="16"/>
      <c r="G73" s="16"/>
      <c r="H73" s="16"/>
      <c r="I73" s="16"/>
      <c r="J73" s="16"/>
      <c r="K73" s="16"/>
      <c r="L73" s="16"/>
      <c r="M73" s="16"/>
      <c r="N73" s="16"/>
      <c r="O73" s="16"/>
      <c r="U73" s="16"/>
    </row>
    <row r="74" spans="1:21" s="4" customFormat="1" x14ac:dyDescent="0.2">
      <c r="B74" s="14"/>
      <c r="C74" s="14"/>
      <c r="D74" s="9"/>
      <c r="E74" s="16"/>
      <c r="F74" s="16"/>
      <c r="G74" s="16"/>
      <c r="H74" s="16"/>
      <c r="I74" s="16"/>
      <c r="J74" s="16"/>
      <c r="K74" s="16"/>
      <c r="L74" s="16"/>
      <c r="M74" s="16"/>
      <c r="N74" s="16"/>
      <c r="O74" s="16"/>
      <c r="U74" s="16"/>
    </row>
    <row r="75" spans="1:21" s="4" customFormat="1" x14ac:dyDescent="0.2">
      <c r="B75" s="373">
        <f ca="1">PO!$K$84</f>
        <v>45110</v>
      </c>
      <c r="C75" s="373"/>
      <c r="D75" s="9"/>
      <c r="E75" s="16"/>
      <c r="F75" s="16"/>
      <c r="G75" s="16"/>
      <c r="H75" s="16"/>
      <c r="I75" s="16"/>
      <c r="J75" s="16"/>
      <c r="K75" s="16"/>
      <c r="L75" s="16"/>
      <c r="M75" s="16"/>
      <c r="N75" s="16"/>
      <c r="O75" s="16"/>
      <c r="U75" s="16"/>
    </row>
    <row r="76" spans="1:21" s="4" customFormat="1" x14ac:dyDescent="0.2">
      <c r="B76" s="142" t="s">
        <v>121</v>
      </c>
      <c r="C76" s="143"/>
      <c r="D76" s="9"/>
      <c r="E76" s="16"/>
      <c r="F76" s="16"/>
      <c r="G76" s="16"/>
      <c r="H76" s="16"/>
      <c r="I76" s="16"/>
      <c r="J76" s="16"/>
      <c r="K76" s="16"/>
      <c r="L76" s="16"/>
      <c r="M76" s="16"/>
      <c r="N76" s="16"/>
      <c r="O76" s="16"/>
      <c r="U76" s="16"/>
    </row>
  </sheetData>
  <sheetProtection algorithmName="SHA-512" hashValue="0fseUkihTbwwQhcQLWIfmsueYq+vozLe2OEA55V3p0VwtGFpUEcj4llmNNzDXhA+FbByxLFB/2EzljTb7ZbSyg==" saltValue="NqRmMHvy131Ndh6Nns1ZMQ==" spinCount="100000" sheet="1" objects="1" scenarios="1"/>
  <mergeCells count="2">
    <mergeCell ref="B72:C72"/>
    <mergeCell ref="B75:C75"/>
  </mergeCells>
  <phoneticPr fontId="25" type="noConversion"/>
  <conditionalFormatting sqref="D11:E11 D44:E46 D13:E14 D20:E20 D58:E59 D17:E17 D67:E68 D42:E42 D26:E26 D55:E55 D50:E51 D62:E62 D28:E30 D34:E35">
    <cfRule type="expression" dxfId="316" priority="2711" stopIfTrue="1">
      <formula>$A11="Meta"</formula>
    </cfRule>
    <cfRule type="expression" dxfId="315" priority="2712" stopIfTrue="1">
      <formula>$A11&lt;&gt;"Serviço"</formula>
    </cfRule>
  </conditionalFormatting>
  <conditionalFormatting sqref="C11 C44:C46 C13:C14 C20 C58:C59 C17 C67:C68 C42 C26 C55 C50:C51 C62 C28:C30 C34:C35">
    <cfRule type="expression" dxfId="314" priority="2713" stopIfTrue="1">
      <formula>$A11="Meta"</formula>
    </cfRule>
    <cfRule type="expression" dxfId="313" priority="2714" stopIfTrue="1">
      <formula>$A11&lt;&gt;"Serviço"</formula>
    </cfRule>
  </conditionalFormatting>
  <conditionalFormatting sqref="A11:B11 A44:B46 A13:B14 A20:B20 A58:B59 A17:B17 A67:B68 A42:B42 A26:B26 A55:B55 A50:B51 A62:B62 A28:B30 A34:B35">
    <cfRule type="expression" dxfId="312" priority="2715" stopIfTrue="1">
      <formula>$A11="Meta"</formula>
    </cfRule>
    <cfRule type="expression" dxfId="311" priority="2716" stopIfTrue="1">
      <formula>LEFT($A11,5)="Nível"</formula>
    </cfRule>
    <cfRule type="expression" dxfId="310" priority="2717" stopIfTrue="1">
      <formula>$A11=0</formula>
    </cfRule>
  </conditionalFormatting>
  <conditionalFormatting sqref="U11 U13 F13:O13 U17 F17:O17 F19:O20 U19:U20 U26:U30 F26:O30 U34:U47 F34:O47 F50:O65 U50:U65 U67:U69 F67:O69">
    <cfRule type="expression" dxfId="309" priority="2727" stopIfTrue="1">
      <formula>$A11="Meta"</formula>
    </cfRule>
    <cfRule type="expression" dxfId="308" priority="2728" stopIfTrue="1">
      <formula>OR(F$9=0,$A11&lt;&gt;"Serviço")</formula>
    </cfRule>
    <cfRule type="expression" dxfId="307" priority="2729" stopIfTrue="1">
      <formula>TipoOrçamento="Licitado"</formula>
    </cfRule>
  </conditionalFormatting>
  <conditionalFormatting sqref="U9">
    <cfRule type="expression" dxfId="306" priority="2149" stopIfTrue="1">
      <formula>AND(T9=0,U9=0)</formula>
    </cfRule>
    <cfRule type="expression" dxfId="305" priority="2150" stopIfTrue="1">
      <formula>TipoOrçamento="Licitado"</formula>
    </cfRule>
  </conditionalFormatting>
  <conditionalFormatting sqref="F11:O11">
    <cfRule type="expression" dxfId="304" priority="2109" stopIfTrue="1">
      <formula>$A11="Meta"</formula>
    </cfRule>
    <cfRule type="expression" dxfId="303" priority="2110" stopIfTrue="1">
      <formula>OR(F$9=0,$A11&lt;&gt;"Serviço")</formula>
    </cfRule>
    <cfRule type="expression" dxfId="302" priority="2111" stopIfTrue="1">
      <formula>TipoOrçamento="Licitado"</formula>
    </cfRule>
  </conditionalFormatting>
  <conditionalFormatting sqref="F9:O9">
    <cfRule type="expression" dxfId="301" priority="2107" stopIfTrue="1">
      <formula>AND(E9=0,F9=0)</formula>
    </cfRule>
    <cfRule type="expression" dxfId="300" priority="2108" stopIfTrue="1">
      <formula>TipoOrçamento="Licitado"</formula>
    </cfRule>
  </conditionalFormatting>
  <conditionalFormatting sqref="U14">
    <cfRule type="expression" dxfId="299" priority="1337" stopIfTrue="1">
      <formula>$A14="Meta"</formula>
    </cfRule>
    <cfRule type="expression" dxfId="298" priority="1338" stopIfTrue="1">
      <formula>OR(U$9=0,$A14&lt;&gt;"Serviço")</formula>
    </cfRule>
    <cfRule type="expression" dxfId="297" priority="1339" stopIfTrue="1">
      <formula>TipoOrçamento="Licitado"</formula>
    </cfRule>
  </conditionalFormatting>
  <conditionalFormatting sqref="F14:O14">
    <cfRule type="expression" dxfId="296" priority="1327" stopIfTrue="1">
      <formula>$A14="Meta"</formula>
    </cfRule>
    <cfRule type="expression" dxfId="295" priority="1328" stopIfTrue="1">
      <formula>OR(F$9=0,$A14&lt;&gt;"Serviço")</formula>
    </cfRule>
    <cfRule type="expression" dxfId="294" priority="1329" stopIfTrue="1">
      <formula>TipoOrçamento="Licitado"</formula>
    </cfRule>
  </conditionalFormatting>
  <conditionalFormatting sqref="D19:E19">
    <cfRule type="expression" dxfId="293" priority="1304" stopIfTrue="1">
      <formula>$A19="Meta"</formula>
    </cfRule>
    <cfRule type="expression" dxfId="292" priority="1305" stopIfTrue="1">
      <formula>$A19&lt;&gt;"Serviço"</formula>
    </cfRule>
  </conditionalFormatting>
  <conditionalFormatting sqref="C19">
    <cfRule type="expression" dxfId="291" priority="1306" stopIfTrue="1">
      <formula>$A19="Meta"</formula>
    </cfRule>
    <cfRule type="expression" dxfId="290" priority="1307" stopIfTrue="1">
      <formula>$A19&lt;&gt;"Serviço"</formula>
    </cfRule>
  </conditionalFormatting>
  <conditionalFormatting sqref="A19:B19">
    <cfRule type="expression" dxfId="289" priority="1308" stopIfTrue="1">
      <formula>$A19="Meta"</formula>
    </cfRule>
    <cfRule type="expression" dxfId="288" priority="1309" stopIfTrue="1">
      <formula>LEFT($A19,5)="Nível"</formula>
    </cfRule>
    <cfRule type="expression" dxfId="287" priority="1310" stopIfTrue="1">
      <formula>$A19=0</formula>
    </cfRule>
  </conditionalFormatting>
  <conditionalFormatting sqref="D47:E47">
    <cfRule type="expression" dxfId="286" priority="1252" stopIfTrue="1">
      <formula>$A47="Meta"</formula>
    </cfRule>
    <cfRule type="expression" dxfId="285" priority="1253" stopIfTrue="1">
      <formula>$A47&lt;&gt;"Serviço"</formula>
    </cfRule>
  </conditionalFormatting>
  <conditionalFormatting sqref="C47">
    <cfRule type="expression" dxfId="284" priority="1254" stopIfTrue="1">
      <formula>$A47="Meta"</formula>
    </cfRule>
    <cfRule type="expression" dxfId="283" priority="1255" stopIfTrue="1">
      <formula>$A47&lt;&gt;"Serviço"</formula>
    </cfRule>
  </conditionalFormatting>
  <conditionalFormatting sqref="A47:B47">
    <cfRule type="expression" dxfId="282" priority="1256" stopIfTrue="1">
      <formula>$A47="Meta"</formula>
    </cfRule>
    <cfRule type="expression" dxfId="281" priority="1257" stopIfTrue="1">
      <formula>LEFT($A47,5)="Nível"</formula>
    </cfRule>
    <cfRule type="expression" dxfId="280" priority="1258" stopIfTrue="1">
      <formula>$A47=0</formula>
    </cfRule>
  </conditionalFormatting>
  <conditionalFormatting sqref="D27:E27">
    <cfRule type="expression" dxfId="279" priority="1187" stopIfTrue="1">
      <formula>$A27="Meta"</formula>
    </cfRule>
    <cfRule type="expression" dxfId="278" priority="1188" stopIfTrue="1">
      <formula>$A27&lt;&gt;"Serviço"</formula>
    </cfRule>
  </conditionalFormatting>
  <conditionalFormatting sqref="C27">
    <cfRule type="expression" dxfId="277" priority="1189" stopIfTrue="1">
      <formula>$A27="Meta"</formula>
    </cfRule>
    <cfRule type="expression" dxfId="276" priority="1190" stopIfTrue="1">
      <formula>$A27&lt;&gt;"Serviço"</formula>
    </cfRule>
  </conditionalFormatting>
  <conditionalFormatting sqref="A27:B27">
    <cfRule type="expression" dxfId="275" priority="1191" stopIfTrue="1">
      <formula>$A27="Meta"</formula>
    </cfRule>
    <cfRule type="expression" dxfId="274" priority="1192" stopIfTrue="1">
      <formula>LEFT($A27,5)="Nível"</formula>
    </cfRule>
    <cfRule type="expression" dxfId="273" priority="1193" stopIfTrue="1">
      <formula>$A27=0</formula>
    </cfRule>
  </conditionalFormatting>
  <conditionalFormatting sqref="D43:E43">
    <cfRule type="expression" dxfId="272" priority="1070" stopIfTrue="1">
      <formula>$A43="Meta"</formula>
    </cfRule>
    <cfRule type="expression" dxfId="271" priority="1071" stopIfTrue="1">
      <formula>$A43&lt;&gt;"Serviço"</formula>
    </cfRule>
  </conditionalFormatting>
  <conditionalFormatting sqref="C43">
    <cfRule type="expression" dxfId="270" priority="1072" stopIfTrue="1">
      <formula>$A43="Meta"</formula>
    </cfRule>
    <cfRule type="expression" dxfId="269" priority="1073" stopIfTrue="1">
      <formula>$A43&lt;&gt;"Serviço"</formula>
    </cfRule>
  </conditionalFormatting>
  <conditionalFormatting sqref="A43:B43">
    <cfRule type="expression" dxfId="268" priority="1074" stopIfTrue="1">
      <formula>$A43="Meta"</formula>
    </cfRule>
    <cfRule type="expression" dxfId="267" priority="1075" stopIfTrue="1">
      <formula>LEFT($A43,5)="Nível"</formula>
    </cfRule>
    <cfRule type="expression" dxfId="266" priority="1076" stopIfTrue="1">
      <formula>$A43=0</formula>
    </cfRule>
  </conditionalFormatting>
  <conditionalFormatting sqref="D56:E56">
    <cfRule type="expression" dxfId="265" priority="849" stopIfTrue="1">
      <formula>$A56="Meta"</formula>
    </cfRule>
    <cfRule type="expression" dxfId="264" priority="850" stopIfTrue="1">
      <formula>$A56&lt;&gt;"Serviço"</formula>
    </cfRule>
  </conditionalFormatting>
  <conditionalFormatting sqref="C56">
    <cfRule type="expression" dxfId="263" priority="851" stopIfTrue="1">
      <formula>$A56="Meta"</formula>
    </cfRule>
    <cfRule type="expression" dxfId="262" priority="852" stopIfTrue="1">
      <formula>$A56&lt;&gt;"Serviço"</formula>
    </cfRule>
  </conditionalFormatting>
  <conditionalFormatting sqref="A56:B56">
    <cfRule type="expression" dxfId="261" priority="853" stopIfTrue="1">
      <formula>$A56="Meta"</formula>
    </cfRule>
    <cfRule type="expression" dxfId="260" priority="854" stopIfTrue="1">
      <formula>LEFT($A56,5)="Nível"</formula>
    </cfRule>
    <cfRule type="expression" dxfId="259" priority="855" stopIfTrue="1">
      <formula>$A56=0</formula>
    </cfRule>
  </conditionalFormatting>
  <conditionalFormatting sqref="D63:E63">
    <cfRule type="expression" dxfId="258" priority="576" stopIfTrue="1">
      <formula>$A63="Meta"</formula>
    </cfRule>
    <cfRule type="expression" dxfId="257" priority="577" stopIfTrue="1">
      <formula>$A63&lt;&gt;"Serviço"</formula>
    </cfRule>
  </conditionalFormatting>
  <conditionalFormatting sqref="C63">
    <cfRule type="expression" dxfId="256" priority="578" stopIfTrue="1">
      <formula>$A63="Meta"</formula>
    </cfRule>
    <cfRule type="expression" dxfId="255" priority="579" stopIfTrue="1">
      <formula>$A63&lt;&gt;"Serviço"</formula>
    </cfRule>
  </conditionalFormatting>
  <conditionalFormatting sqref="A63:B63">
    <cfRule type="expression" dxfId="254" priority="580" stopIfTrue="1">
      <formula>$A63="Meta"</formula>
    </cfRule>
    <cfRule type="expression" dxfId="253" priority="581" stopIfTrue="1">
      <formula>LEFT($A63,5)="Nível"</formula>
    </cfRule>
    <cfRule type="expression" dxfId="252" priority="582" stopIfTrue="1">
      <formula>$A63=0</formula>
    </cfRule>
  </conditionalFormatting>
  <conditionalFormatting sqref="D64:E64">
    <cfRule type="expression" dxfId="251" priority="550" stopIfTrue="1">
      <formula>$A64="Meta"</formula>
    </cfRule>
    <cfRule type="expression" dxfId="250" priority="551" stopIfTrue="1">
      <formula>$A64&lt;&gt;"Serviço"</formula>
    </cfRule>
  </conditionalFormatting>
  <conditionalFormatting sqref="C64">
    <cfRule type="expression" dxfId="249" priority="552" stopIfTrue="1">
      <formula>$A64="Meta"</formula>
    </cfRule>
    <cfRule type="expression" dxfId="248" priority="553" stopIfTrue="1">
      <formula>$A64&lt;&gt;"Serviço"</formula>
    </cfRule>
  </conditionalFormatting>
  <conditionalFormatting sqref="A64:B64">
    <cfRule type="expression" dxfId="247" priority="554" stopIfTrue="1">
      <formula>$A64="Meta"</formula>
    </cfRule>
    <cfRule type="expression" dxfId="246" priority="555" stopIfTrue="1">
      <formula>LEFT($A64,5)="Nível"</formula>
    </cfRule>
    <cfRule type="expression" dxfId="245" priority="556" stopIfTrue="1">
      <formula>$A64=0</formula>
    </cfRule>
  </conditionalFormatting>
  <conditionalFormatting sqref="D41:E41">
    <cfRule type="expression" dxfId="244" priority="524" stopIfTrue="1">
      <formula>$A41="Meta"</formula>
    </cfRule>
    <cfRule type="expression" dxfId="243" priority="525" stopIfTrue="1">
      <formula>$A41&lt;&gt;"Serviço"</formula>
    </cfRule>
  </conditionalFormatting>
  <conditionalFormatting sqref="C41">
    <cfRule type="expression" dxfId="242" priority="526" stopIfTrue="1">
      <formula>$A41="Meta"</formula>
    </cfRule>
    <cfRule type="expression" dxfId="241" priority="527" stopIfTrue="1">
      <formula>$A41&lt;&gt;"Serviço"</formula>
    </cfRule>
  </conditionalFormatting>
  <conditionalFormatting sqref="A41:B41">
    <cfRule type="expression" dxfId="240" priority="528" stopIfTrue="1">
      <formula>$A41="Meta"</formula>
    </cfRule>
    <cfRule type="expression" dxfId="239" priority="529" stopIfTrue="1">
      <formula>LEFT($A41,5)="Nível"</formula>
    </cfRule>
    <cfRule type="expression" dxfId="238" priority="530" stopIfTrue="1">
      <formula>$A41=0</formula>
    </cfRule>
  </conditionalFormatting>
  <conditionalFormatting sqref="D15:E15">
    <cfRule type="expression" dxfId="237" priority="303" stopIfTrue="1">
      <formula>$A15="Meta"</formula>
    </cfRule>
    <cfRule type="expression" dxfId="236" priority="304" stopIfTrue="1">
      <formula>$A15&lt;&gt;"Serviço"</formula>
    </cfRule>
  </conditionalFormatting>
  <conditionalFormatting sqref="C15">
    <cfRule type="expression" dxfId="235" priority="305" stopIfTrue="1">
      <formula>$A15="Meta"</formula>
    </cfRule>
    <cfRule type="expression" dxfId="234" priority="306" stopIfTrue="1">
      <formula>$A15&lt;&gt;"Serviço"</formula>
    </cfRule>
  </conditionalFormatting>
  <conditionalFormatting sqref="A15:B15">
    <cfRule type="expression" dxfId="233" priority="307" stopIfTrue="1">
      <formula>$A15="Meta"</formula>
    </cfRule>
    <cfRule type="expression" dxfId="232" priority="308" stopIfTrue="1">
      <formula>LEFT($A15,5)="Nível"</formula>
    </cfRule>
    <cfRule type="expression" dxfId="231" priority="309" stopIfTrue="1">
      <formula>$A15=0</formula>
    </cfRule>
  </conditionalFormatting>
  <conditionalFormatting sqref="U15">
    <cfRule type="expression" dxfId="230" priority="310" stopIfTrue="1">
      <formula>$A15="Meta"</formula>
    </cfRule>
    <cfRule type="expression" dxfId="229" priority="311" stopIfTrue="1">
      <formula>OR(U$9=0,$A15&lt;&gt;"Serviço")</formula>
    </cfRule>
    <cfRule type="expression" dxfId="228" priority="312" stopIfTrue="1">
      <formula>TipoOrçamento="Licitado"</formula>
    </cfRule>
  </conditionalFormatting>
  <conditionalFormatting sqref="F15:O15">
    <cfRule type="expression" dxfId="227" priority="300" stopIfTrue="1">
      <formula>$A15="Meta"</formula>
    </cfRule>
    <cfRule type="expression" dxfId="226" priority="301" stopIfTrue="1">
      <formula>OR(F$9=0,$A15&lt;&gt;"Serviço")</formula>
    </cfRule>
    <cfRule type="expression" dxfId="225" priority="302" stopIfTrue="1">
      <formula>TipoOrçamento="Licitado"</formula>
    </cfRule>
  </conditionalFormatting>
  <conditionalFormatting sqref="D18:E18">
    <cfRule type="expression" dxfId="224" priority="290" stopIfTrue="1">
      <formula>$A18="Meta"</formula>
    </cfRule>
    <cfRule type="expression" dxfId="223" priority="291" stopIfTrue="1">
      <formula>$A18&lt;&gt;"Serviço"</formula>
    </cfRule>
  </conditionalFormatting>
  <conditionalFormatting sqref="C18">
    <cfRule type="expression" dxfId="222" priority="292" stopIfTrue="1">
      <formula>$A18="Meta"</formula>
    </cfRule>
    <cfRule type="expression" dxfId="221" priority="293" stopIfTrue="1">
      <formula>$A18&lt;&gt;"Serviço"</formula>
    </cfRule>
  </conditionalFormatting>
  <conditionalFormatting sqref="A18:B18">
    <cfRule type="expression" dxfId="220" priority="294" stopIfTrue="1">
      <formula>$A18="Meta"</formula>
    </cfRule>
    <cfRule type="expression" dxfId="219" priority="295" stopIfTrue="1">
      <formula>LEFT($A18,5)="Nível"</formula>
    </cfRule>
    <cfRule type="expression" dxfId="218" priority="296" stopIfTrue="1">
      <formula>$A18=0</formula>
    </cfRule>
  </conditionalFormatting>
  <conditionalFormatting sqref="U18">
    <cfRule type="expression" dxfId="217" priority="297" stopIfTrue="1">
      <formula>$A18="Meta"</formula>
    </cfRule>
    <cfRule type="expression" dxfId="216" priority="298" stopIfTrue="1">
      <formula>OR(U$9=0,$A18&lt;&gt;"Serviço")</formula>
    </cfRule>
    <cfRule type="expression" dxfId="215" priority="299" stopIfTrue="1">
      <formula>TipoOrçamento="Licitado"</formula>
    </cfRule>
  </conditionalFormatting>
  <conditionalFormatting sqref="F18:O18">
    <cfRule type="expression" dxfId="214" priority="287" stopIfTrue="1">
      <formula>$A18="Meta"</formula>
    </cfRule>
    <cfRule type="expression" dxfId="213" priority="288" stopIfTrue="1">
      <formula>OR(F$9=0,$A18&lt;&gt;"Serviço")</formula>
    </cfRule>
    <cfRule type="expression" dxfId="212" priority="289" stopIfTrue="1">
      <formula>TipoOrçamento="Licitado"</formula>
    </cfRule>
  </conditionalFormatting>
  <conditionalFormatting sqref="D21:E25">
    <cfRule type="expression" dxfId="211" priority="277" stopIfTrue="1">
      <formula>$A21="Meta"</formula>
    </cfRule>
    <cfRule type="expression" dxfId="210" priority="278" stopIfTrue="1">
      <formula>$A21&lt;&gt;"Serviço"</formula>
    </cfRule>
  </conditionalFormatting>
  <conditionalFormatting sqref="C21:C25">
    <cfRule type="expression" dxfId="209" priority="279" stopIfTrue="1">
      <formula>$A21="Meta"</formula>
    </cfRule>
    <cfRule type="expression" dxfId="208" priority="280" stopIfTrue="1">
      <formula>$A21&lt;&gt;"Serviço"</formula>
    </cfRule>
  </conditionalFormatting>
  <conditionalFormatting sqref="A21:B25">
    <cfRule type="expression" dxfId="207" priority="281" stopIfTrue="1">
      <formula>$A21="Meta"</formula>
    </cfRule>
    <cfRule type="expression" dxfId="206" priority="282" stopIfTrue="1">
      <formula>LEFT($A21,5)="Nível"</formula>
    </cfRule>
    <cfRule type="expression" dxfId="205" priority="283" stopIfTrue="1">
      <formula>$A21=0</formula>
    </cfRule>
  </conditionalFormatting>
  <conditionalFormatting sqref="U21:U25">
    <cfRule type="expression" dxfId="204" priority="284" stopIfTrue="1">
      <formula>$A21="Meta"</formula>
    </cfRule>
    <cfRule type="expression" dxfId="203" priority="285" stopIfTrue="1">
      <formula>OR(U$9=0,$A21&lt;&gt;"Serviço")</formula>
    </cfRule>
    <cfRule type="expression" dxfId="202" priority="286" stopIfTrue="1">
      <formula>TipoOrçamento="Licitado"</formula>
    </cfRule>
  </conditionalFormatting>
  <conditionalFormatting sqref="F21:O25">
    <cfRule type="expression" dxfId="201" priority="274" stopIfTrue="1">
      <formula>$A21="Meta"</formula>
    </cfRule>
    <cfRule type="expression" dxfId="200" priority="275" stopIfTrue="1">
      <formula>OR(F$9=0,$A21&lt;&gt;"Serviço")</formula>
    </cfRule>
    <cfRule type="expression" dxfId="199" priority="276" stopIfTrue="1">
      <formula>TipoOrçamento="Licitado"</formula>
    </cfRule>
  </conditionalFormatting>
  <conditionalFormatting sqref="D36:E40">
    <cfRule type="expression" dxfId="198" priority="264" stopIfTrue="1">
      <formula>$A36="Meta"</formula>
    </cfRule>
    <cfRule type="expression" dxfId="197" priority="265" stopIfTrue="1">
      <formula>$A36&lt;&gt;"Serviço"</formula>
    </cfRule>
  </conditionalFormatting>
  <conditionalFormatting sqref="C36:C40">
    <cfRule type="expression" dxfId="196" priority="266" stopIfTrue="1">
      <formula>$A36="Meta"</formula>
    </cfRule>
    <cfRule type="expression" dxfId="195" priority="267" stopIfTrue="1">
      <formula>$A36&lt;&gt;"Serviço"</formula>
    </cfRule>
  </conditionalFormatting>
  <conditionalFormatting sqref="A36:B40">
    <cfRule type="expression" dxfId="194" priority="268" stopIfTrue="1">
      <formula>$A36="Meta"</formula>
    </cfRule>
    <cfRule type="expression" dxfId="193" priority="269" stopIfTrue="1">
      <formula>LEFT($A36,5)="Nível"</formula>
    </cfRule>
    <cfRule type="expression" dxfId="192" priority="270" stopIfTrue="1">
      <formula>$A36=0</formula>
    </cfRule>
  </conditionalFormatting>
  <conditionalFormatting sqref="D52:E52">
    <cfRule type="expression" dxfId="191" priority="212" stopIfTrue="1">
      <formula>$A52="Meta"</formula>
    </cfRule>
    <cfRule type="expression" dxfId="190" priority="213" stopIfTrue="1">
      <formula>$A52&lt;&gt;"Serviço"</formula>
    </cfRule>
  </conditionalFormatting>
  <conditionalFormatting sqref="C52">
    <cfRule type="expression" dxfId="189" priority="214" stopIfTrue="1">
      <formula>$A52="Meta"</formula>
    </cfRule>
    <cfRule type="expression" dxfId="188" priority="215" stopIfTrue="1">
      <formula>$A52&lt;&gt;"Serviço"</formula>
    </cfRule>
  </conditionalFormatting>
  <conditionalFormatting sqref="A52:B52">
    <cfRule type="expression" dxfId="187" priority="216" stopIfTrue="1">
      <formula>$A52="Meta"</formula>
    </cfRule>
    <cfRule type="expression" dxfId="186" priority="217" stopIfTrue="1">
      <formula>LEFT($A52,5)="Nível"</formula>
    </cfRule>
    <cfRule type="expression" dxfId="185" priority="218" stopIfTrue="1">
      <formula>$A52=0</formula>
    </cfRule>
  </conditionalFormatting>
  <conditionalFormatting sqref="D54:E54">
    <cfRule type="expression" dxfId="184" priority="186" stopIfTrue="1">
      <formula>$A54="Meta"</formula>
    </cfRule>
    <cfRule type="expression" dxfId="183" priority="187" stopIfTrue="1">
      <formula>$A54&lt;&gt;"Serviço"</formula>
    </cfRule>
  </conditionalFormatting>
  <conditionalFormatting sqref="C54">
    <cfRule type="expression" dxfId="182" priority="188" stopIfTrue="1">
      <formula>$A54="Meta"</formula>
    </cfRule>
    <cfRule type="expression" dxfId="181" priority="189" stopIfTrue="1">
      <formula>$A54&lt;&gt;"Serviço"</formula>
    </cfRule>
  </conditionalFormatting>
  <conditionalFormatting sqref="A54:B54">
    <cfRule type="expression" dxfId="180" priority="190" stopIfTrue="1">
      <formula>$A54="Meta"</formula>
    </cfRule>
    <cfRule type="expression" dxfId="179" priority="191" stopIfTrue="1">
      <formula>LEFT($A54,5)="Nível"</formula>
    </cfRule>
    <cfRule type="expression" dxfId="178" priority="192" stopIfTrue="1">
      <formula>$A54=0</formula>
    </cfRule>
  </conditionalFormatting>
  <conditionalFormatting sqref="D60:E60">
    <cfRule type="expression" dxfId="177" priority="160" stopIfTrue="1">
      <formula>$A60="Meta"</formula>
    </cfRule>
    <cfRule type="expression" dxfId="176" priority="161" stopIfTrue="1">
      <formula>$A60&lt;&gt;"Serviço"</formula>
    </cfRule>
  </conditionalFormatting>
  <conditionalFormatting sqref="C60">
    <cfRule type="expression" dxfId="175" priority="162" stopIfTrue="1">
      <formula>$A60="Meta"</formula>
    </cfRule>
    <cfRule type="expression" dxfId="174" priority="163" stopIfTrue="1">
      <formula>$A60&lt;&gt;"Serviço"</formula>
    </cfRule>
  </conditionalFormatting>
  <conditionalFormatting sqref="A60:B60">
    <cfRule type="expression" dxfId="173" priority="164" stopIfTrue="1">
      <formula>$A60="Meta"</formula>
    </cfRule>
    <cfRule type="expression" dxfId="172" priority="165" stopIfTrue="1">
      <formula>LEFT($A60,5)="Nível"</formula>
    </cfRule>
    <cfRule type="expression" dxfId="171" priority="166" stopIfTrue="1">
      <formula>$A60=0</formula>
    </cfRule>
  </conditionalFormatting>
  <conditionalFormatting sqref="D61:E61">
    <cfRule type="expression" dxfId="170" priority="147" stopIfTrue="1">
      <formula>$A61="Meta"</formula>
    </cfRule>
    <cfRule type="expression" dxfId="169" priority="148" stopIfTrue="1">
      <formula>$A61&lt;&gt;"Serviço"</formula>
    </cfRule>
  </conditionalFormatting>
  <conditionalFormatting sqref="C61">
    <cfRule type="expression" dxfId="168" priority="149" stopIfTrue="1">
      <formula>$A61="Meta"</formula>
    </cfRule>
    <cfRule type="expression" dxfId="167" priority="150" stopIfTrue="1">
      <formula>$A61&lt;&gt;"Serviço"</formula>
    </cfRule>
  </conditionalFormatting>
  <conditionalFormatting sqref="A61:B61">
    <cfRule type="expression" dxfId="166" priority="151" stopIfTrue="1">
      <formula>$A61="Meta"</formula>
    </cfRule>
    <cfRule type="expression" dxfId="165" priority="152" stopIfTrue="1">
      <formula>LEFT($A61,5)="Nível"</formula>
    </cfRule>
    <cfRule type="expression" dxfId="164" priority="153" stopIfTrue="1">
      <formula>$A61=0</formula>
    </cfRule>
  </conditionalFormatting>
  <conditionalFormatting sqref="D57:E57">
    <cfRule type="expression" dxfId="163" priority="134" stopIfTrue="1">
      <formula>$A57="Meta"</formula>
    </cfRule>
    <cfRule type="expression" dxfId="162" priority="135" stopIfTrue="1">
      <formula>$A57&lt;&gt;"Serviço"</formula>
    </cfRule>
  </conditionalFormatting>
  <conditionalFormatting sqref="C57">
    <cfRule type="expression" dxfId="161" priority="136" stopIfTrue="1">
      <formula>$A57="Meta"</formula>
    </cfRule>
    <cfRule type="expression" dxfId="160" priority="137" stopIfTrue="1">
      <formula>$A57&lt;&gt;"Serviço"</formula>
    </cfRule>
  </conditionalFormatting>
  <conditionalFormatting sqref="A57:B57">
    <cfRule type="expression" dxfId="159" priority="138" stopIfTrue="1">
      <formula>$A57="Meta"</formula>
    </cfRule>
    <cfRule type="expression" dxfId="158" priority="139" stopIfTrue="1">
      <formula>LEFT($A57,5)="Nível"</formula>
    </cfRule>
    <cfRule type="expression" dxfId="157" priority="140" stopIfTrue="1">
      <formula>$A57=0</formula>
    </cfRule>
  </conditionalFormatting>
  <conditionalFormatting sqref="D16:E16">
    <cfRule type="expression" dxfId="156" priority="82" stopIfTrue="1">
      <formula>$A16="Meta"</formula>
    </cfRule>
    <cfRule type="expression" dxfId="155" priority="83" stopIfTrue="1">
      <formula>$A16&lt;&gt;"Serviço"</formula>
    </cfRule>
  </conditionalFormatting>
  <conditionalFormatting sqref="C16">
    <cfRule type="expression" dxfId="154" priority="84" stopIfTrue="1">
      <formula>$A16="Meta"</formula>
    </cfRule>
    <cfRule type="expression" dxfId="153" priority="85" stopIfTrue="1">
      <formula>$A16&lt;&gt;"Serviço"</formula>
    </cfRule>
  </conditionalFormatting>
  <conditionalFormatting sqref="A16:B16">
    <cfRule type="expression" dxfId="152" priority="86" stopIfTrue="1">
      <formula>$A16="Meta"</formula>
    </cfRule>
    <cfRule type="expression" dxfId="151" priority="87" stopIfTrue="1">
      <formula>LEFT($A16,5)="Nível"</formula>
    </cfRule>
    <cfRule type="expression" dxfId="150" priority="88" stopIfTrue="1">
      <formula>$A16=0</formula>
    </cfRule>
  </conditionalFormatting>
  <conditionalFormatting sqref="U16">
    <cfRule type="expression" dxfId="149" priority="89" stopIfTrue="1">
      <formula>$A16="Meta"</formula>
    </cfRule>
    <cfRule type="expression" dxfId="148" priority="90" stopIfTrue="1">
      <formula>OR(U$9=0,$A16&lt;&gt;"Serviço")</formula>
    </cfRule>
    <cfRule type="expression" dxfId="147" priority="91" stopIfTrue="1">
      <formula>TipoOrçamento="Licitado"</formula>
    </cfRule>
  </conditionalFormatting>
  <conditionalFormatting sqref="F16:O16">
    <cfRule type="expression" dxfId="146" priority="79" stopIfTrue="1">
      <formula>$A16="Meta"</formula>
    </cfRule>
    <cfRule type="expression" dxfId="145" priority="80" stopIfTrue="1">
      <formula>OR(F$9=0,$A16&lt;&gt;"Serviço")</formula>
    </cfRule>
    <cfRule type="expression" dxfId="144" priority="81" stopIfTrue="1">
      <formula>TipoOrçamento="Licitado"</formula>
    </cfRule>
  </conditionalFormatting>
  <conditionalFormatting sqref="D53:E53">
    <cfRule type="expression" dxfId="143" priority="69" stopIfTrue="1">
      <formula>$A53="Meta"</formula>
    </cfRule>
    <cfRule type="expression" dxfId="142" priority="70" stopIfTrue="1">
      <formula>$A53&lt;&gt;"Serviço"</formula>
    </cfRule>
  </conditionalFormatting>
  <conditionalFormatting sqref="C53">
    <cfRule type="expression" dxfId="141" priority="71" stopIfTrue="1">
      <formula>$A53="Meta"</formula>
    </cfRule>
    <cfRule type="expression" dxfId="140" priority="72" stopIfTrue="1">
      <formula>$A53&lt;&gt;"Serviço"</formula>
    </cfRule>
  </conditionalFormatting>
  <conditionalFormatting sqref="A53:B53">
    <cfRule type="expression" dxfId="139" priority="73" stopIfTrue="1">
      <formula>$A53="Meta"</formula>
    </cfRule>
    <cfRule type="expression" dxfId="138" priority="74" stopIfTrue="1">
      <formula>LEFT($A53,5)="Nível"</formula>
    </cfRule>
    <cfRule type="expression" dxfId="137" priority="75" stopIfTrue="1">
      <formula>$A53=0</formula>
    </cfRule>
  </conditionalFormatting>
  <conditionalFormatting sqref="D65:E65">
    <cfRule type="expression" dxfId="136" priority="56" stopIfTrue="1">
      <formula>$A65="Meta"</formula>
    </cfRule>
    <cfRule type="expression" dxfId="135" priority="57" stopIfTrue="1">
      <formula>$A65&lt;&gt;"Serviço"</formula>
    </cfRule>
  </conditionalFormatting>
  <conditionalFormatting sqref="C65">
    <cfRule type="expression" dxfId="134" priority="58" stopIfTrue="1">
      <formula>$A65="Meta"</formula>
    </cfRule>
    <cfRule type="expression" dxfId="133" priority="59" stopIfTrue="1">
      <formula>$A65&lt;&gt;"Serviço"</formula>
    </cfRule>
  </conditionalFormatting>
  <conditionalFormatting sqref="A65:B65">
    <cfRule type="expression" dxfId="132" priority="60" stopIfTrue="1">
      <formula>$A65="Meta"</formula>
    </cfRule>
    <cfRule type="expression" dxfId="131" priority="61" stopIfTrue="1">
      <formula>LEFT($A65,5)="Nível"</formula>
    </cfRule>
    <cfRule type="expression" dxfId="130" priority="62" stopIfTrue="1">
      <formula>$A65=0</formula>
    </cfRule>
  </conditionalFormatting>
  <conditionalFormatting sqref="D69:E69">
    <cfRule type="expression" dxfId="129" priority="43" stopIfTrue="1">
      <formula>$A69="Meta"</formula>
    </cfRule>
    <cfRule type="expression" dxfId="128" priority="44" stopIfTrue="1">
      <formula>$A69&lt;&gt;"Serviço"</formula>
    </cfRule>
  </conditionalFormatting>
  <conditionalFormatting sqref="C69">
    <cfRule type="expression" dxfId="127" priority="45" stopIfTrue="1">
      <formula>$A69="Meta"</formula>
    </cfRule>
    <cfRule type="expression" dxfId="126" priority="46" stopIfTrue="1">
      <formula>$A69&lt;&gt;"Serviço"</formula>
    </cfRule>
  </conditionalFormatting>
  <conditionalFormatting sqref="A69:B69">
    <cfRule type="expression" dxfId="125" priority="47" stopIfTrue="1">
      <formula>$A69="Meta"</formula>
    </cfRule>
    <cfRule type="expression" dxfId="124" priority="48" stopIfTrue="1">
      <formula>LEFT($A69,5)="Nível"</formula>
    </cfRule>
    <cfRule type="expression" dxfId="123" priority="49" stopIfTrue="1">
      <formula>$A69=0</formula>
    </cfRule>
  </conditionalFormatting>
  <conditionalFormatting sqref="D31:E33">
    <cfRule type="expression" dxfId="122" priority="30" stopIfTrue="1">
      <formula>$A31="Meta"</formula>
    </cfRule>
    <cfRule type="expression" dxfId="121" priority="31" stopIfTrue="1">
      <formula>$A31&lt;&gt;"Serviço"</formula>
    </cfRule>
  </conditionalFormatting>
  <conditionalFormatting sqref="C31:C33">
    <cfRule type="expression" dxfId="120" priority="32" stopIfTrue="1">
      <formula>$A31="Meta"</formula>
    </cfRule>
    <cfRule type="expression" dxfId="119" priority="33" stopIfTrue="1">
      <formula>$A31&lt;&gt;"Serviço"</formula>
    </cfRule>
  </conditionalFormatting>
  <conditionalFormatting sqref="A31:B33">
    <cfRule type="expression" dxfId="118" priority="34" stopIfTrue="1">
      <formula>$A31="Meta"</formula>
    </cfRule>
    <cfRule type="expression" dxfId="117" priority="35" stopIfTrue="1">
      <formula>LEFT($A31,5)="Nível"</formula>
    </cfRule>
    <cfRule type="expression" dxfId="116" priority="36" stopIfTrue="1">
      <formula>$A31=0</formula>
    </cfRule>
  </conditionalFormatting>
  <conditionalFormatting sqref="U31:U33">
    <cfRule type="expression" dxfId="115" priority="37" stopIfTrue="1">
      <formula>$A31="Meta"</formula>
    </cfRule>
    <cfRule type="expression" dxfId="114" priority="38" stopIfTrue="1">
      <formula>OR(U$9=0,$A31&lt;&gt;"Serviço")</formula>
    </cfRule>
    <cfRule type="expression" dxfId="113" priority="39" stopIfTrue="1">
      <formula>TipoOrçamento="Licitado"</formula>
    </cfRule>
  </conditionalFormatting>
  <conditionalFormatting sqref="F31:O33">
    <cfRule type="expression" dxfId="112" priority="27" stopIfTrue="1">
      <formula>$A31="Meta"</formula>
    </cfRule>
    <cfRule type="expression" dxfId="111" priority="28" stopIfTrue="1">
      <formula>OR(F$9=0,$A31&lt;&gt;"Serviço")</formula>
    </cfRule>
    <cfRule type="expression" dxfId="110" priority="29" stopIfTrue="1">
      <formula>TipoOrçamento="Licitado"</formula>
    </cfRule>
  </conditionalFormatting>
  <conditionalFormatting sqref="D48:E49">
    <cfRule type="expression" dxfId="109" priority="17" stopIfTrue="1">
      <formula>$A48="Meta"</formula>
    </cfRule>
    <cfRule type="expression" dxfId="108" priority="18" stopIfTrue="1">
      <formula>$A48&lt;&gt;"Serviço"</formula>
    </cfRule>
  </conditionalFormatting>
  <conditionalFormatting sqref="C48:C49">
    <cfRule type="expression" dxfId="107" priority="19" stopIfTrue="1">
      <formula>$A48="Meta"</formula>
    </cfRule>
    <cfRule type="expression" dxfId="106" priority="20" stopIfTrue="1">
      <formula>$A48&lt;&gt;"Serviço"</formula>
    </cfRule>
  </conditionalFormatting>
  <conditionalFormatting sqref="A48:B49">
    <cfRule type="expression" dxfId="105" priority="21" stopIfTrue="1">
      <formula>$A48="Meta"</formula>
    </cfRule>
    <cfRule type="expression" dxfId="104" priority="22" stopIfTrue="1">
      <formula>LEFT($A48,5)="Nível"</formula>
    </cfRule>
    <cfRule type="expression" dxfId="103" priority="23" stopIfTrue="1">
      <formula>$A48=0</formula>
    </cfRule>
  </conditionalFormatting>
  <conditionalFormatting sqref="U48:U49">
    <cfRule type="expression" dxfId="102" priority="24" stopIfTrue="1">
      <formula>$A48="Meta"</formula>
    </cfRule>
    <cfRule type="expression" dxfId="101" priority="25" stopIfTrue="1">
      <formula>OR(U$9=0,$A48&lt;&gt;"Serviço")</formula>
    </cfRule>
    <cfRule type="expression" dxfId="100" priority="26" stopIfTrue="1">
      <formula>TipoOrçamento="Licitado"</formula>
    </cfRule>
  </conditionalFormatting>
  <conditionalFormatting sqref="F48:O49">
    <cfRule type="expression" dxfId="99" priority="14" stopIfTrue="1">
      <formula>$A48="Meta"</formula>
    </cfRule>
    <cfRule type="expression" dxfId="98" priority="15" stopIfTrue="1">
      <formula>OR(F$9=0,$A48&lt;&gt;"Serviço")</formula>
    </cfRule>
    <cfRule type="expression" dxfId="97" priority="16" stopIfTrue="1">
      <formula>TipoOrçamento="Licitado"</formula>
    </cfRule>
  </conditionalFormatting>
  <conditionalFormatting sqref="D66:E66">
    <cfRule type="expression" dxfId="96" priority="4" stopIfTrue="1">
      <formula>$A66="Meta"</formula>
    </cfRule>
    <cfRule type="expression" dxfId="95" priority="5" stopIfTrue="1">
      <formula>$A66&lt;&gt;"Serviço"</formula>
    </cfRule>
  </conditionalFormatting>
  <conditionalFormatting sqref="C66">
    <cfRule type="expression" dxfId="94" priority="6" stopIfTrue="1">
      <formula>$A66="Meta"</formula>
    </cfRule>
    <cfRule type="expression" dxfId="93" priority="7" stopIfTrue="1">
      <formula>$A66&lt;&gt;"Serviço"</formula>
    </cfRule>
  </conditionalFormatting>
  <conditionalFormatting sqref="A66:B66">
    <cfRule type="expression" dxfId="92" priority="8" stopIfTrue="1">
      <formula>$A66="Meta"</formula>
    </cfRule>
    <cfRule type="expression" dxfId="91" priority="9" stopIfTrue="1">
      <formula>LEFT($A66,5)="Nível"</formula>
    </cfRule>
    <cfRule type="expression" dxfId="90" priority="10" stopIfTrue="1">
      <formula>$A66=0</formula>
    </cfRule>
  </conditionalFormatting>
  <conditionalFormatting sqref="U66">
    <cfRule type="expression" dxfId="89" priority="11" stopIfTrue="1">
      <formula>$A66="Meta"</formula>
    </cfRule>
    <cfRule type="expression" dxfId="88" priority="12" stopIfTrue="1">
      <formula>OR(U$9=0,$A66&lt;&gt;"Serviço")</formula>
    </cfRule>
    <cfRule type="expression" dxfId="87" priority="13" stopIfTrue="1">
      <formula>TipoOrçamento="Licitado"</formula>
    </cfRule>
  </conditionalFormatting>
  <conditionalFormatting sqref="F66:O66">
    <cfRule type="expression" dxfId="86" priority="1" stopIfTrue="1">
      <formula>$A66="Meta"</formula>
    </cfRule>
    <cfRule type="expression" dxfId="85" priority="2" stopIfTrue="1">
      <formula>OR(F$9=0,$A66&lt;&gt;"Serviço")</formula>
    </cfRule>
    <cfRule type="expression" dxfId="84"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69 F14:O69" xr:uid="{00000000-0002-0000-04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75 B72"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tabColor rgb="FFFFFF00"/>
    <outlinePr summaryBelow="0"/>
  </sheetPr>
  <dimension ref="A1:AC64"/>
  <sheetViews>
    <sheetView showGridLines="0" topLeftCell="L4" zoomScale="130" zoomScaleNormal="130" zoomScaleSheetLayoutView="100" workbookViewId="0">
      <selection activeCell="O10" sqref="O10"/>
    </sheetView>
  </sheetViews>
  <sheetFormatPr defaultColWidth="9.140625" defaultRowHeight="12.75" x14ac:dyDescent="0.2"/>
  <cols>
    <col min="1" max="4" width="9.140625" style="42" hidden="1" customWidth="1"/>
    <col min="5" max="8" width="5.7109375" style="42" hidden="1" customWidth="1"/>
    <col min="9" max="10" width="6.7109375" style="42" hidden="1" customWidth="1"/>
    <col min="11" max="11" width="10.7109375" style="42" hidden="1" customWidth="1"/>
    <col min="12" max="12" width="10.7109375" style="42" customWidth="1"/>
    <col min="13" max="13" width="40.5703125" style="42" customWidth="1"/>
    <col min="14" max="14" width="16.42578125" style="47" customWidth="1"/>
    <col min="15" max="15" width="16.5703125" style="42" bestFit="1" customWidth="1"/>
    <col min="16" max="23" width="15.7109375" style="42" customWidth="1"/>
    <col min="24" max="24" width="0.85546875" style="46" customWidth="1"/>
    <col min="25" max="28" width="9.140625" style="42"/>
    <col min="29" max="29" width="15.7109375" style="42" hidden="1" customWidth="1"/>
    <col min="30" max="16384" width="9.140625" style="42"/>
  </cols>
  <sheetData>
    <row r="1" spans="1:29" s="41" customFormat="1" ht="12.95" customHeight="1" x14ac:dyDescent="0.2">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x14ac:dyDescent="0.2">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
      <c r="A3" s="1"/>
      <c r="B3" s="1"/>
      <c r="C3" s="1"/>
      <c r="D3" s="1"/>
      <c r="E3" s="1"/>
      <c r="F3" s="1"/>
      <c r="G3" s="1"/>
      <c r="H3" s="1"/>
      <c r="I3" s="1"/>
      <c r="J3" s="1"/>
      <c r="K3" s="1"/>
      <c r="L3" s="1"/>
      <c r="M3" s="1"/>
      <c r="N3" s="1"/>
      <c r="O3" s="1"/>
      <c r="P3" s="1"/>
      <c r="Q3" s="1"/>
      <c r="R3" s="1"/>
      <c r="S3" s="82"/>
      <c r="T3" s="1"/>
      <c r="U3" s="1"/>
      <c r="V3" s="1"/>
      <c r="W3" s="1"/>
      <c r="X3" s="1"/>
      <c r="AC3" s="1"/>
    </row>
    <row r="4" spans="1:29" s="41" customFormat="1" ht="24.95" customHeight="1" x14ac:dyDescent="0.2">
      <c r="A4" s="1"/>
      <c r="B4" s="1"/>
      <c r="C4" s="1"/>
      <c r="D4" s="1"/>
      <c r="E4" s="1"/>
      <c r="F4" s="1"/>
      <c r="G4" s="1"/>
      <c r="H4" s="1"/>
      <c r="I4" s="1"/>
      <c r="J4" s="1"/>
      <c r="K4" s="1"/>
      <c r="L4" s="1"/>
      <c r="M4" s="1"/>
      <c r="N4" s="1"/>
      <c r="O4" s="1"/>
      <c r="P4" s="1"/>
      <c r="Q4" s="1"/>
      <c r="R4" s="1"/>
      <c r="S4" s="1"/>
      <c r="T4" s="1"/>
      <c r="U4" s="1"/>
      <c r="V4" s="1"/>
      <c r="W4" s="1"/>
      <c r="X4" s="1"/>
      <c r="AC4" s="1"/>
    </row>
    <row r="5" spans="1:29" s="41" customFormat="1" ht="24.95" customHeight="1" x14ac:dyDescent="0.2">
      <c r="A5" s="1"/>
      <c r="B5" s="1"/>
      <c r="C5" s="1"/>
      <c r="D5" s="1"/>
      <c r="E5" s="1"/>
      <c r="F5" s="1"/>
      <c r="G5" s="1"/>
      <c r="H5" s="1"/>
      <c r="I5" s="1"/>
      <c r="J5" s="1"/>
      <c r="K5" s="1"/>
      <c r="L5" s="1"/>
      <c r="M5" s="1"/>
      <c r="N5" s="1"/>
      <c r="O5" s="1"/>
      <c r="P5" s="1"/>
      <c r="Q5" s="1"/>
      <c r="R5" s="1"/>
      <c r="S5" s="1"/>
      <c r="T5" s="1"/>
      <c r="U5" s="1"/>
      <c r="V5" s="1"/>
      <c r="W5" s="1"/>
      <c r="X5" s="1"/>
      <c r="AC5" s="1"/>
    </row>
    <row r="6" spans="1:29" s="41" customFormat="1" ht="24.95" customHeight="1" x14ac:dyDescent="0.2">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
      <c r="A8" s="177" t="s">
        <v>176</v>
      </c>
      <c r="B8" s="1"/>
      <c r="C8" s="1"/>
      <c r="D8" s="1"/>
      <c r="E8" s="1"/>
      <c r="F8" s="1"/>
      <c r="G8" s="1"/>
      <c r="H8" s="1"/>
      <c r="I8" s="1"/>
      <c r="J8" s="1"/>
      <c r="K8" s="1"/>
      <c r="L8" s="390" t="str">
        <f ca="1">IF(MAX($A$14:$A$55)&lt;&gt;MAX(PO!$V$12:$V$70),"ERRO: CRONOGRAMA DESATUALIZADO",IF(OR(COUNTIF($O$16:$X$16,"&gt;1")&gt;0,OFFSET($X$17,0,-1)&lt;&gt;$N$14),"ERRO: CRONOGRAMA NÃO FECHA EM 100%",""))</f>
        <v>ERRO: CRONOGRAMA NÃO FECHA EM 100%</v>
      </c>
      <c r="M8" s="390"/>
      <c r="N8" s="160" t="str">
        <f>IF(TipoOrçamento="REPROGRAMADOAC","Qtde de Medições realizadas","")</f>
        <v/>
      </c>
      <c r="O8" s="178"/>
      <c r="P8" s="179"/>
      <c r="Q8" s="1"/>
      <c r="R8" s="1"/>
      <c r="S8" s="1"/>
      <c r="T8" s="1"/>
      <c r="U8" s="1"/>
      <c r="V8" s="1"/>
      <c r="W8" s="1"/>
      <c r="X8" s="1"/>
      <c r="AC8" s="1"/>
    </row>
    <row r="9" spans="1:29" s="41" customFormat="1" ht="14.1" customHeight="1" x14ac:dyDescent="0.2">
      <c r="A9" s="166">
        <v>2</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30/09/23</v>
      </c>
      <c r="P10" s="219" t="str">
        <f ca="1">IF(AND(TipoOrçamento="REPROGRAMADOAC",$N$9&gt;0,N10="Valores Totais (R$)"),"Parcela "&amp;$N$9&amp;" Executado","Parcela "&amp;P$9&amp;CHAR(10)&amp;TEXT(DATE(YEAR(DADOS!$A$48),MONTH(DADOS!$A$48)+P$9-IF(AND(TipoOrçamento="REPROGRAMADOAC",$N$9&gt;0),$N$9,0),1),"mmm/aa"))</f>
        <v>Parcela 1
out/23</v>
      </c>
      <c r="Q10" s="210" t="str">
        <f ca="1">IF(AND(TipoOrçamento="REPROGRAMADOAC",$N$9&gt;0,O10="Valores Totais (R$)"),"Parcela "&amp;$N$9&amp;" Executado","Parcela "&amp;Q$9&amp;CHAR(10)&amp;TEXT(DATE(YEAR(DADOS!$A$48),MONTH(DADOS!$A$48)+Q$9-IF(AND(TipoOrçamento="REPROGRAMADOAC",$N$9&gt;0),$N$9,0),1),"mmm/aa"))</f>
        <v>Parcela 2
nov/23</v>
      </c>
      <c r="R10" s="210" t="str">
        <f ca="1">IF(AND(TipoOrçamento="REPROGRAMADOAC",$N$9&gt;0,P10="Valores Totais (R$)"),"Parcela "&amp;$N$9&amp;" Executado","Parcela "&amp;R$9&amp;CHAR(10)&amp;TEXT(DATE(YEAR(DADOS!$A$48),MONTH(DADOS!$A$48)+R$9-IF(AND(TipoOrçamento="REPROGRAMADOAC",$N$9&gt;0),$N$9,0),1),"mmm/aa"))</f>
        <v>Parcela 3
dez/23</v>
      </c>
      <c r="S10" s="210" t="str">
        <f ca="1">IF(AND(TipoOrçamento="REPROGRAMADOAC",$N$9&gt;0,Q10="Valores Totais (R$)"),"Parcela "&amp;$N$9&amp;" Executado","Parcela "&amp;S$9&amp;CHAR(10)&amp;TEXT(DATE(YEAR(DADOS!$A$48),MONTH(DADOS!$A$48)+S$9-IF(AND(TipoOrçamento="REPROGRAMADOAC",$N$9&gt;0),$N$9,0),1),"mmm/aa"))</f>
        <v>Parcela 4
jan/24</v>
      </c>
      <c r="T10" s="210" t="str">
        <f ca="1">IF(AND(TipoOrçamento="REPROGRAMADOAC",$N$9&gt;0,R10="Valores Totais (R$)"),"Parcela "&amp;$N$9&amp;" Executado","Parcela "&amp;T$9&amp;CHAR(10)&amp;TEXT(DATE(YEAR(DADOS!$A$48),MONTH(DADOS!$A$48)+T$9-IF(AND(TipoOrçamento="REPROGRAMADOAC",$N$9&gt;0),$N$9,0),1),"mmm/aa"))</f>
        <v>Parcela 5
fev/24</v>
      </c>
      <c r="U10" s="210" t="str">
        <f ca="1">IF(AND(TipoOrçamento="REPROGRAMADOAC",$N$9&gt;0,S10="Valores Totais (R$)"),"Parcela "&amp;$N$9&amp;" Executado","Parcela "&amp;U$9&amp;CHAR(10)&amp;TEXT(DATE(YEAR(DADOS!$A$48),MONTH(DADOS!$A$48)+U$9-IF(AND(TipoOrçamento="REPROGRAMADOAC",$N$9&gt;0),$N$9,0),1),"mmm/aa"))</f>
        <v>Parcela 6
mar/24</v>
      </c>
      <c r="V10" s="210" t="str">
        <f ca="1">IF(AND(TipoOrçamento="REPROGRAMADOAC",$N$9&gt;0,T10="Valores Totais (R$)"),"Parcela "&amp;$N$9&amp;" Executado","Parcela "&amp;V$9&amp;CHAR(10)&amp;TEXT(DATE(YEAR(DADOS!$A$48),MONTH(DADOS!$A$48)+V$9-IF(AND(TipoOrçamento="REPROGRAMADOAC",$N$9&gt;0),$N$9,0),1),"mmm/aa"))</f>
        <v>Parcela 7
abr/24</v>
      </c>
      <c r="W10" s="222" t="str">
        <f ca="1">IF(AND(TipoOrçamento="REPROGRAMADOAC",$N$9&gt;0,U10="Valores Totais (R$)"),"Parcela "&amp;$N$9&amp;" Executado","Parcela "&amp;W$9&amp;CHAR(10)&amp;TEXT(DATE(YEAR(DADOS!$A$48),MONTH(DADOS!$A$48)+W$9-IF(AND(TipoOrçamento="REPROGRAMADOAC",$N$9&gt;0),$N$9,0),1),"mmm/aa"))</f>
        <v>Parcela 8
mai/24</v>
      </c>
      <c r="X10" s="195"/>
      <c r="AC10" s="210" t="str">
        <f ca="1">IF(AND(TipoOrçamento="REPROGRAMADOAC",$N$9&gt;0,AA10="Valores Totais (R$)"),"Parcela "&amp;$N$9&amp;" Executado","Parcela "&amp;AC$9&amp;CHAR(10)&amp;TEXT(DATE(YEAR(DADOS!$A$48),MONTH(DADOS!$A$48)+AC$9-IF(AND(TipoOrçamento="REPROGRAMADOAC",$N$9&gt;0),$N$9,0),1),"mmm/aa"))</f>
        <v>Parcela 1
out/23</v>
      </c>
    </row>
    <row r="11" spans="1:29" customFormat="1" ht="14.25" hidden="1" customHeight="1" x14ac:dyDescent="0.2">
      <c r="A11" s="82"/>
      <c r="B11" s="82"/>
      <c r="C11" s="82"/>
      <c r="D11" s="82"/>
      <c r="E11" s="82"/>
      <c r="F11" s="82"/>
      <c r="G11" s="82"/>
      <c r="H11" s="82"/>
      <c r="I11" s="82"/>
      <c r="J11" s="82"/>
      <c r="K11" s="82"/>
      <c r="L11" s="378" t="e">
        <f ca="1">INDEX(PO!K$12:K$70,MATCH($A13,PO!$V$12:$V$70,0))</f>
        <v>#VALUE!</v>
      </c>
      <c r="M11" s="374" t="e">
        <f ca="1">INDEX(PO!N$12:N$70,MATCH($A13,PO!$V$12:$V$70,0))</f>
        <v>#VALUE!</v>
      </c>
      <c r="N11" s="376" t="e">
        <f ca="1">IF(ROUND(K13,2)=0,K13,ROUND(K13,2))</f>
        <v>#VALUE!</v>
      </c>
      <c r="O11" s="220"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4.25" hidden="1" x14ac:dyDescent="0.2">
      <c r="A12" s="184"/>
      <c r="B12" s="184"/>
      <c r="C12" s="184"/>
      <c r="D12" s="184"/>
      <c r="E12" s="184"/>
      <c r="F12" s="184"/>
      <c r="G12" s="184"/>
      <c r="H12" s="184"/>
      <c r="I12" s="184"/>
      <c r="J12" s="184"/>
      <c r="K12" s="184"/>
      <c r="L12" s="379"/>
      <c r="M12" s="375"/>
      <c r="N12" s="377"/>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4.25" hidden="1" x14ac:dyDescent="0.2">
      <c r="A13" s="184" t="e">
        <f ca="1">OFFSET(A13,-CFF.NumLinha,0)+1</f>
        <v>#VALUE!</v>
      </c>
      <c r="B13" s="184" t="e">
        <f ca="1">$C13&gt;=OFFSET($C13,CFF.NumLinha,0)</f>
        <v>#VALUE!</v>
      </c>
      <c r="C13" s="184" t="e">
        <f ca="1">INDEX(PO!A$12:A$70,MATCH($A13,PO!$V$12:$V$70,0))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MATCH(0,OFFSET($D13,1,$C13,ROW($A$54)-ROW($A13)),0)</f>
        <v>#VALUE!</v>
      </c>
      <c r="J13" s="184" t="e">
        <f ca="1">MATCH(OFFSET($D13,0,$C13)+1,OFFSET($D13,1,$C13,ROW($A$54)-ROW($A13)),0)</f>
        <v>#VALUE!</v>
      </c>
      <c r="K13" s="185" t="e">
        <f ca="1">ROUND(INDEX(PO!T$12:T$70,MATCH($A13,PO!$V$12:$V$70,0)),2)+10^-12</f>
        <v>#VALUE!</v>
      </c>
      <c r="L13" s="379"/>
      <c r="M13" s="375"/>
      <c r="N13" s="377"/>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
      <c r="A14" s="1"/>
      <c r="B14" s="1"/>
      <c r="C14" s="1"/>
      <c r="D14" s="1"/>
      <c r="E14" s="1"/>
      <c r="F14" s="1"/>
      <c r="G14" s="1"/>
      <c r="H14" s="1"/>
      <c r="I14" s="1"/>
      <c r="J14" s="1"/>
      <c r="K14" s="1"/>
      <c r="L14" s="381" t="s">
        <v>19</v>
      </c>
      <c r="M14" s="382"/>
      <c r="N14" s="387">
        <f ca="1">IF(PO!$T$12=0,10^-12,PO!$T$12)</f>
        <v>9.9999999999999998E-13</v>
      </c>
      <c r="O14" s="167" t="s">
        <v>143</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
      <c r="A15" s="1"/>
      <c r="B15" s="1"/>
      <c r="C15" s="1"/>
      <c r="D15" s="1"/>
      <c r="E15" s="1"/>
      <c r="F15" s="1"/>
      <c r="G15" s="1"/>
      <c r="H15" s="1"/>
      <c r="I15" s="1"/>
      <c r="J15" s="1"/>
      <c r="K15" s="1"/>
      <c r="L15" s="383"/>
      <c r="M15" s="384"/>
      <c r="N15" s="388"/>
      <c r="O15" s="156" t="s">
        <v>144</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
      <c r="A16" s="1"/>
      <c r="B16" s="1"/>
      <c r="C16" s="1"/>
      <c r="D16" s="1"/>
      <c r="E16" s="1"/>
      <c r="F16" s="1"/>
      <c r="G16" s="1"/>
      <c r="H16" s="1"/>
      <c r="I16" s="1"/>
      <c r="J16" s="1"/>
      <c r="K16" s="1"/>
      <c r="L16" s="383"/>
      <c r="M16" s="384"/>
      <c r="N16" s="388"/>
      <c r="O16" s="157" t="s">
        <v>145</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
      <c r="A17" s="114">
        <v>0</v>
      </c>
      <c r="B17" s="1"/>
      <c r="C17" s="1"/>
      <c r="D17" s="114">
        <f>ROW(D$54)-ROW(D18)</f>
        <v>36</v>
      </c>
      <c r="E17" s="1"/>
      <c r="F17" s="1"/>
      <c r="G17" s="1"/>
      <c r="H17" s="1"/>
      <c r="I17" s="1"/>
      <c r="J17" s="1"/>
      <c r="K17" s="1"/>
      <c r="L17" s="385"/>
      <c r="M17" s="386"/>
      <c r="N17" s="389"/>
      <c r="O17" s="158" t="s">
        <v>20</v>
      </c>
      <c r="P17" s="202">
        <f ca="1">SUMIF(OFFSET($C17,1,0):$C$54,1,OFFSET(P17,1,0):P$54)</f>
        <v>0</v>
      </c>
      <c r="Q17" s="152">
        <f ca="1">SUMIF(OFFSET($C17,1,0):$C$54,1,OFFSET(Q17,1,0):Q$54)</f>
        <v>0</v>
      </c>
      <c r="R17" s="152">
        <f ca="1">SUMIF(OFFSET($C17,1,0):$C$54,1,OFFSET(R17,1,0):R$54)</f>
        <v>0</v>
      </c>
      <c r="S17" s="152">
        <f ca="1">SUMIF(OFFSET($C17,1,0):$C$54,1,OFFSET(S17,1,0):S$54)</f>
        <v>0</v>
      </c>
      <c r="T17" s="152">
        <f ca="1">SUMIF(OFFSET($C17,1,0):$C$54,1,OFFSET(T17,1,0):T$54)</f>
        <v>0</v>
      </c>
      <c r="U17" s="152">
        <f ca="1">SUMIF(OFFSET($C17,1,0):$C$54,1,OFFSET(U17,1,0):U$54)</f>
        <v>0</v>
      </c>
      <c r="V17" s="152">
        <f ca="1">SUMIF(OFFSET($C17,1,0):$C$54,1,OFFSET(V17,1,0):V$54)</f>
        <v>0</v>
      </c>
      <c r="W17" s="152">
        <f ca="1">SUMIF(OFFSET($C17,1,0):$C$54,1,OFFSET(W17,1,0):W$54)</f>
        <v>0</v>
      </c>
      <c r="X17" s="171"/>
      <c r="AC17" s="152">
        <f ca="1">SUMIF(OFFSET($C17,1,0):$C$54,1,OFFSET(AC17,1,0):AC$54)</f>
        <v>0</v>
      </c>
    </row>
    <row r="18" spans="1:29" customFormat="1" ht="14.25" customHeight="1" x14ac:dyDescent="0.2">
      <c r="A18" s="1"/>
      <c r="B18" s="1"/>
      <c r="C18" s="1"/>
      <c r="D18" s="1"/>
      <c r="E18" s="1"/>
      <c r="F18" s="1"/>
      <c r="G18" s="1"/>
      <c r="H18" s="1"/>
      <c r="I18" s="1"/>
      <c r="J18" s="1"/>
      <c r="K18" s="1"/>
      <c r="L18" s="378" t="str">
        <f ca="1">INDEX(PO!K$12:K$70,MATCH($A20,PO!$V$12:$V$70,0))</f>
        <v>1.</v>
      </c>
      <c r="M18" s="374" t="str">
        <f ca="1">INDEX(PO!N$12:N$70,MATCH($A20,PO!$V$12:$V$70,0))</f>
        <v>PISTA DE SKATE</v>
      </c>
      <c r="N18" s="376">
        <f ca="1">IF(ROUND(K20,2)=0,K20,ROUND(K20,2))</f>
        <v>9.9999999999999998E-13</v>
      </c>
      <c r="O18" s="203" t="s">
        <v>143</v>
      </c>
      <c r="P18" s="225">
        <f t="shared" ref="P18:W18" ca="1" si="7">IF($B20,0,P19-IF(ISNUMBER(O19),O19,0))</f>
        <v>0</v>
      </c>
      <c r="Q18" s="226">
        <f t="shared" ca="1" si="7"/>
        <v>0</v>
      </c>
      <c r="R18" s="226">
        <f t="shared" ca="1" si="7"/>
        <v>0</v>
      </c>
      <c r="S18" s="226">
        <f t="shared" ca="1" si="7"/>
        <v>0</v>
      </c>
      <c r="T18" s="226">
        <f t="shared" ca="1" si="7"/>
        <v>0</v>
      </c>
      <c r="U18" s="226">
        <f t="shared" ca="1" si="7"/>
        <v>0</v>
      </c>
      <c r="V18" s="226">
        <f t="shared" ca="1" si="7"/>
        <v>0</v>
      </c>
      <c r="W18" s="227">
        <f t="shared" ca="1" si="7"/>
        <v>0</v>
      </c>
      <c r="X18" s="197" t="s">
        <v>106</v>
      </c>
      <c r="AC18" s="221">
        <f ca="1">IF($B20,0,AC19-IF(ISNUMBER(AB19),AB19,0))</f>
        <v>0</v>
      </c>
    </row>
    <row r="19" spans="1:29" customFormat="1" ht="14.25" x14ac:dyDescent="0.2">
      <c r="A19" s="1"/>
      <c r="B19" s="1"/>
      <c r="C19" s="1"/>
      <c r="D19" s="1"/>
      <c r="E19" s="1"/>
      <c r="F19" s="1"/>
      <c r="G19" s="1"/>
      <c r="H19" s="1"/>
      <c r="I19" s="1"/>
      <c r="J19" s="1"/>
      <c r="K19" s="1"/>
      <c r="L19" s="379"/>
      <c r="M19" s="375"/>
      <c r="N19" s="377"/>
      <c r="O19" s="170" t="s">
        <v>145</v>
      </c>
      <c r="P19" s="198">
        <f t="shared" ref="P19:W19" ca="1" si="8">MIN(IF($B20,P18+IF(ISNUMBER(O19),O19,0),P20/$N18),1)</f>
        <v>0</v>
      </c>
      <c r="Q19" s="168">
        <f t="shared" ca="1" si="8"/>
        <v>0</v>
      </c>
      <c r="R19" s="168">
        <f t="shared" ca="1" si="8"/>
        <v>0</v>
      </c>
      <c r="S19" s="168">
        <f t="shared" ca="1" si="8"/>
        <v>0</v>
      </c>
      <c r="T19" s="168">
        <f t="shared" ca="1" si="8"/>
        <v>0</v>
      </c>
      <c r="U19" s="168">
        <f t="shared" ca="1" si="8"/>
        <v>0</v>
      </c>
      <c r="V19" s="168">
        <f t="shared" ca="1" si="8"/>
        <v>0</v>
      </c>
      <c r="W19" s="168">
        <f t="shared" ca="1" si="8"/>
        <v>0</v>
      </c>
      <c r="X19" s="196"/>
      <c r="AC19" s="168">
        <f ca="1">MIN(IF($B20,AC18+IF(ISNUMBER(AB19),AB19,0),AC20/$N18),1)</f>
        <v>0</v>
      </c>
    </row>
    <row r="20" spans="1:29" customFormat="1" ht="14.25" x14ac:dyDescent="0.2">
      <c r="A20" s="114">
        <f ca="1">OFFSET(A20,-CFF.NumLinha,0)+1</f>
        <v>1</v>
      </c>
      <c r="B20" s="1" t="b">
        <f ca="1">$C20&gt;=OFFSET($C20,CFF.NumLinha,0)</f>
        <v>0</v>
      </c>
      <c r="C20" s="184">
        <f ca="1">INDEX(PO!A$12:A$70,MATCH($A20,PO!$V$12:$V$70,0))</f>
        <v>1</v>
      </c>
      <c r="D20" s="184">
        <f ca="1">IF(ISERROR(J20),I20,SMALL(I20:J20,1))-1</f>
        <v>33</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MATCH(0,OFFSET($D20,1,$C20,ROW($A$54)-ROW($A20)),0)</f>
        <v>34</v>
      </c>
      <c r="J20" s="184" t="e">
        <f ca="1">MATCH(OFFSET($D20,0,$C20)+1,OFFSET($D20,1,$C20,ROW($A$54)-ROW($A20)),0)</f>
        <v>#N/A</v>
      </c>
      <c r="K20" s="185">
        <f ca="1">ROUND(INDEX(PO!T$12:T$70,MATCH($A20,PO!$V$12:$V$70,0)),2)+10^-12</f>
        <v>9.9999999999999998E-13</v>
      </c>
      <c r="L20" s="379"/>
      <c r="M20" s="375"/>
      <c r="N20" s="377"/>
      <c r="O20" s="204" t="s">
        <v>20</v>
      </c>
      <c r="P20" s="199">
        <f t="shared" ref="P20:W20" ca="1" si="9">IF($B20,ROUND(P19*$N18,2),ROUND(SUMIF(OFFSET($B20,1,0,$D20),TRUE,OFFSET(P20,1,0,$D20))/SUMIF(OFFSET($B20,1,0,$D20),TRUE,OFFSET($K20,1,0,$D20))*$N18,2))</f>
        <v>0</v>
      </c>
      <c r="Q20" s="169">
        <f t="shared" ca="1" si="9"/>
        <v>0</v>
      </c>
      <c r="R20" s="169">
        <f t="shared" ca="1" si="9"/>
        <v>0</v>
      </c>
      <c r="S20" s="169">
        <f t="shared" ca="1" si="9"/>
        <v>0</v>
      </c>
      <c r="T20" s="169">
        <f t="shared" ca="1" si="9"/>
        <v>0</v>
      </c>
      <c r="U20" s="169">
        <f t="shared" ca="1" si="9"/>
        <v>0</v>
      </c>
      <c r="V20" s="169">
        <f t="shared" ca="1" si="9"/>
        <v>0</v>
      </c>
      <c r="W20" s="207">
        <f t="shared" ca="1" si="9"/>
        <v>0</v>
      </c>
      <c r="X20" s="196"/>
      <c r="AC20" s="169">
        <f ca="1">IF($B20,ROUND(AC19*$N18,2),ROUND(SUMIF(OFFSET($B20,1,0,$D20),TRUE,OFFSET(AC20,1,0,$D20))/SUMIF(OFFSET($B20,1,0,$D20),TRUE,OFFSET($K20,1,0,$D20))*$N18,2))</f>
        <v>0</v>
      </c>
    </row>
    <row r="21" spans="1:29" customFormat="1" ht="14.25" customHeight="1" x14ac:dyDescent="0.2">
      <c r="A21" s="82"/>
      <c r="B21" s="82"/>
      <c r="C21" s="82"/>
      <c r="D21" s="82"/>
      <c r="E21" s="82"/>
      <c r="F21" s="82"/>
      <c r="G21" s="82"/>
      <c r="H21" s="82"/>
      <c r="I21" s="82"/>
      <c r="J21" s="82"/>
      <c r="K21" s="82"/>
      <c r="L21" s="378" t="str">
        <f ca="1">INDEX(PO!K$12:K$70,MATCH($A23,PO!$V$12:$V$70,0))</f>
        <v>1.1.</v>
      </c>
      <c r="M21" s="374" t="str">
        <f ca="1">INDEX(PO!N$12:N$70,MATCH($A23,PO!$V$12:$V$70,0))</f>
        <v>SERVIÇOS INICIAIS</v>
      </c>
      <c r="N21" s="376">
        <f t="shared" ref="N21" ca="1" si="10">IF(ROUND(K23,2)=0,K23,ROUND(K23,2))</f>
        <v>9.9999999999999998E-13</v>
      </c>
      <c r="O21" s="220" t="s">
        <v>143</v>
      </c>
      <c r="P21" s="225">
        <v>1</v>
      </c>
      <c r="Q21" s="226">
        <f t="shared" ref="Q21" ca="1" si="11">IF($B23,0,Q22-IF(ISNUMBER(P22),P22,0))</f>
        <v>0</v>
      </c>
      <c r="R21" s="226">
        <f t="shared" ref="R21" ca="1" si="12">IF($B23,0,R22-IF(ISNUMBER(Q22),Q22,0))</f>
        <v>0</v>
      </c>
      <c r="S21" s="226">
        <f t="shared" ref="S21" ca="1" si="13">IF($B23,0,S22-IF(ISNUMBER(R22),R22,0))</f>
        <v>0</v>
      </c>
      <c r="T21" s="226">
        <f t="shared" ref="T21" ca="1" si="14">IF($B23,0,T22-IF(ISNUMBER(S22),S22,0))</f>
        <v>0</v>
      </c>
      <c r="U21" s="226">
        <f t="shared" ref="U21" ca="1" si="15">IF($B23,0,U22-IF(ISNUMBER(T22),T22,0))</f>
        <v>0</v>
      </c>
      <c r="V21" s="226">
        <f t="shared" ref="V21" ca="1" si="16">IF($B23,0,V22-IF(ISNUMBER(U22),U22,0))</f>
        <v>0</v>
      </c>
      <c r="W21" s="227">
        <f t="shared" ref="W21" ca="1" si="17">IF($B23,0,W22-IF(ISNUMBER(V22),V22,0))</f>
        <v>0</v>
      </c>
      <c r="X21" s="196"/>
      <c r="AC21" s="221">
        <f t="shared" ref="AC21" ca="1" si="18">IF($B23,0,AC22-IF(ISNUMBER(AB22),AB22,0))</f>
        <v>0</v>
      </c>
    </row>
    <row r="22" spans="1:29" customFormat="1" ht="14.25" x14ac:dyDescent="0.2">
      <c r="A22" s="184"/>
      <c r="B22" s="184"/>
      <c r="C22" s="184"/>
      <c r="D22" s="184"/>
      <c r="E22" s="184"/>
      <c r="F22" s="184"/>
      <c r="G22" s="184"/>
      <c r="H22" s="184"/>
      <c r="I22" s="184"/>
      <c r="J22" s="184"/>
      <c r="K22" s="184"/>
      <c r="L22" s="379"/>
      <c r="M22" s="375"/>
      <c r="N22" s="377"/>
      <c r="O22" s="170" t="s">
        <v>145</v>
      </c>
      <c r="P22" s="198">
        <f t="shared" ref="P22" ca="1" si="19">MIN(IF($B23,P21+IF(ISNUMBER(O22),O22,0),P23/$N21),1)</f>
        <v>1</v>
      </c>
      <c r="Q22" s="168">
        <f t="shared" ref="Q22" ca="1" si="20">MIN(IF($B23,Q21+IF(ISNUMBER(P22),P22,0),Q23/$N21),1)</f>
        <v>1</v>
      </c>
      <c r="R22" s="168">
        <f t="shared" ref="R22" ca="1" si="21">MIN(IF($B23,R21+IF(ISNUMBER(Q22),Q22,0),R23/$N21),1)</f>
        <v>1</v>
      </c>
      <c r="S22" s="168">
        <f t="shared" ref="S22" ca="1" si="22">MIN(IF($B23,S21+IF(ISNUMBER(R22),R22,0),S23/$N21),1)</f>
        <v>1</v>
      </c>
      <c r="T22" s="168">
        <f t="shared" ref="T22" ca="1" si="23">MIN(IF($B23,T21+IF(ISNUMBER(S22),S22,0),T23/$N21),1)</f>
        <v>1</v>
      </c>
      <c r="U22" s="168">
        <f t="shared" ref="U22" ca="1" si="24">MIN(IF($B23,U21+IF(ISNUMBER(T22),T22,0),U23/$N21),1)</f>
        <v>1</v>
      </c>
      <c r="V22" s="168">
        <f t="shared" ref="V22" ca="1" si="25">MIN(IF($B23,V21+IF(ISNUMBER(U22),U22,0),V23/$N21),1)</f>
        <v>1</v>
      </c>
      <c r="W22" s="168">
        <f t="shared" ref="W22" ca="1" si="26">MIN(IF($B23,W21+IF(ISNUMBER(V22),V22,0),W23/$N21),1)</f>
        <v>1</v>
      </c>
      <c r="X22" s="196"/>
      <c r="AC22" s="168">
        <f t="shared" ref="AC22" ca="1" si="27">MIN(IF($B23,AC21+IF(ISNUMBER(AB22),AB22,0),AC23/$N21),1)</f>
        <v>0</v>
      </c>
    </row>
    <row r="23" spans="1:29" customFormat="1" ht="14.25" x14ac:dyDescent="0.2">
      <c r="A23" s="184">
        <f ca="1">OFFSET(A23,-CFF.NumLinha,0)+1</f>
        <v>2</v>
      </c>
      <c r="B23" s="184" t="b">
        <f ca="1">$C23&gt;=OFFSET($C23,CFF.NumLinha,0)</f>
        <v>1</v>
      </c>
      <c r="C23" s="184">
        <f ca="1">INDEX(PO!A$12:A$70,MATCH($A23,PO!$V$12:$V$70,0))</f>
        <v>2</v>
      </c>
      <c r="D23" s="184">
        <f t="shared" ref="D23" ca="1" si="28">IF(ISERROR(J23),I23,SMALL(I23:J23,1))-1</f>
        <v>2</v>
      </c>
      <c r="E23" s="184">
        <f ca="1">IF($C23=1,OFFSET(E23,-CFF.NumLinha,0)+1,OFFSET(E23,-CFF.NumLinha,0))</f>
        <v>1</v>
      </c>
      <c r="F23" s="184">
        <f ca="1">IF($C23=1,0,IF($C23=2,OFFSET(F23,-CFF.NumLinha,0)+1,OFFSET(F23,-CFF.NumLinha,0)))</f>
        <v>1</v>
      </c>
      <c r="G23" s="184">
        <f ca="1">IF(AND($C23&lt;=2,$C23&lt;&gt;0),0,IF($C23=3,OFFSET(G23,-CFF.NumLinha,0)+1,OFFSET(G23,-CFF.NumLinha,0)))</f>
        <v>0</v>
      </c>
      <c r="H23" s="184">
        <f ca="1">IF(AND($C23&lt;=3,$C23&lt;&gt;0),0,IF($C23=4,OFFSET(H23,-CFF.NumLinha,0)+1,OFFSET(H23,-CFF.NumLinha,0)))</f>
        <v>0</v>
      </c>
      <c r="I23" s="184">
        <f ca="1">MATCH(0,OFFSET($D23,1,$C23,ROW($A$54)-ROW($A23)),0)</f>
        <v>31</v>
      </c>
      <c r="J23" s="184">
        <f ca="1">MATCH(OFFSET($D23,0,$C23)+1,OFFSET($D23,1,$C23,ROW($A$54)-ROW($A23)),0)</f>
        <v>3</v>
      </c>
      <c r="K23" s="185">
        <f ca="1">ROUND(INDEX(PO!T$12:T$70,MATCH($A23,PO!$V$12:$V$70,0)),2)+10^-12</f>
        <v>9.9999999999999998E-13</v>
      </c>
      <c r="L23" s="379"/>
      <c r="M23" s="375"/>
      <c r="N23" s="377"/>
      <c r="O23" s="204" t="s">
        <v>20</v>
      </c>
      <c r="P23" s="199">
        <f t="shared" ref="P23:W23" ca="1" si="29">IF($B23,ROUND(P22*$N21,2),ROUND(SUMIF(OFFSET($B23,1,0,$D23),TRUE,OFFSET(P23,1,0,$D23))/SUMIF(OFFSET($B23,1,0,$D23),TRUE,OFFSET($K23,1,0,$D23))*$N21,2))</f>
        <v>0</v>
      </c>
      <c r="Q23" s="169">
        <f t="shared" ca="1" si="29"/>
        <v>0</v>
      </c>
      <c r="R23" s="169">
        <f t="shared" ca="1" si="29"/>
        <v>0</v>
      </c>
      <c r="S23" s="169">
        <f t="shared" ca="1" si="29"/>
        <v>0</v>
      </c>
      <c r="T23" s="169">
        <f t="shared" ca="1" si="29"/>
        <v>0</v>
      </c>
      <c r="U23" s="169">
        <f t="shared" ca="1" si="29"/>
        <v>0</v>
      </c>
      <c r="V23" s="169">
        <f t="shared" ca="1" si="29"/>
        <v>0</v>
      </c>
      <c r="W23" s="207">
        <f t="shared" ca="1" si="29"/>
        <v>0</v>
      </c>
      <c r="X23" s="196"/>
      <c r="AC23" s="169">
        <f t="shared" ref="AC23" ca="1" si="30">IF($B23,ROUND(AC22*$N21,2),ROUND(SUMIF(OFFSET($B23,1,0,$D23),TRUE,OFFSET(AC23,1,0,$D23))/SUMIF(OFFSET($B23,1,0,$D23),TRUE,OFFSET($K23,1,0,$D23))*$N21,2))</f>
        <v>0</v>
      </c>
    </row>
    <row r="24" spans="1:29" customFormat="1" ht="14.25" customHeight="1" x14ac:dyDescent="0.2">
      <c r="A24" s="82"/>
      <c r="B24" s="82"/>
      <c r="C24" s="82"/>
      <c r="D24" s="82"/>
      <c r="E24" s="82"/>
      <c r="F24" s="82"/>
      <c r="G24" s="82"/>
      <c r="H24" s="82"/>
      <c r="I24" s="82"/>
      <c r="J24" s="82"/>
      <c r="K24" s="82"/>
      <c r="L24" s="378" t="str">
        <f ca="1">INDEX(PO!K$12:K$70,MATCH($A26,PO!$V$12:$V$70,0))</f>
        <v>1.2.</v>
      </c>
      <c r="M24" s="374" t="str">
        <f ca="1">INDEX(PO!N$12:N$70,MATCH($A26,PO!$V$12:$V$70,0))</f>
        <v>INFRAESTRUTURA</v>
      </c>
      <c r="N24" s="376">
        <f t="shared" ref="N24" ca="1" si="31">IF(ROUND(K26,2)=0,K26,ROUND(K26,2))</f>
        <v>9.9999999999999998E-13</v>
      </c>
      <c r="O24" s="220" t="s">
        <v>143</v>
      </c>
      <c r="P24" s="225">
        <v>0.5</v>
      </c>
      <c r="Q24" s="226">
        <v>0.5</v>
      </c>
      <c r="R24" s="226">
        <f t="shared" ref="R24" ca="1" si="32">IF($B26,0,R25-IF(ISNUMBER(Q25),Q25,0))</f>
        <v>0</v>
      </c>
      <c r="S24" s="226">
        <f t="shared" ref="S24" ca="1" si="33">IF($B26,0,S25-IF(ISNUMBER(R25),R25,0))</f>
        <v>0</v>
      </c>
      <c r="T24" s="226">
        <f t="shared" ref="T24" ca="1" si="34">IF($B26,0,T25-IF(ISNUMBER(S25),S25,0))</f>
        <v>0</v>
      </c>
      <c r="U24" s="226">
        <f t="shared" ref="U24" ca="1" si="35">IF($B26,0,U25-IF(ISNUMBER(T25),T25,0))</f>
        <v>0</v>
      </c>
      <c r="V24" s="226">
        <f t="shared" ref="V24" ca="1" si="36">IF($B26,0,V25-IF(ISNUMBER(U25),U25,0))</f>
        <v>0</v>
      </c>
      <c r="W24" s="227">
        <f t="shared" ref="W24" ca="1" si="37">IF($B26,0,W25-IF(ISNUMBER(V25),V25,0))</f>
        <v>0</v>
      </c>
      <c r="X24" s="196"/>
      <c r="AC24" s="221">
        <f t="shared" ref="AC24" ca="1" si="38">IF($B26,0,AC25-IF(ISNUMBER(AB25),AB25,0))</f>
        <v>0</v>
      </c>
    </row>
    <row r="25" spans="1:29" customFormat="1" ht="14.25" x14ac:dyDescent="0.2">
      <c r="A25" s="184"/>
      <c r="B25" s="184"/>
      <c r="C25" s="184"/>
      <c r="D25" s="184"/>
      <c r="E25" s="184"/>
      <c r="F25" s="184"/>
      <c r="G25" s="184"/>
      <c r="H25" s="184"/>
      <c r="I25" s="184"/>
      <c r="J25" s="184"/>
      <c r="K25" s="184"/>
      <c r="L25" s="379"/>
      <c r="M25" s="375"/>
      <c r="N25" s="377"/>
      <c r="O25" s="170" t="s">
        <v>145</v>
      </c>
      <c r="P25" s="198">
        <f t="shared" ref="P25" ca="1" si="39">MIN(IF($B26,P24+IF(ISNUMBER(O25),O25,0),P26/$N24),1)</f>
        <v>0.5</v>
      </c>
      <c r="Q25" s="168">
        <f t="shared" ref="Q25" ca="1" si="40">MIN(IF($B26,Q24+IF(ISNUMBER(P25),P25,0),Q26/$N24),1)</f>
        <v>1</v>
      </c>
      <c r="R25" s="168">
        <f t="shared" ref="R25" ca="1" si="41">MIN(IF($B26,R24+IF(ISNUMBER(Q25),Q25,0),R26/$N24),1)</f>
        <v>1</v>
      </c>
      <c r="S25" s="168">
        <f t="shared" ref="S25" ca="1" si="42">MIN(IF($B26,S24+IF(ISNUMBER(R25),R25,0),S26/$N24),1)</f>
        <v>1</v>
      </c>
      <c r="T25" s="168">
        <f t="shared" ref="T25" ca="1" si="43">MIN(IF($B26,T24+IF(ISNUMBER(S25),S25,0),T26/$N24),1)</f>
        <v>1</v>
      </c>
      <c r="U25" s="168">
        <f t="shared" ref="U25" ca="1" si="44">MIN(IF($B26,U24+IF(ISNUMBER(T25),T25,0),U26/$N24),1)</f>
        <v>1</v>
      </c>
      <c r="V25" s="168">
        <f t="shared" ref="V25" ca="1" si="45">MIN(IF($B26,V24+IF(ISNUMBER(U25),U25,0),V26/$N24),1)</f>
        <v>1</v>
      </c>
      <c r="W25" s="168">
        <f t="shared" ref="W25" ca="1" si="46">MIN(IF($B26,W24+IF(ISNUMBER(V25),V25,0),W26/$N24),1)</f>
        <v>1</v>
      </c>
      <c r="X25" s="196"/>
      <c r="AC25" s="168">
        <f t="shared" ref="AC25" ca="1" si="47">MIN(IF($B26,AC24+IF(ISNUMBER(AB25),AB25,0),AC26/$N24),1)</f>
        <v>0</v>
      </c>
    </row>
    <row r="26" spans="1:29" customFormat="1" ht="14.25" x14ac:dyDescent="0.2">
      <c r="A26" s="184">
        <f ca="1">OFFSET(A26,-CFF.NumLinha,0)+1</f>
        <v>3</v>
      </c>
      <c r="B26" s="184" t="b">
        <f ca="1">$C26&gt;=OFFSET($C26,CFF.NumLinha,0)</f>
        <v>1</v>
      </c>
      <c r="C26" s="184">
        <f ca="1">INDEX(PO!A$12:A$70,MATCH($A26,PO!$V$12:$V$70,0))</f>
        <v>2</v>
      </c>
      <c r="D26" s="184">
        <f t="shared" ref="D26" ca="1" si="48">IF(ISERROR(J26),I26,SMALL(I26:J26,1))-1</f>
        <v>2</v>
      </c>
      <c r="E26" s="184">
        <f ca="1">IF($C26=1,OFFSET(E26,-CFF.NumLinha,0)+1,OFFSET(E26,-CFF.NumLinha,0))</f>
        <v>1</v>
      </c>
      <c r="F26" s="184">
        <f ca="1">IF($C26=1,0,IF($C26=2,OFFSET(F26,-CFF.NumLinha,0)+1,OFFSET(F26,-CFF.NumLinha,0)))</f>
        <v>2</v>
      </c>
      <c r="G26" s="184">
        <f ca="1">IF(AND($C26&lt;=2,$C26&lt;&gt;0),0,IF($C26=3,OFFSET(G26,-CFF.NumLinha,0)+1,OFFSET(G26,-CFF.NumLinha,0)))</f>
        <v>0</v>
      </c>
      <c r="H26" s="184">
        <f ca="1">IF(AND($C26&lt;=3,$C26&lt;&gt;0),0,IF($C26=4,OFFSET(H26,-CFF.NumLinha,0)+1,OFFSET(H26,-CFF.NumLinha,0)))</f>
        <v>0</v>
      </c>
      <c r="I26" s="184">
        <f ca="1">MATCH(0,OFFSET($D26,1,$C26,ROW($A$54)-ROW($A26)),0)</f>
        <v>28</v>
      </c>
      <c r="J26" s="184">
        <f ca="1">MATCH(OFFSET($D26,0,$C26)+1,OFFSET($D26,1,$C26,ROW($A$54)-ROW($A26)),0)</f>
        <v>3</v>
      </c>
      <c r="K26" s="185">
        <f ca="1">ROUND(INDEX(PO!T$12:T$70,MATCH($A26,PO!$V$12:$V$70,0)),2)+10^-12</f>
        <v>9.9999999999999998E-13</v>
      </c>
      <c r="L26" s="379"/>
      <c r="M26" s="375"/>
      <c r="N26" s="377"/>
      <c r="O26" s="204" t="s">
        <v>20</v>
      </c>
      <c r="P26" s="199">
        <f t="shared" ref="P26:W26" ca="1" si="49">IF($B26,ROUND(P25*$N24,2),ROUND(SUMIF(OFFSET($B26,1,0,$D26),TRUE,OFFSET(P26,1,0,$D26))/SUMIF(OFFSET($B26,1,0,$D26),TRUE,OFFSET($K26,1,0,$D26))*$N24,2))</f>
        <v>0</v>
      </c>
      <c r="Q26" s="169">
        <f t="shared" ca="1" si="49"/>
        <v>0</v>
      </c>
      <c r="R26" s="169">
        <f t="shared" ca="1" si="49"/>
        <v>0</v>
      </c>
      <c r="S26" s="169">
        <f t="shared" ca="1" si="49"/>
        <v>0</v>
      </c>
      <c r="T26" s="169">
        <f t="shared" ca="1" si="49"/>
        <v>0</v>
      </c>
      <c r="U26" s="169">
        <f t="shared" ca="1" si="49"/>
        <v>0</v>
      </c>
      <c r="V26" s="169">
        <f t="shared" ca="1" si="49"/>
        <v>0</v>
      </c>
      <c r="W26" s="207">
        <f t="shared" ca="1" si="49"/>
        <v>0</v>
      </c>
      <c r="X26" s="196"/>
      <c r="AC26" s="169">
        <f t="shared" ref="AC26" ca="1" si="50">IF($B26,ROUND(AC25*$N24,2),ROUND(SUMIF(OFFSET($B26,1,0,$D26),TRUE,OFFSET(AC26,1,0,$D26))/SUMIF(OFFSET($B26,1,0,$D26),TRUE,OFFSET($K26,1,0,$D26))*$N24,2))</f>
        <v>0</v>
      </c>
    </row>
    <row r="27" spans="1:29" customFormat="1" ht="14.25" customHeight="1" x14ac:dyDescent="0.2">
      <c r="A27" s="82"/>
      <c r="B27" s="82"/>
      <c r="C27" s="82"/>
      <c r="D27" s="82"/>
      <c r="E27" s="82"/>
      <c r="F27" s="82"/>
      <c r="G27" s="82"/>
      <c r="H27" s="82"/>
      <c r="I27" s="82"/>
      <c r="J27" s="82"/>
      <c r="K27" s="82"/>
      <c r="L27" s="378" t="str">
        <f ca="1">INDEX(PO!K$12:K$70,MATCH($A29,PO!$V$12:$V$70,0))</f>
        <v>1.3.</v>
      </c>
      <c r="M27" s="374" t="str">
        <f ca="1">INDEX(PO!N$12:N$70,MATCH($A29,PO!$V$12:$V$70,0))</f>
        <v>PAREDES</v>
      </c>
      <c r="N27" s="376">
        <f t="shared" ref="N27" ca="1" si="51">IF(ROUND(K29,2)=0,K29,ROUND(K29,2))</f>
        <v>9.9999999999999998E-13</v>
      </c>
      <c r="O27" s="220" t="s">
        <v>143</v>
      </c>
      <c r="P27" s="225"/>
      <c r="Q27" s="226"/>
      <c r="R27" s="226">
        <v>1</v>
      </c>
      <c r="S27" s="226">
        <f t="shared" ref="S27" ca="1" si="52">IF($B29,0,S28-IF(ISNUMBER(R28),R28,0))</f>
        <v>0</v>
      </c>
      <c r="T27" s="226">
        <f t="shared" ref="T27" ca="1" si="53">IF($B29,0,T28-IF(ISNUMBER(S28),S28,0))</f>
        <v>0</v>
      </c>
      <c r="U27" s="226">
        <f t="shared" ref="U27" ca="1" si="54">IF($B29,0,U28-IF(ISNUMBER(T28),T28,0))</f>
        <v>0</v>
      </c>
      <c r="V27" s="226">
        <f t="shared" ref="V27" ca="1" si="55">IF($B29,0,V28-IF(ISNUMBER(U28),U28,0))</f>
        <v>0</v>
      </c>
      <c r="W27" s="227">
        <f t="shared" ref="W27" ca="1" si="56">IF($B29,0,W28-IF(ISNUMBER(V28),V28,0))</f>
        <v>0</v>
      </c>
      <c r="X27" s="196"/>
      <c r="AC27" s="221">
        <f t="shared" ref="AC27" ca="1" si="57">IF($B29,0,AC28-IF(ISNUMBER(AB28),AB28,0))</f>
        <v>0</v>
      </c>
    </row>
    <row r="28" spans="1:29" customFormat="1" ht="14.25" x14ac:dyDescent="0.2">
      <c r="A28" s="184"/>
      <c r="B28" s="184"/>
      <c r="C28" s="184"/>
      <c r="D28" s="184"/>
      <c r="E28" s="184"/>
      <c r="F28" s="184"/>
      <c r="G28" s="184"/>
      <c r="H28" s="184"/>
      <c r="I28" s="184"/>
      <c r="J28" s="184"/>
      <c r="K28" s="184"/>
      <c r="L28" s="379"/>
      <c r="M28" s="375"/>
      <c r="N28" s="377"/>
      <c r="O28" s="170" t="s">
        <v>145</v>
      </c>
      <c r="P28" s="198">
        <f t="shared" ref="P28" ca="1" si="58">MIN(IF($B29,P27+IF(ISNUMBER(O28),O28,0),P29/$N27),1)</f>
        <v>0</v>
      </c>
      <c r="Q28" s="168">
        <f t="shared" ref="Q28" ca="1" si="59">MIN(IF($B29,Q27+IF(ISNUMBER(P28),P28,0),Q29/$N27),1)</f>
        <v>0</v>
      </c>
      <c r="R28" s="168">
        <f t="shared" ref="R28" ca="1" si="60">MIN(IF($B29,R27+IF(ISNUMBER(Q28),Q28,0),R29/$N27),1)</f>
        <v>1</v>
      </c>
      <c r="S28" s="168">
        <f t="shared" ref="S28" ca="1" si="61">MIN(IF($B29,S27+IF(ISNUMBER(R28),R28,0),S29/$N27),1)</f>
        <v>1</v>
      </c>
      <c r="T28" s="168">
        <f t="shared" ref="T28" ca="1" si="62">MIN(IF($B29,T27+IF(ISNUMBER(S28),S28,0),T29/$N27),1)</f>
        <v>1</v>
      </c>
      <c r="U28" s="168">
        <f t="shared" ref="U28" ca="1" si="63">MIN(IF($B29,U27+IF(ISNUMBER(T28),T28,0),U29/$N27),1)</f>
        <v>1</v>
      </c>
      <c r="V28" s="168">
        <f t="shared" ref="V28" ca="1" si="64">MIN(IF($B29,V27+IF(ISNUMBER(U28),U28,0),V29/$N27),1)</f>
        <v>1</v>
      </c>
      <c r="W28" s="168">
        <f t="shared" ref="W28" ca="1" si="65">MIN(IF($B29,W27+IF(ISNUMBER(V28),V28,0),W29/$N27),1)</f>
        <v>1</v>
      </c>
      <c r="X28" s="196"/>
      <c r="AC28" s="168">
        <f t="shared" ref="AC28" ca="1" si="66">MIN(IF($B29,AC27+IF(ISNUMBER(AB28),AB28,0),AC29/$N27),1)</f>
        <v>0</v>
      </c>
    </row>
    <row r="29" spans="1:29" customFormat="1" ht="14.25" x14ac:dyDescent="0.2">
      <c r="A29" s="184">
        <f ca="1">OFFSET(A29,-CFF.NumLinha,0)+1</f>
        <v>4</v>
      </c>
      <c r="B29" s="184" t="b">
        <f ca="1">$C29&gt;=OFFSET($C29,CFF.NumLinha,0)</f>
        <v>1</v>
      </c>
      <c r="C29" s="184">
        <f ca="1">INDEX(PO!A$12:A$70,MATCH($A29,PO!$V$12:$V$70,0))</f>
        <v>2</v>
      </c>
      <c r="D29" s="184">
        <f t="shared" ref="D29" ca="1" si="67">IF(ISERROR(J29),I29,SMALL(I29:J29,1))-1</f>
        <v>2</v>
      </c>
      <c r="E29" s="184">
        <f ca="1">IF($C29=1,OFFSET(E29,-CFF.NumLinha,0)+1,OFFSET(E29,-CFF.NumLinha,0))</f>
        <v>1</v>
      </c>
      <c r="F29" s="184">
        <f ca="1">IF($C29=1,0,IF($C29=2,OFFSET(F29,-CFF.NumLinha,0)+1,OFFSET(F29,-CFF.NumLinha,0)))</f>
        <v>3</v>
      </c>
      <c r="G29" s="184">
        <f ca="1">IF(AND($C29&lt;=2,$C29&lt;&gt;0),0,IF($C29=3,OFFSET(G29,-CFF.NumLinha,0)+1,OFFSET(G29,-CFF.NumLinha,0)))</f>
        <v>0</v>
      </c>
      <c r="H29" s="184">
        <f ca="1">IF(AND($C29&lt;=3,$C29&lt;&gt;0),0,IF($C29=4,OFFSET(H29,-CFF.NumLinha,0)+1,OFFSET(H29,-CFF.NumLinha,0)))</f>
        <v>0</v>
      </c>
      <c r="I29" s="184">
        <f ca="1">MATCH(0,OFFSET($D29,1,$C29,ROW($A$54)-ROW($A29)),0)</f>
        <v>25</v>
      </c>
      <c r="J29" s="184">
        <f ca="1">MATCH(OFFSET($D29,0,$C29)+1,OFFSET($D29,1,$C29,ROW($A$54)-ROW($A29)),0)</f>
        <v>3</v>
      </c>
      <c r="K29" s="185">
        <f ca="1">ROUND(INDEX(PO!T$12:T$70,MATCH($A29,PO!$V$12:$V$70,0)),2)+10^-12</f>
        <v>9.9999999999999998E-13</v>
      </c>
      <c r="L29" s="379"/>
      <c r="M29" s="375"/>
      <c r="N29" s="377"/>
      <c r="O29" s="204" t="s">
        <v>20</v>
      </c>
      <c r="P29" s="199">
        <f t="shared" ref="P29:W29" ca="1" si="68">IF($B29,ROUND(P28*$N27,2),ROUND(SUMIF(OFFSET($B29,1,0,$D29),TRUE,OFFSET(P29,1,0,$D29))/SUMIF(OFFSET($B29,1,0,$D29),TRUE,OFFSET($K29,1,0,$D29))*$N27,2))</f>
        <v>0</v>
      </c>
      <c r="Q29" s="169">
        <f t="shared" ca="1" si="68"/>
        <v>0</v>
      </c>
      <c r="R29" s="169">
        <f t="shared" ca="1" si="68"/>
        <v>0</v>
      </c>
      <c r="S29" s="169">
        <f t="shared" ca="1" si="68"/>
        <v>0</v>
      </c>
      <c r="T29" s="169">
        <f t="shared" ca="1" si="68"/>
        <v>0</v>
      </c>
      <c r="U29" s="169">
        <f t="shared" ca="1" si="68"/>
        <v>0</v>
      </c>
      <c r="V29" s="169">
        <f t="shared" ca="1" si="68"/>
        <v>0</v>
      </c>
      <c r="W29" s="207">
        <f t="shared" ca="1" si="68"/>
        <v>0</v>
      </c>
      <c r="X29" s="196"/>
      <c r="AC29" s="169">
        <f t="shared" ref="AC29" ca="1" si="69">IF($B29,ROUND(AC28*$N27,2),ROUND(SUMIF(OFFSET($B29,1,0,$D29),TRUE,OFFSET(AC29,1,0,$D29))/SUMIF(OFFSET($B29,1,0,$D29),TRUE,OFFSET($K29,1,0,$D29))*$N27,2))</f>
        <v>0</v>
      </c>
    </row>
    <row r="30" spans="1:29" customFormat="1" ht="14.25" customHeight="1" x14ac:dyDescent="0.2">
      <c r="A30" s="82"/>
      <c r="B30" s="82"/>
      <c r="C30" s="82"/>
      <c r="D30" s="82"/>
      <c r="E30" s="82"/>
      <c r="F30" s="82"/>
      <c r="G30" s="82"/>
      <c r="H30" s="82"/>
      <c r="I30" s="82"/>
      <c r="J30" s="82"/>
      <c r="K30" s="82"/>
      <c r="L30" s="378" t="str">
        <f ca="1">INDEX(PO!K$12:K$70,MATCH($A32,PO!$V$12:$V$70,0))</f>
        <v>1.4.</v>
      </c>
      <c r="M30" s="374" t="str">
        <f ca="1">INDEX(PO!N$12:N$70,MATCH($A32,PO!$V$12:$V$70,0))</f>
        <v>SUPRAESTUTURA- VIGAS SUPERIORES E PILARES</v>
      </c>
      <c r="N30" s="376">
        <f t="shared" ref="N30" ca="1" si="70">IF(ROUND(K32,2)=0,K32,ROUND(K32,2))</f>
        <v>9.9999999999999998E-13</v>
      </c>
      <c r="O30" s="220" t="s">
        <v>143</v>
      </c>
      <c r="P30" s="225"/>
      <c r="Q30" s="226"/>
      <c r="R30" s="226">
        <v>0.5</v>
      </c>
      <c r="S30" s="226">
        <v>0.5</v>
      </c>
      <c r="T30" s="226">
        <f t="shared" ref="T30" ca="1" si="71">IF($B32,0,T31-IF(ISNUMBER(S31),S31,0))</f>
        <v>0</v>
      </c>
      <c r="U30" s="226">
        <f t="shared" ref="U30" ca="1" si="72">IF($B32,0,U31-IF(ISNUMBER(T31),T31,0))</f>
        <v>0</v>
      </c>
      <c r="V30" s="226">
        <f t="shared" ref="V30" ca="1" si="73">IF($B32,0,V31-IF(ISNUMBER(U31),U31,0))</f>
        <v>0</v>
      </c>
      <c r="W30" s="227">
        <f t="shared" ref="W30" ca="1" si="74">IF($B32,0,W31-IF(ISNUMBER(V31),V31,0))</f>
        <v>0</v>
      </c>
      <c r="X30" s="196"/>
      <c r="AC30" s="221">
        <f t="shared" ref="AC30" ca="1" si="75">IF($B32,0,AC31-IF(ISNUMBER(AB31),AB31,0))</f>
        <v>0</v>
      </c>
    </row>
    <row r="31" spans="1:29" customFormat="1" ht="14.25" x14ac:dyDescent="0.2">
      <c r="A31" s="184"/>
      <c r="B31" s="184"/>
      <c r="C31" s="184"/>
      <c r="D31" s="184"/>
      <c r="E31" s="184"/>
      <c r="F31" s="184"/>
      <c r="G31" s="184"/>
      <c r="H31" s="184"/>
      <c r="I31" s="184"/>
      <c r="J31" s="184"/>
      <c r="K31" s="184"/>
      <c r="L31" s="379"/>
      <c r="M31" s="375"/>
      <c r="N31" s="377"/>
      <c r="O31" s="170" t="s">
        <v>145</v>
      </c>
      <c r="P31" s="198">
        <f t="shared" ref="P31" ca="1" si="76">MIN(IF($B32,P30+IF(ISNUMBER(O31),O31,0),P32/$N30),1)</f>
        <v>0</v>
      </c>
      <c r="Q31" s="168">
        <f t="shared" ref="Q31" ca="1" si="77">MIN(IF($B32,Q30+IF(ISNUMBER(P31),P31,0),Q32/$N30),1)</f>
        <v>0</v>
      </c>
      <c r="R31" s="168">
        <f t="shared" ref="R31" ca="1" si="78">MIN(IF($B32,R30+IF(ISNUMBER(Q31),Q31,0),R32/$N30),1)</f>
        <v>0.5</v>
      </c>
      <c r="S31" s="168">
        <f t="shared" ref="S31" ca="1" si="79">MIN(IF($B32,S30+IF(ISNUMBER(R31),R31,0),S32/$N30),1)</f>
        <v>1</v>
      </c>
      <c r="T31" s="168">
        <f t="shared" ref="T31" ca="1" si="80">MIN(IF($B32,T30+IF(ISNUMBER(S31),S31,0),T32/$N30),1)</f>
        <v>1</v>
      </c>
      <c r="U31" s="168">
        <f t="shared" ref="U31" ca="1" si="81">MIN(IF($B32,U30+IF(ISNUMBER(T31),T31,0),U32/$N30),1)</f>
        <v>1</v>
      </c>
      <c r="V31" s="168">
        <f t="shared" ref="V31" ca="1" si="82">MIN(IF($B32,V30+IF(ISNUMBER(U31),U31,0),V32/$N30),1)</f>
        <v>1</v>
      </c>
      <c r="W31" s="168">
        <f t="shared" ref="W31" ca="1" si="83">MIN(IF($B32,W30+IF(ISNUMBER(V31),V31,0),W32/$N30),1)</f>
        <v>1</v>
      </c>
      <c r="X31" s="196"/>
      <c r="AC31" s="168">
        <f t="shared" ref="AC31" ca="1" si="84">MIN(IF($B32,AC30+IF(ISNUMBER(AB31),AB31,0),AC32/$N30),1)</f>
        <v>0</v>
      </c>
    </row>
    <row r="32" spans="1:29" customFormat="1" ht="14.25" x14ac:dyDescent="0.2">
      <c r="A32" s="184">
        <f ca="1">OFFSET(A32,-CFF.NumLinha,0)+1</f>
        <v>5</v>
      </c>
      <c r="B32" s="184" t="b">
        <f ca="1">$C32&gt;=OFFSET($C32,CFF.NumLinha,0)</f>
        <v>1</v>
      </c>
      <c r="C32" s="184">
        <f ca="1">INDEX(PO!A$12:A$70,MATCH($A32,PO!$V$12:$V$70,0))</f>
        <v>2</v>
      </c>
      <c r="D32" s="184">
        <f t="shared" ref="D32" ca="1" si="85">IF(ISERROR(J32),I32,SMALL(I32:J32,1))-1</f>
        <v>2</v>
      </c>
      <c r="E32" s="184">
        <f ca="1">IF($C32=1,OFFSET(E32,-CFF.NumLinha,0)+1,OFFSET(E32,-CFF.NumLinha,0))</f>
        <v>1</v>
      </c>
      <c r="F32" s="184">
        <f ca="1">IF($C32=1,0,IF($C32=2,OFFSET(F32,-CFF.NumLinha,0)+1,OFFSET(F32,-CFF.NumLinha,0)))</f>
        <v>4</v>
      </c>
      <c r="G32" s="184">
        <f ca="1">IF(AND($C32&lt;=2,$C32&lt;&gt;0),0,IF($C32=3,OFFSET(G32,-CFF.NumLinha,0)+1,OFFSET(G32,-CFF.NumLinha,0)))</f>
        <v>0</v>
      </c>
      <c r="H32" s="184">
        <f ca="1">IF(AND($C32&lt;=3,$C32&lt;&gt;0),0,IF($C32=4,OFFSET(H32,-CFF.NumLinha,0)+1,OFFSET(H32,-CFF.NumLinha,0)))</f>
        <v>0</v>
      </c>
      <c r="I32" s="184">
        <f ca="1">MATCH(0,OFFSET($D32,1,$C32,ROW($A$54)-ROW($A32)),0)</f>
        <v>22</v>
      </c>
      <c r="J32" s="184">
        <f ca="1">MATCH(OFFSET($D32,0,$C32)+1,OFFSET($D32,1,$C32,ROW($A$54)-ROW($A32)),0)</f>
        <v>3</v>
      </c>
      <c r="K32" s="185">
        <f ca="1">ROUND(INDEX(PO!T$12:T$70,MATCH($A32,PO!$V$12:$V$70,0)),2)+10^-12</f>
        <v>9.9999999999999998E-13</v>
      </c>
      <c r="L32" s="379"/>
      <c r="M32" s="375"/>
      <c r="N32" s="377"/>
      <c r="O32" s="204" t="s">
        <v>20</v>
      </c>
      <c r="P32" s="199">
        <f t="shared" ref="P32:W32" ca="1" si="86">IF($B32,ROUND(P31*$N30,2),ROUND(SUMIF(OFFSET($B32,1,0,$D32),TRUE,OFFSET(P32,1,0,$D32))/SUMIF(OFFSET($B32,1,0,$D32),TRUE,OFFSET($K32,1,0,$D32))*$N30,2))</f>
        <v>0</v>
      </c>
      <c r="Q32" s="169">
        <f t="shared" ca="1" si="86"/>
        <v>0</v>
      </c>
      <c r="R32" s="169">
        <f t="shared" ca="1" si="86"/>
        <v>0</v>
      </c>
      <c r="S32" s="169">
        <f t="shared" ca="1" si="86"/>
        <v>0</v>
      </c>
      <c r="T32" s="169">
        <f t="shared" ca="1" si="86"/>
        <v>0</v>
      </c>
      <c r="U32" s="169">
        <f t="shared" ca="1" si="86"/>
        <v>0</v>
      </c>
      <c r="V32" s="169">
        <f t="shared" ca="1" si="86"/>
        <v>0</v>
      </c>
      <c r="W32" s="207">
        <f t="shared" ca="1" si="86"/>
        <v>0</v>
      </c>
      <c r="X32" s="196"/>
      <c r="AC32" s="169">
        <f t="shared" ref="AC32" ca="1" si="87">IF($B32,ROUND(AC31*$N30,2),ROUND(SUMIF(OFFSET($B32,1,0,$D32),TRUE,OFFSET(AC32,1,0,$D32))/SUMIF(OFFSET($B32,1,0,$D32),TRUE,OFFSET($K32,1,0,$D32))*$N30,2))</f>
        <v>0</v>
      </c>
    </row>
    <row r="33" spans="1:29" customFormat="1" ht="14.25" customHeight="1" x14ac:dyDescent="0.2">
      <c r="A33" s="82"/>
      <c r="B33" s="82"/>
      <c r="C33" s="82"/>
      <c r="D33" s="82"/>
      <c r="E33" s="82"/>
      <c r="F33" s="82"/>
      <c r="G33" s="82"/>
      <c r="H33" s="82"/>
      <c r="I33" s="82"/>
      <c r="J33" s="82"/>
      <c r="K33" s="82"/>
      <c r="L33" s="378" t="str">
        <f ca="1">INDEX(PO!K$12:K$70,MATCH($A35,PO!$V$12:$V$70,0))</f>
        <v>1.5.</v>
      </c>
      <c r="M33" s="374" t="str">
        <f ca="1">INDEX(PO!N$12:N$70,MATCH($A35,PO!$V$12:$V$70,0))</f>
        <v>REVESTIMENTOS</v>
      </c>
      <c r="N33" s="376">
        <f t="shared" ref="N33" ca="1" si="88">IF(ROUND(K35,2)=0,K35,ROUND(K35,2))</f>
        <v>9.9999999999999998E-13</v>
      </c>
      <c r="O33" s="220" t="s">
        <v>143</v>
      </c>
      <c r="P33" s="225"/>
      <c r="Q33" s="226">
        <v>0.5</v>
      </c>
      <c r="R33" s="226">
        <v>0.5</v>
      </c>
      <c r="S33" s="226">
        <f t="shared" ref="S33" ca="1" si="89">IF($B35,0,S34-IF(ISNUMBER(R34),R34,0))</f>
        <v>0</v>
      </c>
      <c r="T33" s="226">
        <f t="shared" ref="T33" ca="1" si="90">IF($B35,0,T34-IF(ISNUMBER(S34),S34,0))</f>
        <v>0</v>
      </c>
      <c r="U33" s="226">
        <f t="shared" ref="U33" ca="1" si="91">IF($B35,0,U34-IF(ISNUMBER(T34),T34,0))</f>
        <v>0</v>
      </c>
      <c r="V33" s="226">
        <f t="shared" ref="V33" ca="1" si="92">IF($B35,0,V34-IF(ISNUMBER(U34),U34,0))</f>
        <v>0</v>
      </c>
      <c r="W33" s="227">
        <f t="shared" ref="W33" ca="1" si="93">IF($B35,0,W34-IF(ISNUMBER(V34),V34,0))</f>
        <v>0</v>
      </c>
      <c r="X33" s="196"/>
      <c r="AC33" s="221">
        <f t="shared" ref="AC33" ca="1" si="94">IF($B35,0,AC34-IF(ISNUMBER(AB34),AB34,0))</f>
        <v>0</v>
      </c>
    </row>
    <row r="34" spans="1:29" customFormat="1" ht="14.25" x14ac:dyDescent="0.2">
      <c r="A34" s="184"/>
      <c r="B34" s="184"/>
      <c r="C34" s="184"/>
      <c r="D34" s="184"/>
      <c r="E34" s="184"/>
      <c r="F34" s="184"/>
      <c r="G34" s="184"/>
      <c r="H34" s="184"/>
      <c r="I34" s="184"/>
      <c r="J34" s="184"/>
      <c r="K34" s="184"/>
      <c r="L34" s="379"/>
      <c r="M34" s="375"/>
      <c r="N34" s="377"/>
      <c r="O34" s="170" t="s">
        <v>145</v>
      </c>
      <c r="P34" s="198">
        <f t="shared" ref="P34" ca="1" si="95">MIN(IF($B35,P33+IF(ISNUMBER(O34),O34,0),P35/$N33),1)</f>
        <v>0</v>
      </c>
      <c r="Q34" s="168">
        <f t="shared" ref="Q34" ca="1" si="96">MIN(IF($B35,Q33+IF(ISNUMBER(P34),P34,0),Q35/$N33),1)</f>
        <v>0.5</v>
      </c>
      <c r="R34" s="168">
        <f t="shared" ref="R34" ca="1" si="97">MIN(IF($B35,R33+IF(ISNUMBER(Q34),Q34,0),R35/$N33),1)</f>
        <v>1</v>
      </c>
      <c r="S34" s="168">
        <f t="shared" ref="S34" ca="1" si="98">MIN(IF($B35,S33+IF(ISNUMBER(R34),R34,0),S35/$N33),1)</f>
        <v>1</v>
      </c>
      <c r="T34" s="168">
        <f t="shared" ref="T34" ca="1" si="99">MIN(IF($B35,T33+IF(ISNUMBER(S34),S34,0),T35/$N33),1)</f>
        <v>1</v>
      </c>
      <c r="U34" s="168">
        <f t="shared" ref="U34" ca="1" si="100">MIN(IF($B35,U33+IF(ISNUMBER(T34),T34,0),U35/$N33),1)</f>
        <v>1</v>
      </c>
      <c r="V34" s="168">
        <f t="shared" ref="V34" ca="1" si="101">MIN(IF($B35,V33+IF(ISNUMBER(U34),U34,0),V35/$N33),1)</f>
        <v>1</v>
      </c>
      <c r="W34" s="168">
        <f t="shared" ref="W34" ca="1" si="102">MIN(IF($B35,W33+IF(ISNUMBER(V34),V34,0),W35/$N33),1)</f>
        <v>1</v>
      </c>
      <c r="X34" s="196"/>
      <c r="AC34" s="168">
        <f t="shared" ref="AC34" ca="1" si="103">MIN(IF($B35,AC33+IF(ISNUMBER(AB34),AB34,0),AC35/$N33),1)</f>
        <v>0</v>
      </c>
    </row>
    <row r="35" spans="1:29" customFormat="1" ht="14.25" x14ac:dyDescent="0.2">
      <c r="A35" s="184">
        <f ca="1">OFFSET(A35,-CFF.NumLinha,0)+1</f>
        <v>6</v>
      </c>
      <c r="B35" s="184" t="b">
        <f ca="1">$C35&gt;=OFFSET($C35,CFF.NumLinha,0)</f>
        <v>1</v>
      </c>
      <c r="C35" s="184">
        <f ca="1">INDEX(PO!A$12:A$70,MATCH($A35,PO!$V$12:$V$70,0))</f>
        <v>2</v>
      </c>
      <c r="D35" s="184">
        <f t="shared" ref="D35" ca="1" si="104">IF(ISERROR(J35),I35,SMALL(I35:J35,1))-1</f>
        <v>2</v>
      </c>
      <c r="E35" s="184">
        <f ca="1">IF($C35=1,OFFSET(E35,-CFF.NumLinha,0)+1,OFFSET(E35,-CFF.NumLinha,0))</f>
        <v>1</v>
      </c>
      <c r="F35" s="184">
        <f ca="1">IF($C35=1,0,IF($C35=2,OFFSET(F35,-CFF.NumLinha,0)+1,OFFSET(F35,-CFF.NumLinha,0)))</f>
        <v>5</v>
      </c>
      <c r="G35" s="184">
        <f ca="1">IF(AND($C35&lt;=2,$C35&lt;&gt;0),0,IF($C35=3,OFFSET(G35,-CFF.NumLinha,0)+1,OFFSET(G35,-CFF.NumLinha,0)))</f>
        <v>0</v>
      </c>
      <c r="H35" s="184">
        <f ca="1">IF(AND($C35&lt;=3,$C35&lt;&gt;0),0,IF($C35=4,OFFSET(H35,-CFF.NumLinha,0)+1,OFFSET(H35,-CFF.NumLinha,0)))</f>
        <v>0</v>
      </c>
      <c r="I35" s="184">
        <f ca="1">MATCH(0,OFFSET($D35,1,$C35,ROW($A$54)-ROW($A35)),0)</f>
        <v>19</v>
      </c>
      <c r="J35" s="184">
        <f ca="1">MATCH(OFFSET($D35,0,$C35)+1,OFFSET($D35,1,$C35,ROW($A$54)-ROW($A35)),0)</f>
        <v>3</v>
      </c>
      <c r="K35" s="185">
        <f ca="1">ROUND(INDEX(PO!T$12:T$70,MATCH($A35,PO!$V$12:$V$70,0)),2)+10^-12</f>
        <v>9.9999999999999998E-13</v>
      </c>
      <c r="L35" s="379"/>
      <c r="M35" s="375"/>
      <c r="N35" s="377"/>
      <c r="O35" s="204" t="s">
        <v>20</v>
      </c>
      <c r="P35" s="199">
        <f t="shared" ref="P35:W35" ca="1" si="105">IF($B35,ROUND(P34*$N33,2),ROUND(SUMIF(OFFSET($B35,1,0,$D35),TRUE,OFFSET(P35,1,0,$D35))/SUMIF(OFFSET($B35,1,0,$D35),TRUE,OFFSET($K35,1,0,$D35))*$N33,2))</f>
        <v>0</v>
      </c>
      <c r="Q35" s="169">
        <f t="shared" ca="1" si="105"/>
        <v>0</v>
      </c>
      <c r="R35" s="169">
        <f t="shared" ca="1" si="105"/>
        <v>0</v>
      </c>
      <c r="S35" s="169">
        <f t="shared" ca="1" si="105"/>
        <v>0</v>
      </c>
      <c r="T35" s="169">
        <f t="shared" ca="1" si="105"/>
        <v>0</v>
      </c>
      <c r="U35" s="169">
        <f t="shared" ca="1" si="105"/>
        <v>0</v>
      </c>
      <c r="V35" s="169">
        <f t="shared" ca="1" si="105"/>
        <v>0</v>
      </c>
      <c r="W35" s="207">
        <f t="shared" ca="1" si="105"/>
        <v>0</v>
      </c>
      <c r="X35" s="196"/>
      <c r="AC35" s="169">
        <f t="shared" ref="AC35" ca="1" si="106">IF($B35,ROUND(AC34*$N33,2),ROUND(SUMIF(OFFSET($B35,1,0,$D35),TRUE,OFFSET(AC35,1,0,$D35))/SUMIF(OFFSET($B35,1,0,$D35),TRUE,OFFSET($K35,1,0,$D35))*$N33,2))</f>
        <v>0</v>
      </c>
    </row>
    <row r="36" spans="1:29" customFormat="1" ht="14.25" customHeight="1" x14ac:dyDescent="0.2">
      <c r="A36" s="82"/>
      <c r="B36" s="82"/>
      <c r="C36" s="82"/>
      <c r="D36" s="82"/>
      <c r="E36" s="82"/>
      <c r="F36" s="82"/>
      <c r="G36" s="82"/>
      <c r="H36" s="82"/>
      <c r="I36" s="82"/>
      <c r="J36" s="82"/>
      <c r="K36" s="82"/>
      <c r="L36" s="378" t="str">
        <f ca="1">INDEX(PO!K$12:K$70,MATCH($A38,PO!$V$12:$V$70,0))</f>
        <v>1.6.</v>
      </c>
      <c r="M36" s="374" t="str">
        <f ca="1">INDEX(PO!N$12:N$70,MATCH($A38,PO!$V$12:$V$70,0))</f>
        <v>IMPERMEABILIZAÇÃO DA ALVENARIA</v>
      </c>
      <c r="N36" s="376">
        <f t="shared" ref="N36" ca="1" si="107">IF(ROUND(K38,2)=0,K38,ROUND(K38,2))</f>
        <v>9.9999999999999998E-13</v>
      </c>
      <c r="O36" s="220" t="s">
        <v>143</v>
      </c>
      <c r="P36" s="225">
        <f t="shared" ref="P36" ca="1" si="108">IF($B38,0,P37-IF(ISNUMBER(O37),O37,0))</f>
        <v>0</v>
      </c>
      <c r="Q36" s="226"/>
      <c r="R36" s="226"/>
      <c r="S36" s="226">
        <v>1</v>
      </c>
      <c r="T36" s="226"/>
      <c r="U36" s="226">
        <f t="shared" ref="U36" ca="1" si="109">IF($B38,0,U37-IF(ISNUMBER(T37),T37,0))</f>
        <v>0</v>
      </c>
      <c r="V36" s="226">
        <f t="shared" ref="V36" ca="1" si="110">IF($B38,0,V37-IF(ISNUMBER(U37),U37,0))</f>
        <v>0</v>
      </c>
      <c r="W36" s="227">
        <f t="shared" ref="W36" ca="1" si="111">IF($B38,0,W37-IF(ISNUMBER(V37),V37,0))</f>
        <v>0</v>
      </c>
      <c r="X36" s="196"/>
      <c r="AC36" s="221">
        <f t="shared" ref="AC36" ca="1" si="112">IF($B38,0,AC37-IF(ISNUMBER(AB37),AB37,0))</f>
        <v>0</v>
      </c>
    </row>
    <row r="37" spans="1:29" customFormat="1" ht="14.25" x14ac:dyDescent="0.2">
      <c r="A37" s="184"/>
      <c r="B37" s="184"/>
      <c r="C37" s="184"/>
      <c r="D37" s="184"/>
      <c r="E37" s="184"/>
      <c r="F37" s="184"/>
      <c r="G37" s="184"/>
      <c r="H37" s="184"/>
      <c r="I37" s="184"/>
      <c r="J37" s="184"/>
      <c r="K37" s="184"/>
      <c r="L37" s="379"/>
      <c r="M37" s="375"/>
      <c r="N37" s="377"/>
      <c r="O37" s="170" t="s">
        <v>145</v>
      </c>
      <c r="P37" s="198">
        <f t="shared" ref="P37" ca="1" si="113">MIN(IF($B38,P36+IF(ISNUMBER(O37),O37,0),P38/$N36),1)</f>
        <v>0</v>
      </c>
      <c r="Q37" s="168">
        <f t="shared" ref="Q37" ca="1" si="114">MIN(IF($B38,Q36+IF(ISNUMBER(P37),P37,0),Q38/$N36),1)</f>
        <v>0</v>
      </c>
      <c r="R37" s="168">
        <f t="shared" ref="R37" ca="1" si="115">MIN(IF($B38,R36+IF(ISNUMBER(Q37),Q37,0),R38/$N36),1)</f>
        <v>0</v>
      </c>
      <c r="S37" s="168">
        <f t="shared" ref="S37" ca="1" si="116">MIN(IF($B38,S36+IF(ISNUMBER(R37),R37,0),S38/$N36),1)</f>
        <v>1</v>
      </c>
      <c r="T37" s="168">
        <f t="shared" ref="T37" ca="1" si="117">MIN(IF($B38,T36+IF(ISNUMBER(S37),S37,0),T38/$N36),1)</f>
        <v>1</v>
      </c>
      <c r="U37" s="168">
        <f t="shared" ref="U37" ca="1" si="118">MIN(IF($B38,U36+IF(ISNUMBER(T37),T37,0),U38/$N36),1)</f>
        <v>1</v>
      </c>
      <c r="V37" s="168">
        <f t="shared" ref="V37" ca="1" si="119">MIN(IF($B38,V36+IF(ISNUMBER(U37),U37,0),V38/$N36),1)</f>
        <v>1</v>
      </c>
      <c r="W37" s="168">
        <f t="shared" ref="W37" ca="1" si="120">MIN(IF($B38,W36+IF(ISNUMBER(V37),V37,0),W38/$N36),1)</f>
        <v>1</v>
      </c>
      <c r="X37" s="196"/>
      <c r="AC37" s="168">
        <f t="shared" ref="AC37" ca="1" si="121">MIN(IF($B38,AC36+IF(ISNUMBER(AB37),AB37,0),AC38/$N36),1)</f>
        <v>0</v>
      </c>
    </row>
    <row r="38" spans="1:29" customFormat="1" ht="14.25" x14ac:dyDescent="0.2">
      <c r="A38" s="184">
        <f ca="1">OFFSET(A38,-CFF.NumLinha,0)+1</f>
        <v>7</v>
      </c>
      <c r="B38" s="184" t="b">
        <f ca="1">$C38&gt;=OFFSET($C38,CFF.NumLinha,0)</f>
        <v>1</v>
      </c>
      <c r="C38" s="184">
        <f ca="1">INDEX(PO!A$12:A$70,MATCH($A38,PO!$V$12:$V$70,0))</f>
        <v>2</v>
      </c>
      <c r="D38" s="184">
        <f t="shared" ref="D38" ca="1" si="122">IF(ISERROR(J38),I38,SMALL(I38:J38,1))-1</f>
        <v>2</v>
      </c>
      <c r="E38" s="184">
        <f ca="1">IF($C38=1,OFFSET(E38,-CFF.NumLinha,0)+1,OFFSET(E38,-CFF.NumLinha,0))</f>
        <v>1</v>
      </c>
      <c r="F38" s="184">
        <f ca="1">IF($C38=1,0,IF($C38=2,OFFSET(F38,-CFF.NumLinha,0)+1,OFFSET(F38,-CFF.NumLinha,0)))</f>
        <v>6</v>
      </c>
      <c r="G38" s="184">
        <f ca="1">IF(AND($C38&lt;=2,$C38&lt;&gt;0),0,IF($C38=3,OFFSET(G38,-CFF.NumLinha,0)+1,OFFSET(G38,-CFF.NumLinha,0)))</f>
        <v>0</v>
      </c>
      <c r="H38" s="184">
        <f ca="1">IF(AND($C38&lt;=3,$C38&lt;&gt;0),0,IF($C38=4,OFFSET(H38,-CFF.NumLinha,0)+1,OFFSET(H38,-CFF.NumLinha,0)))</f>
        <v>0</v>
      </c>
      <c r="I38" s="184">
        <f ca="1">MATCH(0,OFFSET($D38,1,$C38,ROW($A$54)-ROW($A38)),0)</f>
        <v>16</v>
      </c>
      <c r="J38" s="184">
        <f ca="1">MATCH(OFFSET($D38,0,$C38)+1,OFFSET($D38,1,$C38,ROW($A$54)-ROW($A38)),0)</f>
        <v>3</v>
      </c>
      <c r="K38" s="185">
        <f ca="1">ROUND(INDEX(PO!T$12:T$70,MATCH($A38,PO!$V$12:$V$70,0)),2)+10^-12</f>
        <v>9.9999999999999998E-13</v>
      </c>
      <c r="L38" s="379"/>
      <c r="M38" s="375"/>
      <c r="N38" s="377"/>
      <c r="O38" s="204" t="s">
        <v>20</v>
      </c>
      <c r="P38" s="199">
        <f t="shared" ref="P38:W38" ca="1" si="123">IF($B38,ROUND(P37*$N36,2),ROUND(SUMIF(OFFSET($B38,1,0,$D38),TRUE,OFFSET(P38,1,0,$D38))/SUMIF(OFFSET($B38,1,0,$D38),TRUE,OFFSET($K38,1,0,$D38))*$N36,2))</f>
        <v>0</v>
      </c>
      <c r="Q38" s="169">
        <f t="shared" ca="1" si="123"/>
        <v>0</v>
      </c>
      <c r="R38" s="169">
        <f t="shared" ca="1" si="123"/>
        <v>0</v>
      </c>
      <c r="S38" s="169">
        <f t="shared" ca="1" si="123"/>
        <v>0</v>
      </c>
      <c r="T38" s="169">
        <f t="shared" ca="1" si="123"/>
        <v>0</v>
      </c>
      <c r="U38" s="169">
        <f t="shared" ca="1" si="123"/>
        <v>0</v>
      </c>
      <c r="V38" s="169">
        <f t="shared" ca="1" si="123"/>
        <v>0</v>
      </c>
      <c r="W38" s="207">
        <f t="shared" ca="1" si="123"/>
        <v>0</v>
      </c>
      <c r="X38" s="196"/>
      <c r="AC38" s="169">
        <f t="shared" ref="AC38" ca="1" si="124">IF($B38,ROUND(AC37*$N36,2),ROUND(SUMIF(OFFSET($B38,1,0,$D38),TRUE,OFFSET(AC38,1,0,$D38))/SUMIF(OFFSET($B38,1,0,$D38),TRUE,OFFSET($K38,1,0,$D38))*$N36,2))</f>
        <v>0</v>
      </c>
    </row>
    <row r="39" spans="1:29" customFormat="1" ht="14.25" customHeight="1" x14ac:dyDescent="0.2">
      <c r="A39" s="82"/>
      <c r="B39" s="82"/>
      <c r="C39" s="82"/>
      <c r="D39" s="82"/>
      <c r="E39" s="82"/>
      <c r="F39" s="82"/>
      <c r="G39" s="82"/>
      <c r="H39" s="82"/>
      <c r="I39" s="82"/>
      <c r="J39" s="82"/>
      <c r="K39" s="82"/>
      <c r="L39" s="378" t="str">
        <f ca="1">INDEX(PO!K$12:K$70,MATCH($A41,PO!$V$12:$V$70,0))</f>
        <v>1.7.</v>
      </c>
      <c r="M39" s="374" t="str">
        <f ca="1">INDEX(PO!N$12:N$70,MATCH($A41,PO!$V$12:$V$70,0))</f>
        <v>PISO DA PISTA DE SKATE</v>
      </c>
      <c r="N39" s="376">
        <f t="shared" ref="N39" ca="1" si="125">IF(ROUND(K41,2)=0,K41,ROUND(K41,2))</f>
        <v>9.9999999999999998E-13</v>
      </c>
      <c r="O39" s="220" t="s">
        <v>143</v>
      </c>
      <c r="P39" s="225">
        <f t="shared" ref="P39" ca="1" si="126">IF($B41,0,P40-IF(ISNUMBER(O40),O40,0))</f>
        <v>0</v>
      </c>
      <c r="Q39" s="226"/>
      <c r="R39" s="226"/>
      <c r="S39" s="226"/>
      <c r="T39" s="226">
        <v>0.5</v>
      </c>
      <c r="U39" s="226">
        <v>0.5</v>
      </c>
      <c r="V39" s="226">
        <f t="shared" ref="V39" ca="1" si="127">IF($B41,0,V40-IF(ISNUMBER(U40),U40,0))</f>
        <v>0</v>
      </c>
      <c r="W39" s="227">
        <f t="shared" ref="W39" ca="1" si="128">IF($B41,0,W40-IF(ISNUMBER(V40),V40,0))</f>
        <v>0</v>
      </c>
      <c r="X39" s="196"/>
      <c r="AC39" s="221">
        <f t="shared" ref="AC39" ca="1" si="129">IF($B41,0,AC40-IF(ISNUMBER(AB40),AB40,0))</f>
        <v>0</v>
      </c>
    </row>
    <row r="40" spans="1:29" customFormat="1" ht="14.25" x14ac:dyDescent="0.2">
      <c r="A40" s="184"/>
      <c r="B40" s="184"/>
      <c r="C40" s="184"/>
      <c r="D40" s="184"/>
      <c r="E40" s="184"/>
      <c r="F40" s="184"/>
      <c r="G40" s="184"/>
      <c r="H40" s="184"/>
      <c r="I40" s="184"/>
      <c r="J40" s="184"/>
      <c r="K40" s="184"/>
      <c r="L40" s="379"/>
      <c r="M40" s="375"/>
      <c r="N40" s="377"/>
      <c r="O40" s="170" t="s">
        <v>145</v>
      </c>
      <c r="P40" s="198">
        <f t="shared" ref="P40" ca="1" si="130">MIN(IF($B41,P39+IF(ISNUMBER(O40),O40,0),P41/$N39),1)</f>
        <v>0</v>
      </c>
      <c r="Q40" s="168">
        <f t="shared" ref="Q40" ca="1" si="131">MIN(IF($B41,Q39+IF(ISNUMBER(P40),P40,0),Q41/$N39),1)</f>
        <v>0</v>
      </c>
      <c r="R40" s="168">
        <f t="shared" ref="R40" ca="1" si="132">MIN(IF($B41,R39+IF(ISNUMBER(Q40),Q40,0),R41/$N39),1)</f>
        <v>0</v>
      </c>
      <c r="S40" s="168">
        <f t="shared" ref="S40" ca="1" si="133">MIN(IF($B41,S39+IF(ISNUMBER(R40),R40,0),S41/$N39),1)</f>
        <v>0</v>
      </c>
      <c r="T40" s="168">
        <f t="shared" ref="T40" ca="1" si="134">MIN(IF($B41,T39+IF(ISNUMBER(S40),S40,0),T41/$N39),1)</f>
        <v>0.5</v>
      </c>
      <c r="U40" s="168">
        <f t="shared" ref="U40" ca="1" si="135">MIN(IF($B41,U39+IF(ISNUMBER(T40),T40,0),U41/$N39),1)</f>
        <v>1</v>
      </c>
      <c r="V40" s="168">
        <f t="shared" ref="V40" ca="1" si="136">MIN(IF($B41,V39+IF(ISNUMBER(U40),U40,0),V41/$N39),1)</f>
        <v>1</v>
      </c>
      <c r="W40" s="168">
        <f t="shared" ref="W40" ca="1" si="137">MIN(IF($B41,W39+IF(ISNUMBER(V40),V40,0),W41/$N39),1)</f>
        <v>1</v>
      </c>
      <c r="X40" s="196"/>
      <c r="AC40" s="168">
        <f t="shared" ref="AC40" ca="1" si="138">MIN(IF($B41,AC39+IF(ISNUMBER(AB40),AB40,0),AC41/$N39),1)</f>
        <v>0</v>
      </c>
    </row>
    <row r="41" spans="1:29" customFormat="1" ht="14.25" x14ac:dyDescent="0.2">
      <c r="A41" s="184">
        <f ca="1">OFFSET(A41,-CFF.NumLinha,0)+1</f>
        <v>8</v>
      </c>
      <c r="B41" s="184" t="b">
        <f ca="1">$C41&gt;=OFFSET($C41,CFF.NumLinha,0)</f>
        <v>1</v>
      </c>
      <c r="C41" s="184">
        <f ca="1">INDEX(PO!A$12:A$70,MATCH($A41,PO!$V$12:$V$70,0))</f>
        <v>2</v>
      </c>
      <c r="D41" s="184">
        <f t="shared" ref="D41" ca="1" si="139">IF(ISERROR(J41),I41,SMALL(I41:J41,1))-1</f>
        <v>2</v>
      </c>
      <c r="E41" s="184">
        <f ca="1">IF($C41=1,OFFSET(E41,-CFF.NumLinha,0)+1,OFFSET(E41,-CFF.NumLinha,0))</f>
        <v>1</v>
      </c>
      <c r="F41" s="184">
        <f ca="1">IF($C41=1,0,IF($C41=2,OFFSET(F41,-CFF.NumLinha,0)+1,OFFSET(F41,-CFF.NumLinha,0)))</f>
        <v>7</v>
      </c>
      <c r="G41" s="184">
        <f ca="1">IF(AND($C41&lt;=2,$C41&lt;&gt;0),0,IF($C41=3,OFFSET(G41,-CFF.NumLinha,0)+1,OFFSET(G41,-CFF.NumLinha,0)))</f>
        <v>0</v>
      </c>
      <c r="H41" s="184">
        <f ca="1">IF(AND($C41&lt;=3,$C41&lt;&gt;0),0,IF($C41=4,OFFSET(H41,-CFF.NumLinha,0)+1,OFFSET(H41,-CFF.NumLinha,0)))</f>
        <v>0</v>
      </c>
      <c r="I41" s="184">
        <f ca="1">MATCH(0,OFFSET($D41,1,$C41,ROW($A$54)-ROW($A41)),0)</f>
        <v>13</v>
      </c>
      <c r="J41" s="184">
        <f ca="1">MATCH(OFFSET($D41,0,$C41)+1,OFFSET($D41,1,$C41,ROW($A$54)-ROW($A41)),0)</f>
        <v>3</v>
      </c>
      <c r="K41" s="185">
        <f ca="1">ROUND(INDEX(PO!T$12:T$70,MATCH($A41,PO!$V$12:$V$70,0)),2)+10^-12</f>
        <v>9.9999999999999998E-13</v>
      </c>
      <c r="L41" s="379"/>
      <c r="M41" s="375"/>
      <c r="N41" s="377"/>
      <c r="O41" s="204" t="s">
        <v>20</v>
      </c>
      <c r="P41" s="199">
        <f t="shared" ref="P41:W41" ca="1" si="140">IF($B41,ROUND(P40*$N39,2),ROUND(SUMIF(OFFSET($B41,1,0,$D41),TRUE,OFFSET(P41,1,0,$D41))/SUMIF(OFFSET($B41,1,0,$D41),TRUE,OFFSET($K41,1,0,$D41))*$N39,2))</f>
        <v>0</v>
      </c>
      <c r="Q41" s="169">
        <f t="shared" ca="1" si="140"/>
        <v>0</v>
      </c>
      <c r="R41" s="169">
        <f t="shared" ca="1" si="140"/>
        <v>0</v>
      </c>
      <c r="S41" s="169">
        <f t="shared" ca="1" si="140"/>
        <v>0</v>
      </c>
      <c r="T41" s="169">
        <f t="shared" ca="1" si="140"/>
        <v>0</v>
      </c>
      <c r="U41" s="169">
        <f t="shared" ca="1" si="140"/>
        <v>0</v>
      </c>
      <c r="V41" s="169">
        <f t="shared" ca="1" si="140"/>
        <v>0</v>
      </c>
      <c r="W41" s="207">
        <f t="shared" ca="1" si="140"/>
        <v>0</v>
      </c>
      <c r="X41" s="196"/>
      <c r="AC41" s="169">
        <f t="shared" ref="AC41" ca="1" si="141">IF($B41,ROUND(AC40*$N39,2),ROUND(SUMIF(OFFSET($B41,1,0,$D41),TRUE,OFFSET(AC41,1,0,$D41))/SUMIF(OFFSET($B41,1,0,$D41),TRUE,OFFSET($K41,1,0,$D41))*$N39,2))</f>
        <v>0</v>
      </c>
    </row>
    <row r="42" spans="1:29" customFormat="1" ht="14.25" customHeight="1" x14ac:dyDescent="0.2">
      <c r="A42" s="82"/>
      <c r="B42" s="82"/>
      <c r="C42" s="82"/>
      <c r="D42" s="82"/>
      <c r="E42" s="82"/>
      <c r="F42" s="82"/>
      <c r="G42" s="82"/>
      <c r="H42" s="82"/>
      <c r="I42" s="82"/>
      <c r="J42" s="82"/>
      <c r="K42" s="82"/>
      <c r="L42" s="378" t="str">
        <f ca="1">INDEX(PO!K$12:K$70,MATCH($A44,PO!$V$12:$V$70,0))</f>
        <v>1.8.</v>
      </c>
      <c r="M42" s="374" t="str">
        <f ca="1">INDEX(PO!N$12:N$70,MATCH($A44,PO!$V$12:$V$70,0))</f>
        <v>CALÇADA DE CONTORNO</v>
      </c>
      <c r="N42" s="376">
        <f t="shared" ref="N42" ca="1" si="142">IF(ROUND(K44,2)=0,K44,ROUND(K44,2))</f>
        <v>9.9999999999999998E-13</v>
      </c>
      <c r="O42" s="220" t="s">
        <v>143</v>
      </c>
      <c r="P42" s="225"/>
      <c r="Q42" s="226"/>
      <c r="R42" s="226"/>
      <c r="S42" s="226">
        <v>0.5</v>
      </c>
      <c r="T42" s="226">
        <v>0.5</v>
      </c>
      <c r="U42" s="226"/>
      <c r="V42" s="226">
        <f t="shared" ref="V42" ca="1" si="143">IF($B44,0,V43-IF(ISNUMBER(U43),U43,0))</f>
        <v>0</v>
      </c>
      <c r="W42" s="227">
        <f t="shared" ref="W42" ca="1" si="144">IF($B44,0,W43-IF(ISNUMBER(V43),V43,0))</f>
        <v>0</v>
      </c>
      <c r="X42" s="196"/>
      <c r="AC42" s="221">
        <f t="shared" ref="AC42" ca="1" si="145">IF($B44,0,AC43-IF(ISNUMBER(AB43),AB43,0))</f>
        <v>0</v>
      </c>
    </row>
    <row r="43" spans="1:29" customFormat="1" ht="14.25" x14ac:dyDescent="0.2">
      <c r="A43" s="184"/>
      <c r="B43" s="184"/>
      <c r="C43" s="184"/>
      <c r="D43" s="184"/>
      <c r="E43" s="184"/>
      <c r="F43" s="184"/>
      <c r="G43" s="184"/>
      <c r="H43" s="184"/>
      <c r="I43" s="184"/>
      <c r="J43" s="184"/>
      <c r="K43" s="184"/>
      <c r="L43" s="379"/>
      <c r="M43" s="375"/>
      <c r="N43" s="377"/>
      <c r="O43" s="170" t="s">
        <v>145</v>
      </c>
      <c r="P43" s="198">
        <f t="shared" ref="P43" ca="1" si="146">MIN(IF($B44,P42+IF(ISNUMBER(O43),O43,0),P44/$N42),1)</f>
        <v>0</v>
      </c>
      <c r="Q43" s="168">
        <f t="shared" ref="Q43" ca="1" si="147">MIN(IF($B44,Q42+IF(ISNUMBER(P43),P43,0),Q44/$N42),1)</f>
        <v>0</v>
      </c>
      <c r="R43" s="168">
        <f t="shared" ref="R43" ca="1" si="148">MIN(IF($B44,R42+IF(ISNUMBER(Q43),Q43,0),R44/$N42),1)</f>
        <v>0</v>
      </c>
      <c r="S43" s="168">
        <f t="shared" ref="S43" ca="1" si="149">MIN(IF($B44,S42+IF(ISNUMBER(R43),R43,0),S44/$N42),1)</f>
        <v>0.5</v>
      </c>
      <c r="T43" s="168">
        <f t="shared" ref="T43" ca="1" si="150">MIN(IF($B44,T42+IF(ISNUMBER(S43),S43,0),T44/$N42),1)</f>
        <v>1</v>
      </c>
      <c r="U43" s="168">
        <f t="shared" ref="U43" ca="1" si="151">MIN(IF($B44,U42+IF(ISNUMBER(T43),T43,0),U44/$N42),1)</f>
        <v>1</v>
      </c>
      <c r="V43" s="168">
        <f t="shared" ref="V43" ca="1" si="152">MIN(IF($B44,V42+IF(ISNUMBER(U43),U43,0),V44/$N42),1)</f>
        <v>1</v>
      </c>
      <c r="W43" s="168">
        <f t="shared" ref="W43" ca="1" si="153">MIN(IF($B44,W42+IF(ISNUMBER(V43),V43,0),W44/$N42),1)</f>
        <v>1</v>
      </c>
      <c r="X43" s="196"/>
      <c r="AC43" s="168">
        <f t="shared" ref="AC43" ca="1" si="154">MIN(IF($B44,AC42+IF(ISNUMBER(AB43),AB43,0),AC44/$N42),1)</f>
        <v>0</v>
      </c>
    </row>
    <row r="44" spans="1:29" customFormat="1" ht="14.25" x14ac:dyDescent="0.2">
      <c r="A44" s="184">
        <f ca="1">OFFSET(A44,-CFF.NumLinha,0)+1</f>
        <v>9</v>
      </c>
      <c r="B44" s="184" t="b">
        <f ca="1">$C44&gt;=OFFSET($C44,CFF.NumLinha,0)</f>
        <v>1</v>
      </c>
      <c r="C44" s="184">
        <f ca="1">INDEX(PO!A$12:A$70,MATCH($A44,PO!$V$12:$V$70,0))</f>
        <v>2</v>
      </c>
      <c r="D44" s="184">
        <f t="shared" ref="D44" ca="1" si="155">IF(ISERROR(J44),I44,SMALL(I44:J44,1))-1</f>
        <v>2</v>
      </c>
      <c r="E44" s="184">
        <f ca="1">IF($C44=1,OFFSET(E44,-CFF.NumLinha,0)+1,OFFSET(E44,-CFF.NumLinha,0))</f>
        <v>1</v>
      </c>
      <c r="F44" s="184">
        <f ca="1">IF($C44=1,0,IF($C44=2,OFFSET(F44,-CFF.NumLinha,0)+1,OFFSET(F44,-CFF.NumLinha,0)))</f>
        <v>8</v>
      </c>
      <c r="G44" s="184">
        <f ca="1">IF(AND($C44&lt;=2,$C44&lt;&gt;0),0,IF($C44=3,OFFSET(G44,-CFF.NumLinha,0)+1,OFFSET(G44,-CFF.NumLinha,0)))</f>
        <v>0</v>
      </c>
      <c r="H44" s="184">
        <f ca="1">IF(AND($C44&lt;=3,$C44&lt;&gt;0),0,IF($C44=4,OFFSET(H44,-CFF.NumLinha,0)+1,OFFSET(H44,-CFF.NumLinha,0)))</f>
        <v>0</v>
      </c>
      <c r="I44" s="184">
        <f ca="1">MATCH(0,OFFSET($D44,1,$C44,ROW($A$54)-ROW($A44)),0)</f>
        <v>10</v>
      </c>
      <c r="J44" s="184">
        <f ca="1">MATCH(OFFSET($D44,0,$C44)+1,OFFSET($D44,1,$C44,ROW($A$54)-ROW($A44)),0)</f>
        <v>3</v>
      </c>
      <c r="K44" s="185">
        <f ca="1">ROUND(INDEX(PO!T$12:T$70,MATCH($A44,PO!$V$12:$V$70,0)),2)+10^-12</f>
        <v>9.9999999999999998E-13</v>
      </c>
      <c r="L44" s="379"/>
      <c r="M44" s="375"/>
      <c r="N44" s="377"/>
      <c r="O44" s="204" t="s">
        <v>20</v>
      </c>
      <c r="P44" s="199">
        <f t="shared" ref="P44:W44" ca="1" si="156">IF($B44,ROUND(P43*$N42,2),ROUND(SUMIF(OFFSET($B44,1,0,$D44),TRUE,OFFSET(P44,1,0,$D44))/SUMIF(OFFSET($B44,1,0,$D44),TRUE,OFFSET($K44,1,0,$D44))*$N42,2))</f>
        <v>0</v>
      </c>
      <c r="Q44" s="169">
        <f t="shared" ca="1" si="156"/>
        <v>0</v>
      </c>
      <c r="R44" s="169">
        <f t="shared" ca="1" si="156"/>
        <v>0</v>
      </c>
      <c r="S44" s="169">
        <f t="shared" ca="1" si="156"/>
        <v>0</v>
      </c>
      <c r="T44" s="169">
        <f t="shared" ca="1" si="156"/>
        <v>0</v>
      </c>
      <c r="U44" s="169">
        <f t="shared" ca="1" si="156"/>
        <v>0</v>
      </c>
      <c r="V44" s="169">
        <f t="shared" ca="1" si="156"/>
        <v>0</v>
      </c>
      <c r="W44" s="207">
        <f t="shared" ca="1" si="156"/>
        <v>0</v>
      </c>
      <c r="X44" s="196"/>
      <c r="AC44" s="169">
        <f t="shared" ref="AC44" ca="1" si="157">IF($B44,ROUND(AC43*$N42,2),ROUND(SUMIF(OFFSET($B44,1,0,$D44),TRUE,OFFSET(AC44,1,0,$D44))/SUMIF(OFFSET($B44,1,0,$D44),TRUE,OFFSET($K44,1,0,$D44))*$N42,2))</f>
        <v>0</v>
      </c>
    </row>
    <row r="45" spans="1:29" customFormat="1" ht="14.25" customHeight="1" x14ac:dyDescent="0.2">
      <c r="A45" s="82"/>
      <c r="B45" s="82"/>
      <c r="C45" s="82"/>
      <c r="D45" s="82"/>
      <c r="E45" s="82"/>
      <c r="F45" s="82"/>
      <c r="G45" s="82"/>
      <c r="H45" s="82"/>
      <c r="I45" s="82"/>
      <c r="J45" s="82"/>
      <c r="K45" s="82"/>
      <c r="L45" s="378" t="str">
        <f ca="1">INDEX(PO!K$12:K$70,MATCH($A47,PO!$V$12:$V$70,0))</f>
        <v>1.9.</v>
      </c>
      <c r="M45" s="374" t="str">
        <f ca="1">INDEX(PO!N$12:N$70,MATCH($A47,PO!$V$12:$V$70,0))</f>
        <v>ELEMENTOS METÁLICOS - GUARDA-CORPO E CORRIMÃO</v>
      </c>
      <c r="N45" s="376">
        <f t="shared" ref="N45" ca="1" si="158">IF(ROUND(K47,2)=0,K47,ROUND(K47,2))</f>
        <v>9.9999999999999998E-13</v>
      </c>
      <c r="O45" s="220" t="s">
        <v>143</v>
      </c>
      <c r="P45" s="225"/>
      <c r="Q45" s="226"/>
      <c r="R45" s="226"/>
      <c r="S45" s="226"/>
      <c r="T45" s="226">
        <v>1</v>
      </c>
      <c r="U45" s="226"/>
      <c r="V45" s="226">
        <f t="shared" ref="V45" ca="1" si="159">IF($B47,0,V46-IF(ISNUMBER(U46),U46,0))</f>
        <v>0</v>
      </c>
      <c r="W45" s="227">
        <f t="shared" ref="W45" ca="1" si="160">IF($B47,0,W46-IF(ISNUMBER(V46),V46,0))</f>
        <v>0</v>
      </c>
      <c r="X45" s="196"/>
      <c r="AC45" s="221">
        <f t="shared" ref="AC45" ca="1" si="161">IF($B47,0,AC46-IF(ISNUMBER(AB46),AB46,0))</f>
        <v>0</v>
      </c>
    </row>
    <row r="46" spans="1:29" customFormat="1" ht="14.25" x14ac:dyDescent="0.2">
      <c r="A46" s="184"/>
      <c r="B46" s="184"/>
      <c r="C46" s="184"/>
      <c r="D46" s="184"/>
      <c r="E46" s="184"/>
      <c r="F46" s="184"/>
      <c r="G46" s="184"/>
      <c r="H46" s="184"/>
      <c r="I46" s="184"/>
      <c r="J46" s="184"/>
      <c r="K46" s="184"/>
      <c r="L46" s="379"/>
      <c r="M46" s="375"/>
      <c r="N46" s="377"/>
      <c r="O46" s="170" t="s">
        <v>145</v>
      </c>
      <c r="P46" s="198">
        <f t="shared" ref="P46" ca="1" si="162">MIN(IF($B47,P45+IF(ISNUMBER(O46),O46,0),P47/$N45),1)</f>
        <v>0</v>
      </c>
      <c r="Q46" s="168">
        <f t="shared" ref="Q46" ca="1" si="163">MIN(IF($B47,Q45+IF(ISNUMBER(P46),P46,0),Q47/$N45),1)</f>
        <v>0</v>
      </c>
      <c r="R46" s="168">
        <f t="shared" ref="R46" ca="1" si="164">MIN(IF($B47,R45+IF(ISNUMBER(Q46),Q46,0),R47/$N45),1)</f>
        <v>0</v>
      </c>
      <c r="S46" s="168">
        <f t="shared" ref="S46" ca="1" si="165">MIN(IF($B47,S45+IF(ISNUMBER(R46),R46,0),S47/$N45),1)</f>
        <v>0</v>
      </c>
      <c r="T46" s="168">
        <f t="shared" ref="T46" ca="1" si="166">MIN(IF($B47,T45+IF(ISNUMBER(S46),S46,0),T47/$N45),1)</f>
        <v>1</v>
      </c>
      <c r="U46" s="168">
        <f t="shared" ref="U46" ca="1" si="167">MIN(IF($B47,U45+IF(ISNUMBER(T46),T46,0),U47/$N45),1)</f>
        <v>1</v>
      </c>
      <c r="V46" s="168">
        <f t="shared" ref="V46" ca="1" si="168">MIN(IF($B47,V45+IF(ISNUMBER(U46),U46,0),V47/$N45),1)</f>
        <v>1</v>
      </c>
      <c r="W46" s="168">
        <f t="shared" ref="W46" ca="1" si="169">MIN(IF($B47,W45+IF(ISNUMBER(V46),V46,0),W47/$N45),1)</f>
        <v>1</v>
      </c>
      <c r="X46" s="196"/>
      <c r="AC46" s="168">
        <f t="shared" ref="AC46" ca="1" si="170">MIN(IF($B47,AC45+IF(ISNUMBER(AB46),AB46,0),AC47/$N45),1)</f>
        <v>0</v>
      </c>
    </row>
    <row r="47" spans="1:29" customFormat="1" ht="14.25" x14ac:dyDescent="0.2">
      <c r="A47" s="184">
        <f ca="1">OFFSET(A47,-CFF.NumLinha,0)+1</f>
        <v>10</v>
      </c>
      <c r="B47" s="184" t="b">
        <f ca="1">$C47&gt;=OFFSET($C47,CFF.NumLinha,0)</f>
        <v>1</v>
      </c>
      <c r="C47" s="184">
        <f ca="1">INDEX(PO!A$12:A$70,MATCH($A47,PO!$V$12:$V$70,0))</f>
        <v>2</v>
      </c>
      <c r="D47" s="184">
        <f t="shared" ref="D47" ca="1" si="171">IF(ISERROR(J47),I47,SMALL(I47:J47,1))-1</f>
        <v>2</v>
      </c>
      <c r="E47" s="184">
        <f ca="1">IF($C47=1,OFFSET(E47,-CFF.NumLinha,0)+1,OFFSET(E47,-CFF.NumLinha,0))</f>
        <v>1</v>
      </c>
      <c r="F47" s="184">
        <f ca="1">IF($C47=1,0,IF($C47=2,OFFSET(F47,-CFF.NumLinha,0)+1,OFFSET(F47,-CFF.NumLinha,0)))</f>
        <v>9</v>
      </c>
      <c r="G47" s="184">
        <f ca="1">IF(AND($C47&lt;=2,$C47&lt;&gt;0),0,IF($C47=3,OFFSET(G47,-CFF.NumLinha,0)+1,OFFSET(G47,-CFF.NumLinha,0)))</f>
        <v>0</v>
      </c>
      <c r="H47" s="184">
        <f ca="1">IF(AND($C47&lt;=3,$C47&lt;&gt;0),0,IF($C47=4,OFFSET(H47,-CFF.NumLinha,0)+1,OFFSET(H47,-CFF.NumLinha,0)))</f>
        <v>0</v>
      </c>
      <c r="I47" s="184">
        <f ca="1">MATCH(0,OFFSET($D47,1,$C47,ROW($A$54)-ROW($A47)),0)</f>
        <v>7</v>
      </c>
      <c r="J47" s="184">
        <f ca="1">MATCH(OFFSET($D47,0,$C47)+1,OFFSET($D47,1,$C47,ROW($A$54)-ROW($A47)),0)</f>
        <v>3</v>
      </c>
      <c r="K47" s="185">
        <f ca="1">ROUND(INDEX(PO!T$12:T$70,MATCH($A47,PO!$V$12:$V$70,0)),2)+10^-12</f>
        <v>9.9999999999999998E-13</v>
      </c>
      <c r="L47" s="379"/>
      <c r="M47" s="375"/>
      <c r="N47" s="377"/>
      <c r="O47" s="204" t="s">
        <v>20</v>
      </c>
      <c r="P47" s="199">
        <f t="shared" ref="P47:W47" ca="1" si="172">IF($B47,ROUND(P46*$N45,2),ROUND(SUMIF(OFFSET($B47,1,0,$D47),TRUE,OFFSET(P47,1,0,$D47))/SUMIF(OFFSET($B47,1,0,$D47),TRUE,OFFSET($K47,1,0,$D47))*$N45,2))</f>
        <v>0</v>
      </c>
      <c r="Q47" s="169">
        <f t="shared" ca="1" si="172"/>
        <v>0</v>
      </c>
      <c r="R47" s="169">
        <f t="shared" ca="1" si="172"/>
        <v>0</v>
      </c>
      <c r="S47" s="169">
        <f t="shared" ca="1" si="172"/>
        <v>0</v>
      </c>
      <c r="T47" s="169">
        <f t="shared" ca="1" si="172"/>
        <v>0</v>
      </c>
      <c r="U47" s="169">
        <f t="shared" ca="1" si="172"/>
        <v>0</v>
      </c>
      <c r="V47" s="169">
        <f t="shared" ca="1" si="172"/>
        <v>0</v>
      </c>
      <c r="W47" s="207">
        <f t="shared" ca="1" si="172"/>
        <v>0</v>
      </c>
      <c r="X47" s="196"/>
      <c r="AC47" s="169">
        <f t="shared" ref="AC47" ca="1" si="173">IF($B47,ROUND(AC46*$N45,2),ROUND(SUMIF(OFFSET($B47,1,0,$D47),TRUE,OFFSET(AC47,1,0,$D47))/SUMIF(OFFSET($B47,1,0,$D47),TRUE,OFFSET($K47,1,0,$D47))*$N45,2))</f>
        <v>0</v>
      </c>
    </row>
    <row r="48" spans="1:29" customFormat="1" ht="14.25" customHeight="1" x14ac:dyDescent="0.2">
      <c r="A48" s="82"/>
      <c r="B48" s="82"/>
      <c r="C48" s="82"/>
      <c r="D48" s="82"/>
      <c r="E48" s="82"/>
      <c r="F48" s="82"/>
      <c r="G48" s="82"/>
      <c r="H48" s="82"/>
      <c r="I48" s="82"/>
      <c r="J48" s="82"/>
      <c r="K48" s="82"/>
      <c r="L48" s="378" t="str">
        <f ca="1">INDEX(PO!K$12:K$70,MATCH($A50,PO!$V$12:$V$70,0))</f>
        <v>1.10.</v>
      </c>
      <c r="M48" s="374" t="str">
        <f ca="1">INDEX(PO!N$12:N$70,MATCH($A50,PO!$V$12:$V$70,0))</f>
        <v>PINTURA</v>
      </c>
      <c r="N48" s="376">
        <f t="shared" ref="N48" ca="1" si="174">IF(ROUND(K50,2)=0,K50,ROUND(K50,2))</f>
        <v>9.9999999999999998E-13</v>
      </c>
      <c r="O48" s="220" t="s">
        <v>143</v>
      </c>
      <c r="P48" s="225"/>
      <c r="Q48" s="226"/>
      <c r="R48" s="226"/>
      <c r="S48" s="226"/>
      <c r="T48" s="226"/>
      <c r="U48" s="226">
        <v>1</v>
      </c>
      <c r="V48" s="226">
        <f t="shared" ref="V48" ca="1" si="175">IF($B50,0,V49-IF(ISNUMBER(U49),U49,0))</f>
        <v>0</v>
      </c>
      <c r="W48" s="227">
        <f t="shared" ref="W48" ca="1" si="176">IF($B50,0,W49-IF(ISNUMBER(V49),V49,0))</f>
        <v>0</v>
      </c>
      <c r="X48" s="196"/>
      <c r="AC48" s="221">
        <f t="shared" ref="AC48" ca="1" si="177">IF($B50,0,AC49-IF(ISNUMBER(AB49),AB49,0))</f>
        <v>0</v>
      </c>
    </row>
    <row r="49" spans="1:29" customFormat="1" ht="14.25" x14ac:dyDescent="0.2">
      <c r="A49" s="184"/>
      <c r="B49" s="184"/>
      <c r="C49" s="184"/>
      <c r="D49" s="184"/>
      <c r="E49" s="184"/>
      <c r="F49" s="184"/>
      <c r="G49" s="184"/>
      <c r="H49" s="184"/>
      <c r="I49" s="184"/>
      <c r="J49" s="184"/>
      <c r="K49" s="184"/>
      <c r="L49" s="379"/>
      <c r="M49" s="375"/>
      <c r="N49" s="377"/>
      <c r="O49" s="170" t="s">
        <v>145</v>
      </c>
      <c r="P49" s="198">
        <f t="shared" ref="P49" ca="1" si="178">MIN(IF($B50,P48+IF(ISNUMBER(O49),O49,0),P50/$N48),1)</f>
        <v>0</v>
      </c>
      <c r="Q49" s="168">
        <f t="shared" ref="Q49" ca="1" si="179">MIN(IF($B50,Q48+IF(ISNUMBER(P49),P49,0),Q50/$N48),1)</f>
        <v>0</v>
      </c>
      <c r="R49" s="168">
        <f t="shared" ref="R49" ca="1" si="180">MIN(IF($B50,R48+IF(ISNUMBER(Q49),Q49,0),R50/$N48),1)</f>
        <v>0</v>
      </c>
      <c r="S49" s="168">
        <f t="shared" ref="S49" ca="1" si="181">MIN(IF($B50,S48+IF(ISNUMBER(R49),R49,0),S50/$N48),1)</f>
        <v>0</v>
      </c>
      <c r="T49" s="168">
        <f t="shared" ref="T49" ca="1" si="182">MIN(IF($B50,T48+IF(ISNUMBER(S49),S49,0),T50/$N48),1)</f>
        <v>0</v>
      </c>
      <c r="U49" s="168">
        <f t="shared" ref="U49" ca="1" si="183">MIN(IF($B50,U48+IF(ISNUMBER(T49),T49,0),U50/$N48),1)</f>
        <v>1</v>
      </c>
      <c r="V49" s="168">
        <f t="shared" ref="V49" ca="1" si="184">MIN(IF($B50,V48+IF(ISNUMBER(U49),U49,0),V50/$N48),1)</f>
        <v>1</v>
      </c>
      <c r="W49" s="168">
        <f t="shared" ref="W49" ca="1" si="185">MIN(IF($B50,W48+IF(ISNUMBER(V49),V49,0),W50/$N48),1)</f>
        <v>1</v>
      </c>
      <c r="X49" s="196"/>
      <c r="AC49" s="168">
        <f t="shared" ref="AC49" ca="1" si="186">MIN(IF($B50,AC48+IF(ISNUMBER(AB49),AB49,0),AC50/$N48),1)</f>
        <v>0</v>
      </c>
    </row>
    <row r="50" spans="1:29" customFormat="1" ht="14.25" x14ac:dyDescent="0.2">
      <c r="A50" s="184">
        <f ca="1">OFFSET(A50,-CFF.NumLinha,0)+1</f>
        <v>11</v>
      </c>
      <c r="B50" s="184" t="b">
        <f ca="1">$C50&gt;=OFFSET($C50,CFF.NumLinha,0)</f>
        <v>1</v>
      </c>
      <c r="C50" s="184">
        <f ca="1">INDEX(PO!A$12:A$70,MATCH($A50,PO!$V$12:$V$70,0))</f>
        <v>2</v>
      </c>
      <c r="D50" s="184">
        <f t="shared" ref="D50" ca="1" si="187">IF(ISERROR(J50),I50,SMALL(I50:J50,1))-1</f>
        <v>2</v>
      </c>
      <c r="E50" s="184">
        <f ca="1">IF($C50=1,OFFSET(E50,-CFF.NumLinha,0)+1,OFFSET(E50,-CFF.NumLinha,0))</f>
        <v>1</v>
      </c>
      <c r="F50" s="184">
        <f ca="1">IF($C50=1,0,IF($C50=2,OFFSET(F50,-CFF.NumLinha,0)+1,OFFSET(F50,-CFF.NumLinha,0)))</f>
        <v>10</v>
      </c>
      <c r="G50" s="184">
        <f ca="1">IF(AND($C50&lt;=2,$C50&lt;&gt;0),0,IF($C50=3,OFFSET(G50,-CFF.NumLinha,0)+1,OFFSET(G50,-CFF.NumLinha,0)))</f>
        <v>0</v>
      </c>
      <c r="H50" s="184">
        <f ca="1">IF(AND($C50&lt;=3,$C50&lt;&gt;0),0,IF($C50=4,OFFSET(H50,-CFF.NumLinha,0)+1,OFFSET(H50,-CFF.NumLinha,0)))</f>
        <v>0</v>
      </c>
      <c r="I50" s="184">
        <f ca="1">MATCH(0,OFFSET($D50,1,$C50,ROW($A$54)-ROW($A50)),0)</f>
        <v>4</v>
      </c>
      <c r="J50" s="184">
        <f ca="1">MATCH(OFFSET($D50,0,$C50)+1,OFFSET($D50,1,$C50,ROW($A$54)-ROW($A50)),0)</f>
        <v>3</v>
      </c>
      <c r="K50" s="185">
        <f ca="1">ROUND(INDEX(PO!T$12:T$70,MATCH($A50,PO!$V$12:$V$70,0)),2)+10^-12</f>
        <v>9.9999999999999998E-13</v>
      </c>
      <c r="L50" s="379"/>
      <c r="M50" s="375"/>
      <c r="N50" s="377"/>
      <c r="O50" s="204" t="s">
        <v>20</v>
      </c>
      <c r="P50" s="199">
        <f t="shared" ref="P50:W50" ca="1" si="188">IF($B50,ROUND(P49*$N48,2),ROUND(SUMIF(OFFSET($B50,1,0,$D50),TRUE,OFFSET(P50,1,0,$D50))/SUMIF(OFFSET($B50,1,0,$D50),TRUE,OFFSET($K50,1,0,$D50))*$N48,2))</f>
        <v>0</v>
      </c>
      <c r="Q50" s="169">
        <f t="shared" ca="1" si="188"/>
        <v>0</v>
      </c>
      <c r="R50" s="169">
        <f t="shared" ca="1" si="188"/>
        <v>0</v>
      </c>
      <c r="S50" s="169">
        <f t="shared" ca="1" si="188"/>
        <v>0</v>
      </c>
      <c r="T50" s="169">
        <f t="shared" ca="1" si="188"/>
        <v>0</v>
      </c>
      <c r="U50" s="169">
        <f t="shared" ca="1" si="188"/>
        <v>0</v>
      </c>
      <c r="V50" s="169">
        <f t="shared" ca="1" si="188"/>
        <v>0</v>
      </c>
      <c r="W50" s="207">
        <f t="shared" ca="1" si="188"/>
        <v>0</v>
      </c>
      <c r="X50" s="196"/>
      <c r="AC50" s="169">
        <f t="shared" ref="AC50" ca="1" si="189">IF($B50,ROUND(AC49*$N48,2),ROUND(SUMIF(OFFSET($B50,1,0,$D50),TRUE,OFFSET(AC50,1,0,$D50))/SUMIF(OFFSET($B50,1,0,$D50),TRUE,OFFSET($K50,1,0,$D50))*$N48,2))</f>
        <v>0</v>
      </c>
    </row>
    <row r="51" spans="1:29" customFormat="1" ht="14.25" customHeight="1" x14ac:dyDescent="0.2">
      <c r="A51" s="82"/>
      <c r="B51" s="82"/>
      <c r="C51" s="82"/>
      <c r="D51" s="82"/>
      <c r="E51" s="82"/>
      <c r="F51" s="82"/>
      <c r="G51" s="82"/>
      <c r="H51" s="82"/>
      <c r="I51" s="82"/>
      <c r="J51" s="82"/>
      <c r="K51" s="82"/>
      <c r="L51" s="378" t="str">
        <f ca="1">INDEX(PO!K$12:K$70,MATCH($A53,PO!$V$12:$V$70,0))</f>
        <v>1.11.</v>
      </c>
      <c r="M51" s="374" t="str">
        <f ca="1">INDEX(PO!N$12:N$70,MATCH($A53,PO!$V$12:$V$70,0))</f>
        <v>SERVIÇOS FINAIS</v>
      </c>
      <c r="N51" s="376">
        <f t="shared" ref="N51" ca="1" si="190">IF(ROUND(K53,2)=0,K53,ROUND(K53,2))</f>
        <v>9.9999999999999998E-13</v>
      </c>
      <c r="O51" s="220" t="s">
        <v>143</v>
      </c>
      <c r="P51" s="225"/>
      <c r="Q51" s="226"/>
      <c r="R51" s="226"/>
      <c r="S51" s="226"/>
      <c r="T51" s="226"/>
      <c r="U51" s="226">
        <v>1</v>
      </c>
      <c r="V51" s="226">
        <f t="shared" ref="V51" ca="1" si="191">IF($B53,0,V52-IF(ISNUMBER(U52),U52,0))</f>
        <v>0</v>
      </c>
      <c r="W51" s="227">
        <f t="shared" ref="W51" ca="1" si="192">IF($B53,0,W52-IF(ISNUMBER(V52),V52,0))</f>
        <v>0</v>
      </c>
      <c r="X51" s="196"/>
      <c r="AC51" s="221">
        <f t="shared" ref="AC51" ca="1" si="193">IF($B53,0,AC52-IF(ISNUMBER(AB52),AB52,0))</f>
        <v>0</v>
      </c>
    </row>
    <row r="52" spans="1:29" customFormat="1" ht="14.25" x14ac:dyDescent="0.2">
      <c r="A52" s="184"/>
      <c r="B52" s="184"/>
      <c r="C52" s="184"/>
      <c r="D52" s="184"/>
      <c r="E52" s="184"/>
      <c r="F52" s="184"/>
      <c r="G52" s="184"/>
      <c r="H52" s="184"/>
      <c r="I52" s="184"/>
      <c r="J52" s="184"/>
      <c r="K52" s="184"/>
      <c r="L52" s="379"/>
      <c r="M52" s="375"/>
      <c r="N52" s="377"/>
      <c r="O52" s="170" t="s">
        <v>145</v>
      </c>
      <c r="P52" s="198">
        <f t="shared" ref="P52" ca="1" si="194">MIN(IF($B53,P51+IF(ISNUMBER(O52),O52,0),P53/$N51),1)</f>
        <v>0</v>
      </c>
      <c r="Q52" s="168">
        <f t="shared" ref="Q52" ca="1" si="195">MIN(IF($B53,Q51+IF(ISNUMBER(P52),P52,0),Q53/$N51),1)</f>
        <v>0</v>
      </c>
      <c r="R52" s="168">
        <f t="shared" ref="R52" ca="1" si="196">MIN(IF($B53,R51+IF(ISNUMBER(Q52),Q52,0),R53/$N51),1)</f>
        <v>0</v>
      </c>
      <c r="S52" s="168">
        <f t="shared" ref="S52" ca="1" si="197">MIN(IF($B53,S51+IF(ISNUMBER(R52),R52,0),S53/$N51),1)</f>
        <v>0</v>
      </c>
      <c r="T52" s="168">
        <f t="shared" ref="T52" ca="1" si="198">MIN(IF($B53,T51+IF(ISNUMBER(S52),S52,0),T53/$N51),1)</f>
        <v>0</v>
      </c>
      <c r="U52" s="168">
        <f t="shared" ref="U52" ca="1" si="199">MIN(IF($B53,U51+IF(ISNUMBER(T52),T52,0),U53/$N51),1)</f>
        <v>1</v>
      </c>
      <c r="V52" s="168">
        <f t="shared" ref="V52" ca="1" si="200">MIN(IF($B53,V51+IF(ISNUMBER(U52),U52,0),V53/$N51),1)</f>
        <v>1</v>
      </c>
      <c r="W52" s="168">
        <f t="shared" ref="W52" ca="1" si="201">MIN(IF($B53,W51+IF(ISNUMBER(V52),V52,0),W53/$N51),1)</f>
        <v>1</v>
      </c>
      <c r="X52" s="196"/>
      <c r="AC52" s="168">
        <f t="shared" ref="AC52" ca="1" si="202">MIN(IF($B53,AC51+IF(ISNUMBER(AB52),AB52,0),AC53/$N51),1)</f>
        <v>0</v>
      </c>
    </row>
    <row r="53" spans="1:29" customFormat="1" ht="14.25" x14ac:dyDescent="0.2">
      <c r="A53" s="184">
        <f ca="1">OFFSET(A53,-CFF.NumLinha,0)+1</f>
        <v>12</v>
      </c>
      <c r="B53" s="184" t="b">
        <f ca="1">$C53&gt;=OFFSET($C53,CFF.NumLinha,0)</f>
        <v>1</v>
      </c>
      <c r="C53" s="184">
        <f ca="1">INDEX(PO!A$12:A$70,MATCH($A53,PO!$V$12:$V$70,0))</f>
        <v>2</v>
      </c>
      <c r="D53" s="184">
        <f t="shared" ref="D53" ca="1" si="203">IF(ISERROR(J53),I53,SMALL(I53:J53,1))-1</f>
        <v>0</v>
      </c>
      <c r="E53" s="184">
        <f ca="1">IF($C53=1,OFFSET(E53,-CFF.NumLinha,0)+1,OFFSET(E53,-CFF.NumLinha,0))</f>
        <v>1</v>
      </c>
      <c r="F53" s="184">
        <f ca="1">IF($C53=1,0,IF($C53=2,OFFSET(F53,-CFF.NumLinha,0)+1,OFFSET(F53,-CFF.NumLinha,0)))</f>
        <v>11</v>
      </c>
      <c r="G53" s="184">
        <f ca="1">IF(AND($C53&lt;=2,$C53&lt;&gt;0),0,IF($C53=3,OFFSET(G53,-CFF.NumLinha,0)+1,OFFSET(G53,-CFF.NumLinha,0)))</f>
        <v>0</v>
      </c>
      <c r="H53" s="184">
        <f ca="1">IF(AND($C53&lt;=3,$C53&lt;&gt;0),0,IF($C53=4,OFFSET(H53,-CFF.NumLinha,0)+1,OFFSET(H53,-CFF.NumLinha,0)))</f>
        <v>0</v>
      </c>
      <c r="I53" s="184">
        <f ca="1">MATCH(0,OFFSET($D53,1,$C53,ROW($A$54)-ROW($A53)),0)</f>
        <v>1</v>
      </c>
      <c r="J53" s="184" t="e">
        <f ca="1">MATCH(OFFSET($D53,0,$C53)+1,OFFSET($D53,1,$C53,ROW($A$54)-ROW($A53)),0)</f>
        <v>#N/A</v>
      </c>
      <c r="K53" s="185">
        <f ca="1">ROUND(INDEX(PO!T$12:T$70,MATCH($A53,PO!$V$12:$V$70,0)),2)+10^-12</f>
        <v>9.9999999999999998E-13</v>
      </c>
      <c r="L53" s="379"/>
      <c r="M53" s="375"/>
      <c r="N53" s="377"/>
      <c r="O53" s="204" t="s">
        <v>20</v>
      </c>
      <c r="P53" s="199">
        <f t="shared" ref="P53:W53" ca="1" si="204">IF($B53,ROUND(P52*$N51,2),ROUND(SUMIF(OFFSET($B53,1,0,$D53),TRUE,OFFSET(P53,1,0,$D53))/SUMIF(OFFSET($B53,1,0,$D53),TRUE,OFFSET($K53,1,0,$D53))*$N51,2))</f>
        <v>0</v>
      </c>
      <c r="Q53" s="169">
        <f t="shared" ca="1" si="204"/>
        <v>0</v>
      </c>
      <c r="R53" s="169">
        <f t="shared" ca="1" si="204"/>
        <v>0</v>
      </c>
      <c r="S53" s="169">
        <f t="shared" ca="1" si="204"/>
        <v>0</v>
      </c>
      <c r="T53" s="169">
        <f t="shared" ca="1" si="204"/>
        <v>0</v>
      </c>
      <c r="U53" s="169">
        <f t="shared" ca="1" si="204"/>
        <v>0</v>
      </c>
      <c r="V53" s="169">
        <f t="shared" ca="1" si="204"/>
        <v>0</v>
      </c>
      <c r="W53" s="207">
        <f t="shared" ca="1" si="204"/>
        <v>0</v>
      </c>
      <c r="X53" s="196"/>
      <c r="AC53" s="169">
        <f t="shared" ref="AC53" ca="1" si="205">IF($B53,ROUND(AC52*$N51,2),ROUND(SUMIF(OFFSET($B53,1,0,$D53),TRUE,OFFSET(AC53,1,0,$D53))/SUMIF(OFFSET($B53,1,0,$D53),TRUE,OFFSET($K53,1,0,$D53))*$N51,2))</f>
        <v>0</v>
      </c>
    </row>
    <row r="54" spans="1:29" s="45" customFormat="1" ht="12.75" customHeight="1" x14ac:dyDescent="0.2">
      <c r="A54" s="1"/>
      <c r="B54" s="1"/>
      <c r="C54" s="184">
        <v>-1</v>
      </c>
      <c r="D54" s="184"/>
      <c r="E54" s="184">
        <v>0</v>
      </c>
      <c r="F54" s="184">
        <v>0</v>
      </c>
      <c r="G54" s="184">
        <v>0</v>
      </c>
      <c r="H54" s="184">
        <v>0</v>
      </c>
      <c r="I54" s="1"/>
      <c r="J54" s="1"/>
      <c r="K54" s="1"/>
      <c r="L54" s="154"/>
      <c r="M54" s="154"/>
      <c r="N54" s="155"/>
      <c r="O54" s="154"/>
      <c r="P54" s="154"/>
      <c r="Q54" s="155"/>
      <c r="R54" s="154"/>
      <c r="S54" s="154"/>
      <c r="T54" s="154"/>
      <c r="U54" s="154"/>
      <c r="V54" s="154"/>
      <c r="W54" s="154"/>
      <c r="X54" s="186"/>
      <c r="AC54" s="154"/>
    </row>
    <row r="55" spans="1:29" ht="12" customHeight="1" x14ac:dyDescent="0.2">
      <c r="A55" s="1"/>
      <c r="B55" s="1"/>
      <c r="C55" s="1"/>
      <c r="D55" s="1"/>
      <c r="E55" s="1"/>
      <c r="F55" s="1"/>
      <c r="G55" s="1"/>
      <c r="H55" s="1"/>
      <c r="I55" s="1"/>
      <c r="J55" s="1"/>
      <c r="K55" s="1"/>
      <c r="L55" s="187"/>
      <c r="M55" s="187"/>
      <c r="N55" s="187"/>
      <c r="O55" s="187"/>
      <c r="P55" s="187"/>
      <c r="Q55" s="187"/>
      <c r="R55" s="187"/>
      <c r="S55" s="187"/>
      <c r="T55" s="187"/>
      <c r="U55" s="187"/>
      <c r="V55" s="187"/>
      <c r="W55" s="187"/>
      <c r="X55" s="188"/>
      <c r="AC55" s="187"/>
    </row>
    <row r="56" spans="1:29" x14ac:dyDescent="0.2">
      <c r="A56" s="1"/>
      <c r="B56" s="1"/>
      <c r="C56" s="1"/>
      <c r="D56" s="1"/>
      <c r="E56" s="1"/>
      <c r="F56" s="1"/>
      <c r="G56" s="1"/>
      <c r="H56" s="1"/>
      <c r="I56" s="1"/>
      <c r="J56" s="1"/>
      <c r="K56" s="1"/>
      <c r="L56" s="394">
        <f>DADOS!I32</f>
        <v>0</v>
      </c>
      <c r="M56" s="394"/>
      <c r="N56" s="394"/>
      <c r="O56" s="187"/>
      <c r="P56" s="189"/>
      <c r="Q56" s="391"/>
      <c r="R56" s="391"/>
      <c r="S56" s="391"/>
      <c r="T56" s="187"/>
      <c r="U56" s="187"/>
      <c r="V56" s="187"/>
      <c r="W56" s="187"/>
      <c r="X56" s="188"/>
      <c r="AC56" s="187"/>
    </row>
    <row r="57" spans="1:29" x14ac:dyDescent="0.2">
      <c r="A57" s="1"/>
      <c r="B57" s="1"/>
      <c r="C57" s="1"/>
      <c r="D57" s="1"/>
      <c r="E57" s="1"/>
      <c r="F57" s="1"/>
      <c r="G57" s="1"/>
      <c r="H57" s="1"/>
      <c r="I57" s="1"/>
      <c r="J57" s="1"/>
      <c r="K57" s="1"/>
      <c r="L57" s="190" t="s">
        <v>120</v>
      </c>
      <c r="M57" s="393"/>
      <c r="N57" s="393"/>
      <c r="O57" s="187"/>
      <c r="P57" s="189"/>
      <c r="Q57" s="391"/>
      <c r="R57" s="391"/>
      <c r="S57" s="391"/>
      <c r="T57" s="187"/>
      <c r="U57" s="187"/>
      <c r="V57" s="187"/>
      <c r="W57" s="187"/>
      <c r="X57" s="188"/>
      <c r="AC57" s="187"/>
    </row>
    <row r="58" spans="1:29" x14ac:dyDescent="0.2">
      <c r="A58" s="1"/>
      <c r="B58" s="1"/>
      <c r="C58" s="1"/>
      <c r="D58" s="1"/>
      <c r="E58" s="1"/>
      <c r="F58" s="1"/>
      <c r="G58" s="1"/>
      <c r="H58" s="1"/>
      <c r="I58" s="1"/>
      <c r="J58" s="1"/>
      <c r="K58" s="1"/>
      <c r="L58" s="189"/>
      <c r="M58" s="392"/>
      <c r="N58" s="393"/>
      <c r="O58" s="187"/>
      <c r="P58" s="189"/>
      <c r="Q58" s="391"/>
      <c r="R58" s="391"/>
      <c r="S58" s="391"/>
      <c r="T58" s="187"/>
      <c r="U58" s="187"/>
      <c r="V58" s="187"/>
      <c r="W58" s="187"/>
      <c r="X58" s="188"/>
      <c r="AC58" s="187"/>
    </row>
    <row r="59" spans="1:29" x14ac:dyDescent="0.2">
      <c r="A59" s="1"/>
      <c r="B59" s="1"/>
      <c r="C59" s="1"/>
      <c r="D59" s="1"/>
      <c r="E59" s="1"/>
      <c r="F59" s="1"/>
      <c r="G59" s="1"/>
      <c r="H59" s="1"/>
      <c r="I59" s="1"/>
      <c r="J59" s="1"/>
      <c r="K59" s="1"/>
      <c r="L59" s="380">
        <f ca="1">PO!K84</f>
        <v>45110</v>
      </c>
      <c r="M59" s="380"/>
      <c r="N59" s="380"/>
      <c r="O59" s="187"/>
      <c r="P59" s="187"/>
      <c r="Q59" s="187"/>
      <c r="R59" s="187"/>
      <c r="S59" s="187"/>
      <c r="T59" s="187"/>
      <c r="U59" s="187"/>
      <c r="V59" s="187"/>
      <c r="W59" s="187"/>
      <c r="X59" s="191"/>
      <c r="AC59" s="187"/>
    </row>
    <row r="60" spans="1:29" x14ac:dyDescent="0.2">
      <c r="A60" s="1"/>
      <c r="B60" s="1"/>
      <c r="C60" s="1"/>
      <c r="D60" s="1"/>
      <c r="E60" s="1"/>
      <c r="F60" s="1"/>
      <c r="G60" s="1"/>
      <c r="H60" s="1"/>
      <c r="I60" s="1"/>
      <c r="J60" s="1"/>
      <c r="K60" s="1"/>
      <c r="L60" s="192" t="s">
        <v>121</v>
      </c>
      <c r="M60" s="193"/>
      <c r="N60" s="193"/>
      <c r="O60" s="187"/>
      <c r="P60" s="187"/>
      <c r="Q60" s="187"/>
      <c r="R60" s="187"/>
      <c r="S60" s="187"/>
      <c r="T60" s="187"/>
      <c r="U60" s="187"/>
      <c r="V60" s="187"/>
      <c r="W60" s="187"/>
      <c r="X60" s="191"/>
      <c r="AC60" s="187"/>
    </row>
    <row r="61" spans="1:29" x14ac:dyDescent="0.2">
      <c r="A61" s="1"/>
      <c r="B61" s="1"/>
      <c r="C61" s="1"/>
      <c r="D61" s="1"/>
      <c r="E61" s="1"/>
      <c r="F61" s="1"/>
      <c r="G61" s="1"/>
      <c r="H61" s="1"/>
      <c r="I61" s="1"/>
      <c r="J61" s="1"/>
      <c r="K61" s="1"/>
      <c r="L61" s="187"/>
      <c r="M61" s="187"/>
      <c r="N61" s="187"/>
      <c r="O61" s="187"/>
      <c r="P61" s="187"/>
      <c r="Q61" s="187"/>
      <c r="R61" s="187"/>
      <c r="S61" s="187"/>
      <c r="T61" s="187"/>
      <c r="U61" s="187"/>
      <c r="V61" s="187"/>
      <c r="W61" s="187"/>
      <c r="X61" s="191"/>
      <c r="AC61" s="187"/>
    </row>
    <row r="62" spans="1:29" x14ac:dyDescent="0.2">
      <c r="A62" s="1"/>
      <c r="B62" s="1"/>
      <c r="C62" s="1"/>
      <c r="D62" s="1"/>
      <c r="E62" s="1"/>
      <c r="F62" s="1"/>
      <c r="G62" s="1"/>
      <c r="H62" s="1"/>
      <c r="I62" s="1"/>
      <c r="J62" s="1"/>
      <c r="K62" s="1"/>
      <c r="L62" s="187"/>
      <c r="M62" s="187"/>
      <c r="N62" s="194"/>
      <c r="O62" s="187"/>
      <c r="P62" s="187"/>
      <c r="Q62" s="187"/>
      <c r="R62" s="187"/>
      <c r="S62" s="187"/>
      <c r="T62" s="187"/>
      <c r="U62" s="187"/>
      <c r="V62" s="187"/>
      <c r="W62" s="187"/>
      <c r="X62" s="188"/>
      <c r="AC62" s="187"/>
    </row>
    <row r="63" spans="1:29" x14ac:dyDescent="0.2">
      <c r="A63" s="1"/>
      <c r="B63" s="1"/>
      <c r="C63" s="1"/>
      <c r="D63" s="1"/>
      <c r="E63" s="1"/>
      <c r="F63" s="1"/>
      <c r="G63" s="1"/>
      <c r="H63" s="1"/>
      <c r="I63" s="1"/>
      <c r="J63" s="1"/>
      <c r="K63" s="1"/>
      <c r="L63" s="187"/>
      <c r="M63" s="187"/>
      <c r="N63" s="194"/>
      <c r="O63" s="187"/>
      <c r="P63" s="187"/>
      <c r="Q63" s="187"/>
      <c r="R63" s="187"/>
      <c r="S63" s="187"/>
      <c r="T63" s="187"/>
      <c r="U63" s="187"/>
      <c r="V63" s="187"/>
      <c r="W63" s="187"/>
      <c r="X63" s="188"/>
      <c r="AC63" s="187"/>
    </row>
    <row r="64" spans="1:29" x14ac:dyDescent="0.2">
      <c r="A64" s="1"/>
      <c r="B64" s="1"/>
      <c r="C64" s="1"/>
      <c r="D64" s="1"/>
      <c r="E64" s="1"/>
      <c r="F64" s="1"/>
      <c r="G64" s="1"/>
      <c r="H64" s="1"/>
      <c r="I64" s="1"/>
      <c r="J64" s="1"/>
      <c r="K64" s="1"/>
      <c r="L64" s="82"/>
      <c r="M64" s="82"/>
      <c r="N64" s="7"/>
      <c r="O64" s="82"/>
      <c r="P64" s="82"/>
      <c r="Q64" s="82"/>
      <c r="R64" s="82"/>
      <c r="S64" s="82"/>
      <c r="T64" s="82"/>
      <c r="U64" s="82"/>
      <c r="V64" s="82"/>
      <c r="W64" s="187"/>
      <c r="X64" s="188"/>
      <c r="AC64" s="82"/>
    </row>
  </sheetData>
  <sheetProtection algorithmName="SHA-512" hashValue="sfIezWo2aE24TzRqcHkUADIvNs8ITnk28ieHYQlqmIk0btiokKabWgR1HR5QkR/MAbPdSCOXuVSQQrOgdqSNJg==" saltValue="b6IEsgFhFq8oNPtWqbT9OA==" spinCount="100000" sheet="1" objects="1" scenarios="1"/>
  <mergeCells count="49">
    <mergeCell ref="L48:L50"/>
    <mergeCell ref="M48:M50"/>
    <mergeCell ref="N48:N50"/>
    <mergeCell ref="L51:L53"/>
    <mergeCell ref="M51:M53"/>
    <mergeCell ref="N51:N53"/>
    <mergeCell ref="L42:L44"/>
    <mergeCell ref="M42:M44"/>
    <mergeCell ref="N42:N44"/>
    <mergeCell ref="L45:L47"/>
    <mergeCell ref="M45:M47"/>
    <mergeCell ref="N45:N47"/>
    <mergeCell ref="L8:M8"/>
    <mergeCell ref="N11:N13"/>
    <mergeCell ref="M18:M20"/>
    <mergeCell ref="N18:N20"/>
    <mergeCell ref="Q58:S58"/>
    <mergeCell ref="M58:N58"/>
    <mergeCell ref="Q57:S57"/>
    <mergeCell ref="Q56:S56"/>
    <mergeCell ref="L56:N56"/>
    <mergeCell ref="M57:N57"/>
    <mergeCell ref="L30:L32"/>
    <mergeCell ref="M30:M32"/>
    <mergeCell ref="N30:N32"/>
    <mergeCell ref="M33:M35"/>
    <mergeCell ref="N33:N35"/>
    <mergeCell ref="L36:L38"/>
    <mergeCell ref="L59:N59"/>
    <mergeCell ref="L11:L13"/>
    <mergeCell ref="M11:M13"/>
    <mergeCell ref="L14:M17"/>
    <mergeCell ref="N14:N17"/>
    <mergeCell ref="L18:L20"/>
    <mergeCell ref="L21:L23"/>
    <mergeCell ref="M21:M23"/>
    <mergeCell ref="N21:N23"/>
    <mergeCell ref="L24:L26"/>
    <mergeCell ref="M24:M26"/>
    <mergeCell ref="N24:N26"/>
    <mergeCell ref="L27:L29"/>
    <mergeCell ref="M27:M29"/>
    <mergeCell ref="N27:N29"/>
    <mergeCell ref="L33:L35"/>
    <mergeCell ref="M36:M38"/>
    <mergeCell ref="N36:N38"/>
    <mergeCell ref="L39:L41"/>
    <mergeCell ref="M39:M41"/>
    <mergeCell ref="N39:N41"/>
  </mergeCells>
  <phoneticPr fontId="20" type="noConversion"/>
  <conditionalFormatting sqref="L11:N11 L12:M13 L18:N18">
    <cfRule type="expression" dxfId="83" priority="1069" stopIfTrue="1">
      <formula>$C13=1</formula>
    </cfRule>
  </conditionalFormatting>
  <conditionalFormatting sqref="O11 O18">
    <cfRule type="expression" dxfId="82" priority="1141" stopIfTrue="1">
      <formula>$B13=FALSE</formula>
    </cfRule>
    <cfRule type="expression" dxfId="81" priority="1142" stopIfTrue="1">
      <formula>$C13=1</formula>
    </cfRule>
  </conditionalFormatting>
  <conditionalFormatting sqref="P12:W12">
    <cfRule type="expression" dxfId="80" priority="1131" stopIfTrue="1">
      <formula>AND(ISNUMBER(O13),O13&gt;=$N11)</formula>
    </cfRule>
    <cfRule type="cellIs" dxfId="79" priority="1132" stopIfTrue="1" operator="notBetween">
      <formula>0</formula>
      <formula>1</formula>
    </cfRule>
  </conditionalFormatting>
  <conditionalFormatting sqref="P13:W13">
    <cfRule type="expression" dxfId="78" priority="1133" stopIfTrue="1">
      <formula>AND(ISNUMBER(O13),O13&gt;=$N11)</formula>
    </cfRule>
    <cfRule type="cellIs" dxfId="77" priority="1134" stopIfTrue="1" operator="notBetween">
      <formula>0</formula>
      <formula>$N11</formula>
    </cfRule>
  </conditionalFormatting>
  <conditionalFormatting sqref="P14:W14">
    <cfRule type="expression" dxfId="76" priority="1135" stopIfTrue="1">
      <formula>AND(ISNUMBER(O17),O17&gt;=$N14)</formula>
    </cfRule>
  </conditionalFormatting>
  <conditionalFormatting sqref="P15:W15">
    <cfRule type="expression" dxfId="75" priority="1136" stopIfTrue="1">
      <formula>AND(ISNUMBER(O17),O17&gt;=$N14)</formula>
    </cfRule>
  </conditionalFormatting>
  <conditionalFormatting sqref="P16:W16">
    <cfRule type="expression" dxfId="74" priority="1137" stopIfTrue="1">
      <formula>AND(ISNUMBER(O17),O17&gt;=$N14)</formula>
    </cfRule>
    <cfRule type="cellIs" dxfId="73" priority="1138" stopIfTrue="1" operator="notBetween">
      <formula>0</formula>
      <formula>1</formula>
    </cfRule>
  </conditionalFormatting>
  <conditionalFormatting sqref="P17:W17">
    <cfRule type="expression" dxfId="72" priority="1139" stopIfTrue="1">
      <formula>AND(ISNUMBER(O17),O17&gt;=$N14)</formula>
    </cfRule>
    <cfRule type="cellIs" dxfId="71" priority="1140" stopIfTrue="1" operator="notBetween">
      <formula>0</formula>
      <formula>$N14</formula>
    </cfRule>
  </conditionalFormatting>
  <conditionalFormatting sqref="L8">
    <cfRule type="cellIs" dxfId="70" priority="1126" stopIfTrue="1" operator="notEqual">
      <formula>""</formula>
    </cfRule>
  </conditionalFormatting>
  <conditionalFormatting sqref="N9">
    <cfRule type="expression" dxfId="69" priority="1125" stopIfTrue="1">
      <formula>TipoOrçamento&lt;&gt;"REPROGRAMADOAC"</formula>
    </cfRule>
  </conditionalFormatting>
  <conditionalFormatting sqref="L19:M20">
    <cfRule type="expression" dxfId="68" priority="1960" stopIfTrue="1">
      <formula>#REF!=1</formula>
    </cfRule>
  </conditionalFormatting>
  <conditionalFormatting sqref="P11:W11">
    <cfRule type="expression" dxfId="67" priority="280" stopIfTrue="1">
      <formula>AND(ISNUMBER(O13),O13&gt;=$N11)</formula>
    </cfRule>
    <cfRule type="expression" dxfId="66" priority="281" stopIfTrue="1">
      <formula>$B13=FALSE</formula>
    </cfRule>
    <cfRule type="expression" dxfId="65" priority="282" stopIfTrue="1">
      <formula>$C13=1</formula>
    </cfRule>
  </conditionalFormatting>
  <conditionalFormatting sqref="P19:W19">
    <cfRule type="expression" dxfId="64" priority="231" stopIfTrue="1">
      <formula>AND(ISNUMBER(O20),O20&gt;=$N18)</formula>
    </cfRule>
    <cfRule type="cellIs" dxfId="63" priority="232" stopIfTrue="1" operator="notBetween">
      <formula>0</formula>
      <formula>1</formula>
    </cfRule>
  </conditionalFormatting>
  <conditionalFormatting sqref="P20:W20">
    <cfRule type="expression" dxfId="62" priority="233" stopIfTrue="1">
      <formula>AND(ISNUMBER(O20),O20&gt;=$N18)</formula>
    </cfRule>
    <cfRule type="cellIs" dxfId="61" priority="234" stopIfTrue="1" operator="notBetween">
      <formula>0</formula>
      <formula>$N18</formula>
    </cfRule>
  </conditionalFormatting>
  <conditionalFormatting sqref="O10:W10">
    <cfRule type="expression" dxfId="60" priority="203" stopIfTrue="1">
      <formula>1=1</formula>
    </cfRule>
  </conditionalFormatting>
  <conditionalFormatting sqref="P18:W18">
    <cfRule type="expression" dxfId="59" priority="158" stopIfTrue="1">
      <formula>AND(ISNUMBER(O20),O20&gt;=$N18)</formula>
    </cfRule>
    <cfRule type="expression" dxfId="58" priority="159" stopIfTrue="1">
      <formula>$B20=FALSE</formula>
    </cfRule>
    <cfRule type="expression" dxfId="57" priority="160" stopIfTrue="1">
      <formula>$C20=1</formula>
    </cfRule>
  </conditionalFormatting>
  <conditionalFormatting sqref="AC18">
    <cfRule type="expression" dxfId="56" priority="78" stopIfTrue="1">
      <formula>AND(ISNUMBER(AB20),AB20&gt;=$N18)</formula>
    </cfRule>
    <cfRule type="expression" dxfId="55" priority="79" stopIfTrue="1">
      <formula>$B20=FALSE</formula>
    </cfRule>
    <cfRule type="expression" dxfId="54" priority="80" stopIfTrue="1">
      <formula>$C20=1</formula>
    </cfRule>
  </conditionalFormatting>
  <conditionalFormatting sqref="AC12">
    <cfRule type="expression" dxfId="53" priority="93" stopIfTrue="1">
      <formula>AND(ISNUMBER(AB13),AB13&gt;=$N11)</formula>
    </cfRule>
    <cfRule type="cellIs" dxfId="52" priority="94" stopIfTrue="1" operator="notBetween">
      <formula>0</formula>
      <formula>1</formula>
    </cfRule>
  </conditionalFormatting>
  <conditionalFormatting sqref="AC13">
    <cfRule type="expression" dxfId="51" priority="95" stopIfTrue="1">
      <formula>AND(ISNUMBER(AB13),AB13&gt;=$N11)</formula>
    </cfRule>
    <cfRule type="cellIs" dxfId="50" priority="96" stopIfTrue="1" operator="notBetween">
      <formula>0</formula>
      <formula>$N11</formula>
    </cfRule>
  </conditionalFormatting>
  <conditionalFormatting sqref="AC14">
    <cfRule type="expression" dxfId="49" priority="97" stopIfTrue="1">
      <formula>AND(ISNUMBER(AB17),AB17&gt;=$N14)</formula>
    </cfRule>
  </conditionalFormatting>
  <conditionalFormatting sqref="AC15">
    <cfRule type="expression" dxfId="48" priority="98" stopIfTrue="1">
      <formula>AND(ISNUMBER(AB17),AB17&gt;=$N14)</formula>
    </cfRule>
  </conditionalFormatting>
  <conditionalFormatting sqref="AC16">
    <cfRule type="expression" dxfId="47" priority="99" stopIfTrue="1">
      <formula>AND(ISNUMBER(AB17),AB17&gt;=$N14)</formula>
    </cfRule>
    <cfRule type="cellIs" dxfId="46" priority="100" stopIfTrue="1" operator="notBetween">
      <formula>0</formula>
      <formula>1</formula>
    </cfRule>
  </conditionalFormatting>
  <conditionalFormatting sqref="AC17">
    <cfRule type="expression" dxfId="45" priority="101" stopIfTrue="1">
      <formula>AND(ISNUMBER(AB17),AB17&gt;=$N14)</formula>
    </cfRule>
    <cfRule type="cellIs" dxfId="44" priority="102" stopIfTrue="1" operator="notBetween">
      <formula>0</formula>
      <formula>$N14</formula>
    </cfRule>
  </conditionalFormatting>
  <conditionalFormatting sqref="AC11">
    <cfRule type="expression" dxfId="43" priority="90" stopIfTrue="1">
      <formula>AND(ISNUMBER(AB13),AB13&gt;=$N11)</formula>
    </cfRule>
    <cfRule type="expression" dxfId="42" priority="91" stopIfTrue="1">
      <formula>$B13=FALSE</formula>
    </cfRule>
    <cfRule type="expression" dxfId="41" priority="92" stopIfTrue="1">
      <formula>$C13=1</formula>
    </cfRule>
  </conditionalFormatting>
  <conditionalFormatting sqref="AC19">
    <cfRule type="expression" dxfId="40" priority="86" stopIfTrue="1">
      <formula>AND(ISNUMBER(AB20),AB20&gt;=$N18)</formula>
    </cfRule>
    <cfRule type="cellIs" dxfId="39" priority="87" stopIfTrue="1" operator="notBetween">
      <formula>0</formula>
      <formula>1</formula>
    </cfRule>
  </conditionalFormatting>
  <conditionalFormatting sqref="AC20">
    <cfRule type="expression" dxfId="38" priority="88" stopIfTrue="1">
      <formula>AND(ISNUMBER(AB20),AB20&gt;=$N18)</formula>
    </cfRule>
    <cfRule type="cellIs" dxfId="37" priority="89" stopIfTrue="1" operator="notBetween">
      <formula>0</formula>
      <formula>$N18</formula>
    </cfRule>
  </conditionalFormatting>
  <conditionalFormatting sqref="AC10">
    <cfRule type="expression" dxfId="36" priority="81" stopIfTrue="1">
      <formula>1=1</formula>
    </cfRule>
  </conditionalFormatting>
  <conditionalFormatting sqref="L21:N21 L24:N24 L27:N27 L30:N30 L33:N33 L36:N36 L39:N39 L22:M23 L25:M26 L28:M29 L31:M32 L34:M35 L37:M38">
    <cfRule type="expression" dxfId="35" priority="62" stopIfTrue="1">
      <formula>$C23=1</formula>
    </cfRule>
  </conditionalFormatting>
  <conditionalFormatting sqref="O21 O24 O27 O30 O33 O36 O39">
    <cfRule type="expression" dxfId="34" priority="67" stopIfTrue="1">
      <formula>$B23=FALSE</formula>
    </cfRule>
    <cfRule type="expression" dxfId="33" priority="68" stopIfTrue="1">
      <formula>$C23=1</formula>
    </cfRule>
  </conditionalFormatting>
  <conditionalFormatting sqref="P22:W22 P25:W25 P28:W28 P31:W31 P34:W34 P37:W37 P40:W40">
    <cfRule type="expression" dxfId="32" priority="63" stopIfTrue="1">
      <formula>AND(ISNUMBER(O23),O23&gt;=$N21)</formula>
    </cfRule>
    <cfRule type="cellIs" dxfId="31" priority="64" stopIfTrue="1" operator="notBetween">
      <formula>0</formula>
      <formula>1</formula>
    </cfRule>
  </conditionalFormatting>
  <conditionalFormatting sqref="P23:W23 P26:W26 P29:W29 P32:W32 P35:W35 P38:W38 P41:W41">
    <cfRule type="expression" dxfId="30" priority="65" stopIfTrue="1">
      <formula>AND(ISNUMBER(O23),O23&gt;=$N21)</formula>
    </cfRule>
    <cfRule type="cellIs" dxfId="29" priority="66" stopIfTrue="1" operator="notBetween">
      <formula>0</formula>
      <formula>$N21</formula>
    </cfRule>
  </conditionalFormatting>
  <conditionalFormatting sqref="P21:W21 P24:W24 P27:W27 P30:W30 P33:W33 P36:W36 P39:W39">
    <cfRule type="expression" dxfId="28" priority="59" stopIfTrue="1">
      <formula>AND(ISNUMBER(O23),O23&gt;=$N21)</formula>
    </cfRule>
    <cfRule type="expression" dxfId="27" priority="60" stopIfTrue="1">
      <formula>$B23=FALSE</formula>
    </cfRule>
    <cfRule type="expression" dxfId="26" priority="61" stopIfTrue="1">
      <formula>$C23=1</formula>
    </cfRule>
  </conditionalFormatting>
  <conditionalFormatting sqref="AC22 AC25 AC28 AC31 AC34 AC37 AC40">
    <cfRule type="expression" dxfId="25" priority="55" stopIfTrue="1">
      <formula>AND(ISNUMBER(AB23),AB23&gt;=$N21)</formula>
    </cfRule>
    <cfRule type="cellIs" dxfId="24" priority="56" stopIfTrue="1" operator="notBetween">
      <formula>0</formula>
      <formula>1</formula>
    </cfRule>
  </conditionalFormatting>
  <conditionalFormatting sqref="AC23 AC26 AC29 AC32 AC35 AC38 AC41">
    <cfRule type="expression" dxfId="23" priority="57" stopIfTrue="1">
      <formula>AND(ISNUMBER(AB23),AB23&gt;=$N21)</formula>
    </cfRule>
    <cfRule type="cellIs" dxfId="22" priority="58" stopIfTrue="1" operator="notBetween">
      <formula>0</formula>
      <formula>$N21</formula>
    </cfRule>
  </conditionalFormatting>
  <conditionalFormatting sqref="AC21 AC24 AC27 AC30 AC33 AC36 AC39">
    <cfRule type="expression" dxfId="21" priority="52" stopIfTrue="1">
      <formula>AND(ISNUMBER(AB23),AB23&gt;=$N21)</formula>
    </cfRule>
    <cfRule type="expression" dxfId="20" priority="53" stopIfTrue="1">
      <formula>$B23=FALSE</formula>
    </cfRule>
    <cfRule type="expression" dxfId="19" priority="54" stopIfTrue="1">
      <formula>$C23=1</formula>
    </cfRule>
  </conditionalFormatting>
  <conditionalFormatting sqref="L40:M41">
    <cfRule type="expression" dxfId="18" priority="2932" stopIfTrue="1">
      <formula>#REF!=1</formula>
    </cfRule>
  </conditionalFormatting>
  <conditionalFormatting sqref="L42:N42 L45:N45 L48:N48 L51:N51 L43:M44 L46:M47 L49:M50">
    <cfRule type="expression" dxfId="17" priority="28" stopIfTrue="1">
      <formula>$C44=1</formula>
    </cfRule>
  </conditionalFormatting>
  <conditionalFormatting sqref="O42 O45 O48 O51">
    <cfRule type="expression" dxfId="16" priority="33" stopIfTrue="1">
      <formula>$B44=FALSE</formula>
    </cfRule>
    <cfRule type="expression" dxfId="15" priority="34" stopIfTrue="1">
      <formula>$C44=1</formula>
    </cfRule>
  </conditionalFormatting>
  <conditionalFormatting sqref="P43:W43 P46:W46 P49:W49 P52:W52">
    <cfRule type="expression" dxfId="14" priority="29" stopIfTrue="1">
      <formula>AND(ISNUMBER(O44),O44&gt;=$N42)</formula>
    </cfRule>
    <cfRule type="cellIs" dxfId="13" priority="30" stopIfTrue="1" operator="notBetween">
      <formula>0</formula>
      <formula>1</formula>
    </cfRule>
  </conditionalFormatting>
  <conditionalFormatting sqref="P44:W44 P47:W47 P50:W50 P53:W53">
    <cfRule type="expression" dxfId="12" priority="31" stopIfTrue="1">
      <formula>AND(ISNUMBER(O44),O44&gt;=$N42)</formula>
    </cfRule>
    <cfRule type="cellIs" dxfId="11" priority="32" stopIfTrue="1" operator="notBetween">
      <formula>0</formula>
      <formula>$N42</formula>
    </cfRule>
  </conditionalFormatting>
  <conditionalFormatting sqref="P42:W42 P45:W45 P48:W48 P51:W51">
    <cfRule type="expression" dxfId="10" priority="25" stopIfTrue="1">
      <formula>AND(ISNUMBER(O44),O44&gt;=$N42)</formula>
    </cfRule>
    <cfRule type="expression" dxfId="9" priority="26" stopIfTrue="1">
      <formula>$B44=FALSE</formula>
    </cfRule>
    <cfRule type="expression" dxfId="8" priority="27" stopIfTrue="1">
      <formula>$C44=1</formula>
    </cfRule>
  </conditionalFormatting>
  <conditionalFormatting sqref="AC43 AC46 AC49 AC52">
    <cfRule type="expression" dxfId="7" priority="21" stopIfTrue="1">
      <formula>AND(ISNUMBER(AB44),AB44&gt;=$N42)</formula>
    </cfRule>
    <cfRule type="cellIs" dxfId="6" priority="22" stopIfTrue="1" operator="notBetween">
      <formula>0</formula>
      <formula>1</formula>
    </cfRule>
  </conditionalFormatting>
  <conditionalFormatting sqref="AC44 AC47 AC50 AC53">
    <cfRule type="expression" dxfId="5" priority="23" stopIfTrue="1">
      <formula>AND(ISNUMBER(AB44),AB44&gt;=$N42)</formula>
    </cfRule>
    <cfRule type="cellIs" dxfId="4" priority="24" stopIfTrue="1" operator="notBetween">
      <formula>0</formula>
      <formula>$N42</formula>
    </cfRule>
  </conditionalFormatting>
  <conditionalFormatting sqref="AC42 AC45 AC48 AC51">
    <cfRule type="expression" dxfId="3" priority="18" stopIfTrue="1">
      <formula>AND(ISNUMBER(AB44),AB44&gt;=$N42)</formula>
    </cfRule>
    <cfRule type="expression" dxfId="2" priority="19" stopIfTrue="1">
      <formula>$B44=FALSE</formula>
    </cfRule>
    <cfRule type="expression" dxfId="1" priority="20" stopIfTrue="1">
      <formula>$C44=1</formula>
    </cfRule>
  </conditionalFormatting>
  <conditionalFormatting sqref="L52:M53">
    <cfRule type="expression" dxfId="0" priority="5022"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500-000000000000}">
      <formula1>0</formula1>
    </dataValidation>
    <dataValidation type="decimal" allowBlank="1" showInputMessage="1" showErrorMessage="1" errorTitle="Erro de Dados" error="Digite valores maiores ou iguais à 0%. O % acumulado não deve ultrapassar 100%." sqref="P11:W11 P18:W18 AC11 AC18 P21:W21 P24:W24 P27:W27 P30:W30 P33:W33 P36:W36 P39:W39 AC21 AC24 AC27 AC30 AC33 AC36 AC39 P42:W42 P45:W45 P48:W48 P51:W51 AC42 AC45 AC48 AC51" xr:uid="{00000000-0002-0000-0500-00000100000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55" fitToWidth="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60</vt:i4>
      </vt:variant>
    </vt:vector>
  </HeadingPairs>
  <TitlesOfParts>
    <vt:vector size="66"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 do Windows</dc:creator>
  <cp:lastModifiedBy>MDT Store</cp:lastModifiedBy>
  <cp:lastPrinted>2023-06-27T19:21:12Z</cp:lastPrinted>
  <dcterms:created xsi:type="dcterms:W3CDTF">1998-03-27T18:43:07Z</dcterms:created>
  <dcterms:modified xsi:type="dcterms:W3CDTF">2023-07-03T11:21:34Z</dcterms:modified>
</cp:coreProperties>
</file>