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EstaPasta_de_trabalho"/>
  <mc:AlternateContent xmlns:mc="http://schemas.openxmlformats.org/markup-compatibility/2006">
    <mc:Choice Requires="x15">
      <x15ac:absPath xmlns:x15ac="http://schemas.microsoft.com/office/spreadsheetml/2010/11/ac" url="\\192.168.10.10\Engenharia\Engenharia 2023\REFORMA DA ESCOLA AMANDIO ARAÚJO (TELHADO CRECHE)\LICITAÇÃO\"/>
    </mc:Choice>
  </mc:AlternateContent>
  <xr:revisionPtr revIDLastSave="0" documentId="13_ncr:1_{DEEFBD65-6EE5-4E95-A1AF-D8816D205793}" xr6:coauthVersionLast="47" xr6:coauthVersionMax="47" xr10:uidLastSave="{00000000-0000-0000-0000-000000000000}"/>
  <bookViews>
    <workbookView xWindow="-120" yWindow="-120" windowWidth="20730" windowHeight="11040" activeTab="2" xr2:uid="{00000000-000D-0000-FFFF-FFFF00000000}"/>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CFF!$L$1:$X$96</definedName>
    <definedName name="_xlnm.Print_Area" localSheetId="0">DADOS!$A$1:$X$87</definedName>
    <definedName name="_xlnm.Print_Area" localSheetId="3">PLQ!$B$1:$P$117</definedName>
    <definedName name="_xlnm.Print_Area" localSheetId="2">PO!$K$1:$T$126</definedName>
    <definedName name="_xlnm.Database">TEXT(Import.DataBase,"mm-aaaa")</definedName>
    <definedName name="CFF.ColunaPadrão">CFF!$AC:$AC</definedName>
    <definedName name="CFF.Colunas">CFF!$P$10:$X$10</definedName>
    <definedName name="CFF.Dados">OFFSET(CFF!$L$17,1,0):OFFSET(CFF!$X$90,-1,-1)</definedName>
    <definedName name="CFF.IncluirLinha">MAX(PO!$V$12:$V$111)*CFF.NumLinha-ROW(CFF!$F$90)+ROW(CFF!$F$17)+1</definedName>
    <definedName name="CFF.Item">OFFSET(CFF!$L$17,1,0):OFFSET(CFF!$X$90,-1,-1)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OFFSET(PO!$M$12,1,0):OFFSET(PO!$M$111,-1,0)</definedName>
    <definedName name="Import.CR">DADOS!$A$29</definedName>
    <definedName name="Import.CTEF">DADOS!$A$43</definedName>
    <definedName name="Import.CustoUnitário">OFFSET(PO!$Q$12,1,0):OFFSET(PO!$Q$111,-1,0)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OFFSET(PO!$N$12,1,0):OFFSET(PO!$N$111,-1,0)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OFFSET(PO!$L$12,1,0):OFFSET(PO!$L$111,-1,0)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OFFSET(PO!$K$12,1,0):OFFSET(PO!$K$111,-1,0)</definedName>
    <definedName name="Import.Localidade">DADOS!$K$32</definedName>
    <definedName name="Import.LocalSINAPI">DADOS!$D$38</definedName>
    <definedName name="Import.Município">DADOS!$G$32</definedName>
    <definedName name="Import.Nível">OFFSET(PO!$J$12,1,0):OFFSET(PO!$J$111,-1,0)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OFFSET(PLQ!$F$12,1,0):OFFSET(PLQ!$P$111,-1,-1)</definedName>
    <definedName name="Import.POArred">PO!$X$3:$X$7</definedName>
    <definedName name="Import.PreçoTotal">OFFSET(PO!$T$12,1,0):OFFSET(PO!$T$111,-1,0)</definedName>
    <definedName name="Import.PreçoUnitário">OFFSET(PO!$S$12,1,0):OFFSET(PO!$S$111,-1,0)</definedName>
    <definedName name="Import.Programa">DADOS!$F$29</definedName>
    <definedName name="Import.Proponente">DADOS!$A$32</definedName>
    <definedName name="Import.Quantidade">OFFSET(PO!$P$12,1,0):OFFSET(PO!$P$111,-1,0)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OFFSET(PO!$O$12,1,0):OFFSET(PO!$O$111,-1,0)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OFFSET(PO!$Z$12,1,0):OFFSET(PO!$Z$111,-1,0)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PO!$K$112</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PLQ!$B$9:OFFSET(PLQ!$B$111,-1,0)</definedName>
    <definedName name="PLQ.LinhaPadrão">PLQ!$A$11:$P$11</definedName>
    <definedName name="PLQ.qtde.frentes">COUNTA(PLQ!$F$9:$P$9)</definedName>
    <definedName name="PO.BDI">OFFSET(PO!$R$12,1,0):OFFSET(PO!$R$111,-1,0)</definedName>
    <definedName name="PO.CustoRef">OFFSET(PO!$Y$12,1,0):OFFSET(PO!$Y$111,-1,0)</definedName>
    <definedName name="PO.CustoUnitario">ROUND(PO!$Q1,15-13*PO!$X$4)</definedName>
    <definedName name="PO.Dados">PO!$C$12:OFFSET(PO!$Z$111,-1,0)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5" i="13" l="1"/>
  <c r="A95" i="13"/>
  <c r="W95" i="12"/>
  <c r="A95" i="12"/>
  <c r="V95" i="12" s="1"/>
  <c r="F102" i="13"/>
  <c r="A102" i="13"/>
  <c r="W102" i="12"/>
  <c r="V102" i="12"/>
  <c r="A102" i="12"/>
  <c r="H102" i="12" s="1"/>
  <c r="F55" i="13"/>
  <c r="A55" i="13"/>
  <c r="W55" i="12"/>
  <c r="A55" i="12"/>
  <c r="V55" i="12" s="1"/>
  <c r="F73" i="13"/>
  <c r="A73" i="13"/>
  <c r="F72" i="13"/>
  <c r="A72" i="13"/>
  <c r="F71" i="13"/>
  <c r="A71" i="13"/>
  <c r="F70" i="13"/>
  <c r="A70" i="13"/>
  <c r="F69" i="13"/>
  <c r="A69" i="13"/>
  <c r="E69" i="13" s="1"/>
  <c r="W73" i="12"/>
  <c r="A73" i="12"/>
  <c r="V73" i="12" s="1"/>
  <c r="W72" i="12"/>
  <c r="A72" i="12"/>
  <c r="V72" i="12" s="1"/>
  <c r="W71" i="12"/>
  <c r="A71" i="12"/>
  <c r="H71" i="12" s="1"/>
  <c r="W70" i="12"/>
  <c r="A70" i="12"/>
  <c r="V70" i="12" s="1"/>
  <c r="X69" i="12"/>
  <c r="W69" i="12"/>
  <c r="A69" i="12"/>
  <c r="F20" i="13"/>
  <c r="A20" i="13"/>
  <c r="F19" i="13"/>
  <c r="A19" i="13"/>
  <c r="W20" i="12"/>
  <c r="A20" i="12"/>
  <c r="V20" i="12" s="1"/>
  <c r="X19" i="12"/>
  <c r="D19" i="13" s="1"/>
  <c r="W19" i="12"/>
  <c r="A19" i="12"/>
  <c r="F67" i="13"/>
  <c r="A67" i="13"/>
  <c r="W67" i="12"/>
  <c r="A67" i="12"/>
  <c r="H67" i="12" s="1"/>
  <c r="F15" i="13"/>
  <c r="A15" i="13"/>
  <c r="X15" i="12"/>
  <c r="D15" i="13" s="1"/>
  <c r="W15" i="12"/>
  <c r="C15" i="13"/>
  <c r="A15" i="12"/>
  <c r="F26" i="13"/>
  <c r="A26" i="13"/>
  <c r="F25" i="13"/>
  <c r="A25" i="13"/>
  <c r="F24" i="13"/>
  <c r="A24" i="13"/>
  <c r="F23" i="13"/>
  <c r="A23" i="13"/>
  <c r="F22" i="13"/>
  <c r="A22" i="13"/>
  <c r="F21" i="13"/>
  <c r="A21" i="13"/>
  <c r="F18" i="13"/>
  <c r="A18" i="13"/>
  <c r="F17" i="13"/>
  <c r="A17" i="13"/>
  <c r="F16" i="13"/>
  <c r="A16" i="13"/>
  <c r="F14" i="13"/>
  <c r="A14" i="13"/>
  <c r="X26" i="12"/>
  <c r="D26" i="13" s="1"/>
  <c r="W26" i="12"/>
  <c r="A26" i="12"/>
  <c r="V26" i="12" s="1"/>
  <c r="W25" i="12"/>
  <c r="A25" i="12"/>
  <c r="V25" i="12" s="1"/>
  <c r="X24" i="12"/>
  <c r="D24" i="13" s="1"/>
  <c r="W24" i="12"/>
  <c r="A24" i="12"/>
  <c r="W23" i="12"/>
  <c r="A23" i="12"/>
  <c r="V23" i="12" s="1"/>
  <c r="W22" i="12"/>
  <c r="A22" i="12"/>
  <c r="V22" i="12" s="1"/>
  <c r="X21" i="12"/>
  <c r="D21" i="13" s="1"/>
  <c r="W21" i="12"/>
  <c r="A21" i="12"/>
  <c r="W18" i="12"/>
  <c r="A18" i="12"/>
  <c r="V18" i="12" s="1"/>
  <c r="W17" i="12"/>
  <c r="A17" i="12"/>
  <c r="V17" i="12" s="1"/>
  <c r="W16" i="12"/>
  <c r="A16" i="12"/>
  <c r="V16" i="12" s="1"/>
  <c r="X14" i="12"/>
  <c r="D14" i="13" s="1"/>
  <c r="W14" i="12"/>
  <c r="A14" i="12"/>
  <c r="F66" i="13"/>
  <c r="A66" i="13"/>
  <c r="F65" i="13"/>
  <c r="A65" i="13"/>
  <c r="F64" i="13"/>
  <c r="A64" i="13"/>
  <c r="E64" i="13" s="1"/>
  <c r="W66" i="12"/>
  <c r="A66" i="12"/>
  <c r="V66" i="12" s="1"/>
  <c r="W65" i="12"/>
  <c r="A65" i="12"/>
  <c r="V65" i="12" s="1"/>
  <c r="X64" i="12"/>
  <c r="W64" i="12"/>
  <c r="A64" i="12"/>
  <c r="F94" i="13"/>
  <c r="A94" i="13"/>
  <c r="W94" i="12"/>
  <c r="A94" i="12"/>
  <c r="V94" i="12" s="1"/>
  <c r="P106" i="12"/>
  <c r="B55" i="12" l="1"/>
  <c r="H55" i="12"/>
  <c r="E95" i="13"/>
  <c r="B95" i="12"/>
  <c r="B102" i="12"/>
  <c r="I95" i="12"/>
  <c r="H95" i="12"/>
  <c r="E102" i="13"/>
  <c r="I102" i="12"/>
  <c r="E55" i="13"/>
  <c r="H70" i="12"/>
  <c r="H72" i="12"/>
  <c r="H73" i="12"/>
  <c r="V71" i="12"/>
  <c r="I55" i="12"/>
  <c r="E71" i="13"/>
  <c r="E73" i="13"/>
  <c r="E72" i="13"/>
  <c r="C69" i="13"/>
  <c r="E70" i="13"/>
  <c r="I70" i="12"/>
  <c r="I71" i="12"/>
  <c r="I72" i="12"/>
  <c r="I73" i="12"/>
  <c r="V67" i="12"/>
  <c r="B70" i="12"/>
  <c r="B71" i="12"/>
  <c r="B72" i="12"/>
  <c r="B73" i="12"/>
  <c r="E19" i="13"/>
  <c r="B20" i="12"/>
  <c r="I20" i="12"/>
  <c r="E20" i="13"/>
  <c r="H20" i="12"/>
  <c r="E67" i="13"/>
  <c r="B67" i="12"/>
  <c r="I67" i="12"/>
  <c r="E15" i="13"/>
  <c r="E25" i="13"/>
  <c r="I17" i="12"/>
  <c r="I18" i="12"/>
  <c r="I25" i="12"/>
  <c r="I26" i="12"/>
  <c r="E14" i="13"/>
  <c r="E17" i="13"/>
  <c r="E21" i="13"/>
  <c r="E23" i="13"/>
  <c r="B16" i="12"/>
  <c r="B17" i="12"/>
  <c r="B18" i="12"/>
  <c r="B22" i="12"/>
  <c r="B23" i="12"/>
  <c r="B25" i="12"/>
  <c r="B26" i="12"/>
  <c r="I16" i="12"/>
  <c r="I23" i="12"/>
  <c r="E65" i="13"/>
  <c r="E16" i="13"/>
  <c r="E18" i="13"/>
  <c r="E22" i="13"/>
  <c r="E24" i="13"/>
  <c r="E26" i="13"/>
  <c r="I22" i="12"/>
  <c r="H16" i="12"/>
  <c r="H17" i="12"/>
  <c r="H18" i="12"/>
  <c r="H22" i="12"/>
  <c r="H23" i="12"/>
  <c r="H25" i="12"/>
  <c r="H26" i="12"/>
  <c r="H65" i="12"/>
  <c r="B66" i="12"/>
  <c r="B65" i="12"/>
  <c r="H66" i="12"/>
  <c r="E66" i="13"/>
  <c r="H94" i="12"/>
  <c r="D64" i="13"/>
  <c r="B94" i="12"/>
  <c r="I65" i="12"/>
  <c r="I66" i="12"/>
  <c r="E94" i="13"/>
  <c r="I94" i="12"/>
  <c r="D69" i="13" l="1"/>
  <c r="C19" i="13"/>
  <c r="U26" i="12"/>
  <c r="C26" i="13"/>
  <c r="C24" i="13"/>
  <c r="C21" i="13"/>
  <c r="C14" i="13"/>
  <c r="C64" i="13"/>
  <c r="F40" i="13"/>
  <c r="A40" i="13"/>
  <c r="F39" i="13"/>
  <c r="A39" i="13"/>
  <c r="F38" i="13"/>
  <c r="A38" i="13"/>
  <c r="F37" i="13"/>
  <c r="A37" i="13"/>
  <c r="W40" i="12"/>
  <c r="A40" i="12"/>
  <c r="H40" i="12" s="1"/>
  <c r="X39" i="12"/>
  <c r="W39" i="12"/>
  <c r="A39" i="12"/>
  <c r="W38" i="12"/>
  <c r="A38" i="12"/>
  <c r="B38" i="12" s="1"/>
  <c r="W37" i="12"/>
  <c r="A37" i="12"/>
  <c r="H37" i="12" s="1"/>
  <c r="F36" i="13"/>
  <c r="A36" i="13"/>
  <c r="F35" i="13"/>
  <c r="A35" i="13"/>
  <c r="W36" i="12"/>
  <c r="A36" i="12"/>
  <c r="V36" i="12" s="1"/>
  <c r="X35" i="12"/>
  <c r="D35" i="13" s="1"/>
  <c r="W35" i="12"/>
  <c r="C35" i="13"/>
  <c r="A35" i="12"/>
  <c r="P107" i="12"/>
  <c r="F107" i="13" s="1"/>
  <c r="A107" i="13"/>
  <c r="W107" i="12"/>
  <c r="A107" i="12"/>
  <c r="H107" i="12" s="1"/>
  <c r="F108" i="13"/>
  <c r="A108" i="13"/>
  <c r="W108" i="12"/>
  <c r="A108" i="12"/>
  <c r="V108" i="12" s="1"/>
  <c r="F106" i="13"/>
  <c r="A106" i="13"/>
  <c r="W106" i="12"/>
  <c r="A106" i="12"/>
  <c r="V106" i="12" s="1"/>
  <c r="F110" i="13"/>
  <c r="A110" i="13"/>
  <c r="W110" i="12"/>
  <c r="A110" i="12"/>
  <c r="B110" i="12" s="1"/>
  <c r="F105" i="13"/>
  <c r="A105" i="13"/>
  <c r="W105" i="12"/>
  <c r="A105" i="12"/>
  <c r="V105" i="12" s="1"/>
  <c r="F82" i="13"/>
  <c r="A82" i="13"/>
  <c r="W82" i="12"/>
  <c r="A82" i="12"/>
  <c r="V82" i="12" s="1"/>
  <c r="B37" i="12" l="1"/>
  <c r="H38" i="12"/>
  <c r="V37" i="12"/>
  <c r="B40" i="12"/>
  <c r="V40" i="12"/>
  <c r="E38" i="13"/>
  <c r="E40" i="13"/>
  <c r="V38" i="12"/>
  <c r="D39" i="13"/>
  <c r="E37" i="13"/>
  <c r="E39" i="13"/>
  <c r="C39" i="13"/>
  <c r="H36" i="12"/>
  <c r="I37" i="12"/>
  <c r="I38" i="12"/>
  <c r="I40" i="12"/>
  <c r="E36" i="13"/>
  <c r="H108" i="12"/>
  <c r="I36" i="12"/>
  <c r="E35" i="13"/>
  <c r="B36" i="12"/>
  <c r="V107" i="12"/>
  <c r="B108" i="12"/>
  <c r="H110" i="12"/>
  <c r="I107" i="12"/>
  <c r="E107" i="13"/>
  <c r="V110" i="12"/>
  <c r="B107" i="12"/>
  <c r="E108" i="13"/>
  <c r="H106" i="12"/>
  <c r="I108" i="12"/>
  <c r="E110" i="13"/>
  <c r="I106" i="12"/>
  <c r="E106" i="13"/>
  <c r="B106" i="12"/>
  <c r="H105" i="12"/>
  <c r="I110" i="12"/>
  <c r="H82" i="12"/>
  <c r="I105" i="12"/>
  <c r="E105" i="13"/>
  <c r="B105" i="12"/>
  <c r="I82" i="12"/>
  <c r="E82" i="13"/>
  <c r="B82" i="12"/>
  <c r="X70" i="12"/>
  <c r="X71" i="12"/>
  <c r="X55" i="12"/>
  <c r="X102" i="12"/>
  <c r="X95" i="12"/>
  <c r="X72" i="12"/>
  <c r="X73" i="12"/>
  <c r="D73" i="13" l="1"/>
  <c r="D72" i="13"/>
  <c r="C95" i="13"/>
  <c r="D95" i="13"/>
  <c r="C102" i="13"/>
  <c r="D102" i="13"/>
  <c r="D55" i="13"/>
  <c r="C55" i="13"/>
  <c r="D70" i="13"/>
  <c r="C71" i="13"/>
  <c r="C70" i="13"/>
  <c r="D71" i="13"/>
  <c r="F79" i="13"/>
  <c r="A79" i="13"/>
  <c r="W79" i="12"/>
  <c r="A79" i="12"/>
  <c r="F78" i="13"/>
  <c r="A78" i="13"/>
  <c r="W78" i="12"/>
  <c r="A78" i="12"/>
  <c r="V78" i="12" s="1"/>
  <c r="F109" i="13"/>
  <c r="A109" i="13"/>
  <c r="W109" i="12"/>
  <c r="A109" i="12"/>
  <c r="I109" i="12" s="1"/>
  <c r="F93" i="13"/>
  <c r="A93" i="13"/>
  <c r="W93" i="12"/>
  <c r="A93" i="12"/>
  <c r="F81" i="13"/>
  <c r="A81" i="13"/>
  <c r="W81" i="12"/>
  <c r="A81" i="12"/>
  <c r="V81" i="12" s="1"/>
  <c r="F75" i="13"/>
  <c r="A75" i="13"/>
  <c r="W75" i="12"/>
  <c r="A75" i="12"/>
  <c r="I75" i="12" s="1"/>
  <c r="C72" i="13" l="1"/>
  <c r="C73" i="13"/>
  <c r="B109" i="12"/>
  <c r="E78" i="13"/>
  <c r="E79" i="13"/>
  <c r="H79" i="12"/>
  <c r="V79" i="12"/>
  <c r="I79" i="12"/>
  <c r="B79" i="12"/>
  <c r="B78" i="12"/>
  <c r="I78" i="12"/>
  <c r="H78" i="12"/>
  <c r="E109" i="13"/>
  <c r="H109" i="12"/>
  <c r="V109" i="12"/>
  <c r="E75" i="13"/>
  <c r="E93" i="13"/>
  <c r="H93" i="12"/>
  <c r="V93" i="12"/>
  <c r="I93" i="12"/>
  <c r="B93" i="12"/>
  <c r="B75" i="12"/>
  <c r="E81" i="13"/>
  <c r="B81" i="12"/>
  <c r="I81" i="12"/>
  <c r="H81" i="12"/>
  <c r="H75" i="12"/>
  <c r="V75" i="12"/>
  <c r="F54" i="13" l="1"/>
  <c r="A54" i="13"/>
  <c r="F53" i="13"/>
  <c r="A53" i="13"/>
  <c r="E53" i="13" s="1"/>
  <c r="W54" i="12"/>
  <c r="A54" i="12"/>
  <c r="V54" i="12" s="1"/>
  <c r="X53" i="12"/>
  <c r="D53" i="13" s="1"/>
  <c r="W53" i="12"/>
  <c r="C53" i="13"/>
  <c r="A53" i="12"/>
  <c r="F52" i="13"/>
  <c r="A52" i="13"/>
  <c r="W52" i="12"/>
  <c r="A52" i="12"/>
  <c r="I52" i="12" s="1"/>
  <c r="F43" i="13"/>
  <c r="A43" i="13"/>
  <c r="W43" i="12"/>
  <c r="A43" i="12"/>
  <c r="I43" i="12" s="1"/>
  <c r="B52" i="12" l="1"/>
  <c r="E54" i="13"/>
  <c r="B54" i="12"/>
  <c r="I54" i="12"/>
  <c r="H54" i="12"/>
  <c r="E52" i="13"/>
  <c r="H52" i="12"/>
  <c r="V52" i="12"/>
  <c r="B43" i="12"/>
  <c r="E43" i="13"/>
  <c r="H43" i="12"/>
  <c r="V43" i="12"/>
  <c r="F33" i="13"/>
  <c r="A33" i="13"/>
  <c r="W33" i="12"/>
  <c r="A33" i="12"/>
  <c r="X20" i="12"/>
  <c r="X22" i="12"/>
  <c r="X16" i="12"/>
  <c r="X38" i="12"/>
  <c r="X108" i="12"/>
  <c r="X25" i="12"/>
  <c r="X23" i="12"/>
  <c r="X65" i="12"/>
  <c r="X37" i="12"/>
  <c r="X106" i="12"/>
  <c r="X67" i="12"/>
  <c r="X18" i="12"/>
  <c r="X94" i="12"/>
  <c r="X36" i="12"/>
  <c r="X110" i="12"/>
  <c r="X66" i="12"/>
  <c r="X40" i="12"/>
  <c r="X107" i="12"/>
  <c r="X82" i="12"/>
  <c r="X17" i="12"/>
  <c r="X105" i="12"/>
  <c r="E33" i="13" l="1"/>
  <c r="H33" i="12"/>
  <c r="V33" i="12"/>
  <c r="I33" i="12"/>
  <c r="B33" i="12"/>
  <c r="F27" i="13"/>
  <c r="A27" i="13"/>
  <c r="E27" i="13" s="1"/>
  <c r="X27" i="12"/>
  <c r="W27" i="12"/>
  <c r="A27" i="12"/>
  <c r="C20" i="13" l="1"/>
  <c r="D20" i="13"/>
  <c r="C25" i="13"/>
  <c r="D25" i="13"/>
  <c r="C67" i="13"/>
  <c r="D67" i="13"/>
  <c r="C66" i="13"/>
  <c r="D66" i="13"/>
  <c r="C22" i="13"/>
  <c r="D22" i="13"/>
  <c r="C23" i="13"/>
  <c r="D23" i="13"/>
  <c r="D18" i="13"/>
  <c r="C18" i="13"/>
  <c r="D17" i="13"/>
  <c r="C17" i="13"/>
  <c r="C16" i="13"/>
  <c r="D16" i="13"/>
  <c r="D65" i="13"/>
  <c r="C65" i="13"/>
  <c r="D94" i="13"/>
  <c r="C94" i="13"/>
  <c r="C40" i="13"/>
  <c r="D40" i="13"/>
  <c r="C38" i="13"/>
  <c r="D37" i="13"/>
  <c r="D38" i="13"/>
  <c r="D36" i="13"/>
  <c r="C36" i="13"/>
  <c r="C37" i="13"/>
  <c r="D107" i="13"/>
  <c r="C107" i="13"/>
  <c r="D108" i="13"/>
  <c r="C108" i="13"/>
  <c r="D106" i="13"/>
  <c r="C106" i="13"/>
  <c r="D110" i="13"/>
  <c r="C110" i="13"/>
  <c r="D105" i="13"/>
  <c r="C105" i="13"/>
  <c r="D82" i="13"/>
  <c r="C82" i="13"/>
  <c r="D27" i="13"/>
  <c r="C27" i="13" l="1"/>
  <c r="F34" i="13" l="1"/>
  <c r="A34" i="13"/>
  <c r="W34" i="12"/>
  <c r="A34" i="12"/>
  <c r="E34" i="13" l="1"/>
  <c r="H34" i="12"/>
  <c r="V34" i="12"/>
  <c r="I34" i="12"/>
  <c r="B34" i="12"/>
  <c r="F88" i="13"/>
  <c r="A88" i="13"/>
  <c r="W88" i="12"/>
  <c r="A88" i="12"/>
  <c r="V88" i="12" s="1"/>
  <c r="F92" i="13"/>
  <c r="A92" i="13"/>
  <c r="F91" i="13"/>
  <c r="A91" i="13"/>
  <c r="F90" i="13"/>
  <c r="A90" i="13"/>
  <c r="W92" i="12"/>
  <c r="A92" i="12"/>
  <c r="V92" i="12" s="1"/>
  <c r="W91" i="12"/>
  <c r="A91" i="12"/>
  <c r="V91" i="12" s="1"/>
  <c r="W90" i="12"/>
  <c r="A90" i="12"/>
  <c r="V90" i="12" s="1"/>
  <c r="F63" i="13"/>
  <c r="A63" i="13"/>
  <c r="W63" i="12"/>
  <c r="A63" i="12"/>
  <c r="H63" i="12" s="1"/>
  <c r="F62" i="13"/>
  <c r="A62" i="13"/>
  <c r="W62" i="12"/>
  <c r="A62" i="12"/>
  <c r="H62" i="12" s="1"/>
  <c r="F61" i="13"/>
  <c r="A61" i="13"/>
  <c r="F60" i="13"/>
  <c r="A60" i="13"/>
  <c r="F59" i="13"/>
  <c r="A59" i="13"/>
  <c r="F58" i="13"/>
  <c r="A58" i="13"/>
  <c r="F57" i="13"/>
  <c r="A57" i="13"/>
  <c r="W61" i="12"/>
  <c r="A61" i="12"/>
  <c r="H61" i="12" s="1"/>
  <c r="W60" i="12"/>
  <c r="A60" i="12"/>
  <c r="H60" i="12" s="1"/>
  <c r="W59" i="12"/>
  <c r="A59" i="12"/>
  <c r="H59" i="12" s="1"/>
  <c r="W58" i="12"/>
  <c r="A58" i="12"/>
  <c r="H58" i="12" s="1"/>
  <c r="W57" i="12"/>
  <c r="A57" i="12"/>
  <c r="H57" i="12" s="1"/>
  <c r="F84" i="13"/>
  <c r="A84" i="13"/>
  <c r="W84" i="12"/>
  <c r="A84" i="12"/>
  <c r="V84" i="12" s="1"/>
  <c r="H90" i="12" l="1"/>
  <c r="H91" i="12"/>
  <c r="H92" i="12"/>
  <c r="E88" i="13"/>
  <c r="B88" i="12"/>
  <c r="I88" i="12"/>
  <c r="H88" i="12"/>
  <c r="E91" i="13"/>
  <c r="I90" i="12"/>
  <c r="I91" i="12"/>
  <c r="I92" i="12"/>
  <c r="E90" i="13"/>
  <c r="E92" i="13"/>
  <c r="V59" i="12"/>
  <c r="B90" i="12"/>
  <c r="B91" i="12"/>
  <c r="B92" i="12"/>
  <c r="V58" i="12"/>
  <c r="V57" i="12"/>
  <c r="V61" i="12"/>
  <c r="V60" i="12"/>
  <c r="V63" i="12"/>
  <c r="V62" i="12"/>
  <c r="I63" i="12"/>
  <c r="E63" i="13"/>
  <c r="B63" i="12"/>
  <c r="I62" i="12"/>
  <c r="E62" i="13"/>
  <c r="B62" i="12"/>
  <c r="E58" i="13"/>
  <c r="E60" i="13"/>
  <c r="I57" i="12"/>
  <c r="I58" i="12"/>
  <c r="I59" i="12"/>
  <c r="I60" i="12"/>
  <c r="I61" i="12"/>
  <c r="E57" i="13"/>
  <c r="E59" i="13"/>
  <c r="E61" i="13"/>
  <c r="B57" i="12"/>
  <c r="B58" i="12"/>
  <c r="B59" i="12"/>
  <c r="B60" i="12"/>
  <c r="B61" i="12"/>
  <c r="H84" i="12"/>
  <c r="I84" i="12"/>
  <c r="E84" i="13"/>
  <c r="B84" i="12"/>
  <c r="F99" i="13"/>
  <c r="A99" i="13"/>
  <c r="W99" i="12"/>
  <c r="A99" i="12"/>
  <c r="H99" i="12" s="1"/>
  <c r="F77" i="13"/>
  <c r="A77" i="13"/>
  <c r="W77" i="12"/>
  <c r="A77" i="12"/>
  <c r="H77" i="12" s="1"/>
  <c r="F44" i="13"/>
  <c r="A44" i="13"/>
  <c r="E44" i="13" s="1"/>
  <c r="X44" i="12"/>
  <c r="D44" i="13" s="1"/>
  <c r="W44" i="12"/>
  <c r="C44" i="13"/>
  <c r="A44" i="12"/>
  <c r="F32" i="13"/>
  <c r="A32" i="13"/>
  <c r="F31" i="13"/>
  <c r="A31" i="13"/>
  <c r="W32" i="12"/>
  <c r="A32" i="12"/>
  <c r="V32" i="12" s="1"/>
  <c r="W31" i="12"/>
  <c r="A31" i="12"/>
  <c r="V31" i="12" s="1"/>
  <c r="F104" i="13"/>
  <c r="A104" i="13"/>
  <c r="W104" i="12"/>
  <c r="A104" i="12"/>
  <c r="V104" i="12" s="1"/>
  <c r="F103" i="13"/>
  <c r="A103" i="13"/>
  <c r="X103" i="12"/>
  <c r="W103" i="12"/>
  <c r="A103" i="12"/>
  <c r="V99" i="12" l="1"/>
  <c r="V77" i="12"/>
  <c r="I99" i="12"/>
  <c r="E99" i="13"/>
  <c r="B99" i="12"/>
  <c r="I77" i="12"/>
  <c r="E77" i="13"/>
  <c r="B77" i="12"/>
  <c r="H31" i="12"/>
  <c r="H32" i="12"/>
  <c r="E31" i="13"/>
  <c r="E32" i="13"/>
  <c r="I31" i="12"/>
  <c r="I32" i="12"/>
  <c r="B31" i="12"/>
  <c r="B32" i="12"/>
  <c r="E104" i="13"/>
  <c r="B104" i="12"/>
  <c r="I104" i="12"/>
  <c r="H104" i="12"/>
  <c r="E103" i="13"/>
  <c r="D103" i="13"/>
  <c r="C103" i="13"/>
  <c r="F98" i="13"/>
  <c r="A98" i="13"/>
  <c r="F97" i="13"/>
  <c r="A97" i="13"/>
  <c r="F96" i="13"/>
  <c r="A96" i="13"/>
  <c r="E96" i="13" s="1"/>
  <c r="W98" i="12"/>
  <c r="A98" i="12"/>
  <c r="B98" i="12" s="1"/>
  <c r="W97" i="12"/>
  <c r="A97" i="12"/>
  <c r="H97" i="12" s="1"/>
  <c r="X96" i="12"/>
  <c r="D96" i="13" s="1"/>
  <c r="W96" i="12"/>
  <c r="A96" i="12"/>
  <c r="C96" i="13" s="1"/>
  <c r="F76" i="13"/>
  <c r="A76" i="13"/>
  <c r="F74" i="13"/>
  <c r="A74" i="13"/>
  <c r="E74" i="13" s="1"/>
  <c r="W76" i="12"/>
  <c r="A76" i="12"/>
  <c r="V76" i="12" s="1"/>
  <c r="X74" i="12"/>
  <c r="D74" i="13" s="1"/>
  <c r="W74" i="12"/>
  <c r="A74" i="12"/>
  <c r="F46" i="13"/>
  <c r="A46" i="13"/>
  <c r="F45" i="13"/>
  <c r="A45" i="13"/>
  <c r="W46" i="12"/>
  <c r="A46" i="12"/>
  <c r="V46" i="12" s="1"/>
  <c r="W45" i="12"/>
  <c r="A45" i="12"/>
  <c r="V45" i="12" s="1"/>
  <c r="F30" i="13"/>
  <c r="A30" i="13"/>
  <c r="W30" i="12"/>
  <c r="A30" i="12"/>
  <c r="V30" i="12" s="1"/>
  <c r="F11" i="13"/>
  <c r="F101" i="13"/>
  <c r="F100" i="13"/>
  <c r="F89" i="13"/>
  <c r="F87" i="13"/>
  <c r="F86" i="13"/>
  <c r="F85" i="13"/>
  <c r="F83" i="13"/>
  <c r="F80" i="13"/>
  <c r="F68" i="13"/>
  <c r="F56" i="13"/>
  <c r="F51" i="13"/>
  <c r="F50" i="13"/>
  <c r="F49" i="13"/>
  <c r="F48" i="13"/>
  <c r="F47" i="13"/>
  <c r="F42" i="13"/>
  <c r="F41" i="13"/>
  <c r="F29" i="13"/>
  <c r="F28" i="13"/>
  <c r="F13" i="13"/>
  <c r="A101" i="13"/>
  <c r="A100" i="13"/>
  <c r="E100" i="13" s="1"/>
  <c r="A89" i="13"/>
  <c r="A87" i="13"/>
  <c r="W101" i="12"/>
  <c r="A101" i="12"/>
  <c r="V101" i="12" s="1"/>
  <c r="X100" i="12"/>
  <c r="W100" i="12"/>
  <c r="A100" i="12"/>
  <c r="W89" i="12"/>
  <c r="A89" i="12"/>
  <c r="V89" i="12" s="1"/>
  <c r="W87" i="12"/>
  <c r="A87" i="12"/>
  <c r="V87" i="12" s="1"/>
  <c r="A86" i="13"/>
  <c r="A85" i="13"/>
  <c r="A83" i="13"/>
  <c r="A80" i="13"/>
  <c r="A68" i="13"/>
  <c r="E68" i="13" s="1"/>
  <c r="W86" i="12"/>
  <c r="A86" i="12"/>
  <c r="V86" i="12" s="1"/>
  <c r="X85" i="12"/>
  <c r="W85" i="12"/>
  <c r="A85" i="12"/>
  <c r="W83" i="12"/>
  <c r="A83" i="12"/>
  <c r="H83" i="12" s="1"/>
  <c r="X80" i="12"/>
  <c r="W80" i="12"/>
  <c r="A80" i="12"/>
  <c r="X68" i="12"/>
  <c r="W68" i="12"/>
  <c r="A68" i="12"/>
  <c r="A42" i="13"/>
  <c r="A41" i="13"/>
  <c r="E41" i="13" s="1"/>
  <c r="W42" i="12"/>
  <c r="A42" i="12"/>
  <c r="V42" i="12" s="1"/>
  <c r="X41" i="12"/>
  <c r="D41" i="13" s="1"/>
  <c r="W41" i="12"/>
  <c r="A41" i="12"/>
  <c r="A28" i="13"/>
  <c r="X28" i="12"/>
  <c r="W28" i="12"/>
  <c r="A28" i="12"/>
  <c r="A56" i="13"/>
  <c r="A51" i="13"/>
  <c r="A50" i="13"/>
  <c r="A49" i="13"/>
  <c r="A48" i="13"/>
  <c r="A47" i="13"/>
  <c r="A29" i="13"/>
  <c r="X56" i="12"/>
  <c r="W56" i="12"/>
  <c r="A56" i="12"/>
  <c r="W51" i="12"/>
  <c r="A51" i="12"/>
  <c r="H51" i="12" s="1"/>
  <c r="W50" i="12"/>
  <c r="A50" i="12"/>
  <c r="V50" i="12" s="1"/>
  <c r="X49" i="12"/>
  <c r="W49" i="12"/>
  <c r="A49" i="12"/>
  <c r="W48" i="12"/>
  <c r="A48" i="12"/>
  <c r="B48" i="12" s="1"/>
  <c r="W47" i="12"/>
  <c r="A47" i="12"/>
  <c r="V47" i="12" s="1"/>
  <c r="W29" i="12"/>
  <c r="A29" i="12"/>
  <c r="H29" i="12" s="1"/>
  <c r="E7" i="13"/>
  <c r="P9" i="12"/>
  <c r="F10" i="13"/>
  <c r="G10" i="13" s="1"/>
  <c r="H10" i="13" s="1"/>
  <c r="I10" i="13" s="1"/>
  <c r="J10" i="13" s="1"/>
  <c r="K10" i="13" s="1"/>
  <c r="L10" i="13" s="1"/>
  <c r="M10" i="13" s="1"/>
  <c r="N10" i="13" s="1"/>
  <c r="O10" i="13" s="1"/>
  <c r="U10" i="13"/>
  <c r="AC9" i="11"/>
  <c r="AC10" i="11" s="1"/>
  <c r="K119" i="12"/>
  <c r="X13" i="12"/>
  <c r="W13" i="12"/>
  <c r="N24" i="17"/>
  <c r="N26" i="17" s="1"/>
  <c r="Q224" i="16"/>
  <c r="Q223" i="16"/>
  <c r="P2" i="11"/>
  <c r="A20" i="11"/>
  <c r="A23" i="11" s="1"/>
  <c r="Q10" i="12"/>
  <c r="Q11" i="17"/>
  <c r="L32" i="17" s="1"/>
  <c r="N8" i="11"/>
  <c r="O9" i="11"/>
  <c r="P9" i="11" s="1"/>
  <c r="Q9" i="11" s="1"/>
  <c r="R9" i="11" s="1"/>
  <c r="S9" i="11" s="1"/>
  <c r="T9" i="11" s="1"/>
  <c r="O10" i="11"/>
  <c r="A13" i="11"/>
  <c r="K13" i="11" s="1"/>
  <c r="N11" i="11" s="1"/>
  <c r="D17" i="11"/>
  <c r="L92" i="11"/>
  <c r="K125" i="12"/>
  <c r="B116" i="13" s="1"/>
  <c r="A11" i="13"/>
  <c r="X11" i="12"/>
  <c r="J12" i="12"/>
  <c r="A12" i="13" s="1"/>
  <c r="N12" i="12"/>
  <c r="C12" i="13" s="1"/>
  <c r="A13" i="13"/>
  <c r="K122" i="12"/>
  <c r="I42" i="17" s="1"/>
  <c r="N2" i="12"/>
  <c r="Y10" i="12"/>
  <c r="Z10" i="12"/>
  <c r="A11" i="12"/>
  <c r="I11" i="12" s="1"/>
  <c r="W11" i="12"/>
  <c r="A13" i="12"/>
  <c r="D13" i="12" s="1"/>
  <c r="N1" i="17"/>
  <c r="C2" i="17"/>
  <c r="R18" i="17" s="1"/>
  <c r="A3" i="17"/>
  <c r="C3" i="17" s="1"/>
  <c r="I5" i="17"/>
  <c r="K5" i="17"/>
  <c r="C8" i="17"/>
  <c r="I8" i="17"/>
  <c r="C9" i="17"/>
  <c r="C10" i="17"/>
  <c r="C11" i="17"/>
  <c r="C12" i="17"/>
  <c r="C13" i="17"/>
  <c r="C14" i="17"/>
  <c r="A15" i="17"/>
  <c r="A17" i="17" s="1"/>
  <c r="A18" i="17" s="1"/>
  <c r="A19" i="17" s="1"/>
  <c r="A20" i="17" s="1"/>
  <c r="C20" i="17" s="1"/>
  <c r="I18" i="17"/>
  <c r="M18" i="17"/>
  <c r="I19" i="17"/>
  <c r="M19" i="17"/>
  <c r="I20" i="17"/>
  <c r="M20" i="17"/>
  <c r="C21" i="17"/>
  <c r="I21" i="17"/>
  <c r="M21" i="17"/>
  <c r="A22" i="17"/>
  <c r="C22" i="17" s="1"/>
  <c r="I22" i="17"/>
  <c r="M22" i="17"/>
  <c r="C27" i="17"/>
  <c r="A28" i="17"/>
  <c r="C28" i="17" s="1"/>
  <c r="I29" i="17"/>
  <c r="M32" i="17"/>
  <c r="I35" i="17"/>
  <c r="C38" i="17"/>
  <c r="A39" i="17"/>
  <c r="A40" i="17" s="1"/>
  <c r="C39" i="17"/>
  <c r="C44" i="17"/>
  <c r="A45" i="17"/>
  <c r="J47" i="17"/>
  <c r="J48" i="17"/>
  <c r="J49" i="17"/>
  <c r="J50" i="17"/>
  <c r="A55" i="16"/>
  <c r="G55" i="16" s="1"/>
  <c r="A56" i="16"/>
  <c r="I49" i="17" s="1"/>
  <c r="G56" i="16"/>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G57" i="16"/>
  <c r="C17" i="17"/>
  <c r="C18" i="17"/>
  <c r="C13" i="13"/>
  <c r="D13" i="13"/>
  <c r="W38" i="16"/>
  <c r="X38" i="16"/>
  <c r="V38" i="16"/>
  <c r="U38" i="16"/>
  <c r="D27" i="12" l="1"/>
  <c r="D14" i="12"/>
  <c r="D15" i="12" s="1"/>
  <c r="C19" i="17"/>
  <c r="A4" i="17"/>
  <c r="C4" i="17" s="1"/>
  <c r="P20" i="17" s="1"/>
  <c r="A26" i="11"/>
  <c r="V97" i="12"/>
  <c r="H98" i="12"/>
  <c r="V98" i="12"/>
  <c r="B97" i="12"/>
  <c r="E98" i="13"/>
  <c r="E97" i="13"/>
  <c r="I97" i="12"/>
  <c r="I98" i="12"/>
  <c r="B76" i="12"/>
  <c r="H76" i="12"/>
  <c r="E76" i="13"/>
  <c r="C74" i="13"/>
  <c r="I76" i="12"/>
  <c r="E46" i="13"/>
  <c r="I46" i="12"/>
  <c r="E45" i="13"/>
  <c r="B45" i="12"/>
  <c r="B46" i="12"/>
  <c r="I45" i="12"/>
  <c r="H45" i="12"/>
  <c r="H46" i="12"/>
  <c r="I30" i="12"/>
  <c r="E30" i="13"/>
  <c r="B89" i="12"/>
  <c r="B30" i="12"/>
  <c r="H30" i="12"/>
  <c r="B101" i="12"/>
  <c r="H89" i="12"/>
  <c r="H101" i="12"/>
  <c r="E87" i="13"/>
  <c r="B87" i="12"/>
  <c r="V51" i="12"/>
  <c r="V83" i="12"/>
  <c r="H87" i="12"/>
  <c r="E89" i="13"/>
  <c r="E101" i="13"/>
  <c r="D100" i="13"/>
  <c r="V48" i="12"/>
  <c r="V29" i="12"/>
  <c r="I48" i="12"/>
  <c r="G13" i="12"/>
  <c r="G14" i="12" s="1"/>
  <c r="B83" i="12"/>
  <c r="H86" i="12"/>
  <c r="E86" i="13"/>
  <c r="I87" i="12"/>
  <c r="I89" i="12"/>
  <c r="I101" i="12"/>
  <c r="C100" i="13"/>
  <c r="S13" i="12"/>
  <c r="B86" i="12"/>
  <c r="V13" i="12"/>
  <c r="B29" i="12"/>
  <c r="E83" i="13"/>
  <c r="E85" i="13"/>
  <c r="C68" i="13"/>
  <c r="D68" i="13"/>
  <c r="D80" i="13"/>
  <c r="C85" i="13"/>
  <c r="C80" i="13"/>
  <c r="D85" i="13"/>
  <c r="E80" i="13"/>
  <c r="I83" i="12"/>
  <c r="I86" i="12"/>
  <c r="I29" i="12"/>
  <c r="B42" i="12"/>
  <c r="I51" i="12"/>
  <c r="B51" i="12"/>
  <c r="E42" i="13"/>
  <c r="I42" i="12"/>
  <c r="H42" i="12"/>
  <c r="E28" i="13"/>
  <c r="C28" i="13"/>
  <c r="D28" i="13"/>
  <c r="F13" i="12"/>
  <c r="C13" i="12"/>
  <c r="E13" i="12"/>
  <c r="H47" i="12"/>
  <c r="I50" i="12"/>
  <c r="I47" i="12"/>
  <c r="H11" i="12"/>
  <c r="E11" i="13"/>
  <c r="Q19" i="17"/>
  <c r="A23" i="17"/>
  <c r="A29" i="17"/>
  <c r="C15" i="17"/>
  <c r="P18" i="17"/>
  <c r="B113" i="13"/>
  <c r="H50" i="12"/>
  <c r="C40" i="17"/>
  <c r="A41" i="17"/>
  <c r="G11" i="12"/>
  <c r="A5" i="12"/>
  <c r="B47" i="12"/>
  <c r="Q18" i="17"/>
  <c r="U12" i="12"/>
  <c r="N11" i="12"/>
  <c r="U11" i="12" s="1"/>
  <c r="H48" i="12"/>
  <c r="E29" i="13"/>
  <c r="E50" i="13"/>
  <c r="E47" i="13"/>
  <c r="E51" i="13"/>
  <c r="E48" i="13"/>
  <c r="E56" i="13"/>
  <c r="E49" i="13"/>
  <c r="P10" i="11"/>
  <c r="R10" i="11" s="1"/>
  <c r="T10" i="11" s="1"/>
  <c r="I37" i="17"/>
  <c r="M33" i="17"/>
  <c r="O27" i="17"/>
  <c r="N25" i="17"/>
  <c r="Q10" i="11"/>
  <c r="S10" i="11" s="1"/>
  <c r="D49" i="13"/>
  <c r="C13" i="11"/>
  <c r="B13" i="11" s="1"/>
  <c r="D56" i="13"/>
  <c r="M11" i="11"/>
  <c r="O42" i="17"/>
  <c r="L11" i="11"/>
  <c r="L95" i="11"/>
  <c r="S110" i="16"/>
  <c r="V227" i="16"/>
  <c r="S111" i="16"/>
  <c r="W227" i="16"/>
  <c r="X227" i="16"/>
  <c r="S112" i="16"/>
  <c r="U227" i="16"/>
  <c r="S109" i="16"/>
  <c r="U9" i="11"/>
  <c r="V9" i="11" s="1"/>
  <c r="W9" i="11" s="1"/>
  <c r="C11" i="12"/>
  <c r="F11" i="12"/>
  <c r="D11" i="12"/>
  <c r="E11" i="12"/>
  <c r="B11" i="12"/>
  <c r="V11" i="12"/>
  <c r="O11" i="12"/>
  <c r="D11" i="13" s="1"/>
  <c r="Y11" i="12"/>
  <c r="R19" i="17"/>
  <c r="P19" i="17"/>
  <c r="C45" i="17"/>
  <c r="A46" i="17"/>
  <c r="R20" i="17"/>
  <c r="E13" i="13"/>
  <c r="B50" i="12"/>
  <c r="G15" i="12" l="1"/>
  <c r="G16" i="12" s="1"/>
  <c r="G17" i="12" s="1"/>
  <c r="G18" i="12" s="1"/>
  <c r="V14" i="12"/>
  <c r="V15" i="12" s="1"/>
  <c r="D16" i="12"/>
  <c r="E27" i="12"/>
  <c r="E14" i="12"/>
  <c r="C14" i="12"/>
  <c r="C15" i="12" s="1"/>
  <c r="K15" i="12" s="1"/>
  <c r="B15" i="13" s="1"/>
  <c r="F27" i="12"/>
  <c r="F14" i="12"/>
  <c r="Q20" i="17"/>
  <c r="A5" i="17"/>
  <c r="A29" i="11"/>
  <c r="G28" i="12"/>
  <c r="G29" i="12" s="1"/>
  <c r="G30" i="12" s="1"/>
  <c r="G31" i="12" s="1"/>
  <c r="G32" i="12" s="1"/>
  <c r="M18" i="11"/>
  <c r="C20" i="11"/>
  <c r="F20" i="11" s="1"/>
  <c r="C41" i="13"/>
  <c r="K13" i="12"/>
  <c r="L18" i="11" s="1"/>
  <c r="G41" i="12"/>
  <c r="G42" i="12" s="1"/>
  <c r="F28" i="12"/>
  <c r="F29" i="12" s="1"/>
  <c r="F30" i="12" s="1"/>
  <c r="F31" i="12" s="1"/>
  <c r="F32" i="12" s="1"/>
  <c r="D28" i="12"/>
  <c r="E28" i="12"/>
  <c r="E29" i="12" s="1"/>
  <c r="E30" i="12" s="1"/>
  <c r="E31" i="12" s="1"/>
  <c r="E32" i="12" s="1"/>
  <c r="A32" i="17"/>
  <c r="C29" i="17"/>
  <c r="C23" i="17"/>
  <c r="A24" i="17"/>
  <c r="C11" i="13"/>
  <c r="C5" i="17"/>
  <c r="A6" i="17"/>
  <c r="A42" i="17"/>
  <c r="C41" i="17"/>
  <c r="K11" i="12"/>
  <c r="B11" i="13" s="1"/>
  <c r="J13" i="11"/>
  <c r="E13" i="11"/>
  <c r="H13" i="11"/>
  <c r="N27" i="17"/>
  <c r="O25" i="17"/>
  <c r="U10" i="11"/>
  <c r="W10" i="11" s="1"/>
  <c r="V10" i="11"/>
  <c r="C56" i="13"/>
  <c r="I13" i="11"/>
  <c r="G13" i="11"/>
  <c r="F13" i="11"/>
  <c r="C49" i="13"/>
  <c r="A47" i="17"/>
  <c r="C46" i="17"/>
  <c r="W13" i="11"/>
  <c r="W11" i="11"/>
  <c r="Q12" i="11"/>
  <c r="P12" i="11"/>
  <c r="P11" i="11"/>
  <c r="S11" i="11"/>
  <c r="R12" i="11"/>
  <c r="T11" i="11"/>
  <c r="T12" i="11"/>
  <c r="U13" i="11"/>
  <c r="V13" i="11"/>
  <c r="AC11" i="11"/>
  <c r="S12" i="11"/>
  <c r="U12" i="11"/>
  <c r="S13" i="11"/>
  <c r="T13" i="11"/>
  <c r="Q11" i="11"/>
  <c r="R11" i="11"/>
  <c r="W12" i="11"/>
  <c r="U11" i="11"/>
  <c r="V12" i="11"/>
  <c r="P13" i="11"/>
  <c r="R13" i="11"/>
  <c r="V11" i="11"/>
  <c r="AC12" i="11"/>
  <c r="Q13" i="11"/>
  <c r="AC13" i="11"/>
  <c r="T38" i="16"/>
  <c r="Z95" i="12" l="1"/>
  <c r="S95" i="12" s="1"/>
  <c r="T95" i="12" s="1"/>
  <c r="U95" i="12" s="1"/>
  <c r="Z102" i="12"/>
  <c r="S102" i="12" s="1"/>
  <c r="T102" i="12" s="1"/>
  <c r="U102" i="12" s="1"/>
  <c r="Z55" i="12"/>
  <c r="S55" i="12" s="1"/>
  <c r="T55" i="12" s="1"/>
  <c r="U55" i="12" s="1"/>
  <c r="Z73" i="12"/>
  <c r="S73" i="12" s="1"/>
  <c r="T73" i="12" s="1"/>
  <c r="U73" i="12" s="1"/>
  <c r="Z72" i="12"/>
  <c r="S72" i="12" s="1"/>
  <c r="T72" i="12" s="1"/>
  <c r="U72" i="12" s="1"/>
  <c r="Z71" i="12"/>
  <c r="S71" i="12" s="1"/>
  <c r="T71" i="12" s="1"/>
  <c r="U71" i="12" s="1"/>
  <c r="Z70" i="12"/>
  <c r="S70" i="12" s="1"/>
  <c r="T70" i="12" s="1"/>
  <c r="U70" i="12" s="1"/>
  <c r="Z69" i="12"/>
  <c r="S69" i="12" s="1"/>
  <c r="V19" i="12"/>
  <c r="V21" i="12" s="1"/>
  <c r="Z20" i="12"/>
  <c r="S20" i="12" s="1"/>
  <c r="T20" i="12" s="1"/>
  <c r="U20" i="12" s="1"/>
  <c r="Z19" i="12"/>
  <c r="S19" i="12" s="1"/>
  <c r="G21" i="12"/>
  <c r="G22" i="12" s="1"/>
  <c r="G23" i="12" s="1"/>
  <c r="G24" i="12" s="1"/>
  <c r="G25" i="12" s="1"/>
  <c r="G26" i="12" s="1"/>
  <c r="G19" i="12"/>
  <c r="G20" i="12" s="1"/>
  <c r="Z67" i="12"/>
  <c r="S67" i="12" s="1"/>
  <c r="T67" i="12" s="1"/>
  <c r="U67" i="12" s="1"/>
  <c r="Z15" i="12"/>
  <c r="S15" i="12" s="1"/>
  <c r="E15" i="12"/>
  <c r="E16" i="12" s="1"/>
  <c r="E17" i="12" s="1"/>
  <c r="E18" i="12" s="1"/>
  <c r="F15" i="12"/>
  <c r="F16" i="12" s="1"/>
  <c r="F17" i="12" s="1"/>
  <c r="F18" i="12" s="1"/>
  <c r="D17" i="12"/>
  <c r="Z26" i="12"/>
  <c r="S26" i="12" s="1"/>
  <c r="T26" i="12" s="1"/>
  <c r="Z25" i="12"/>
  <c r="S25" i="12" s="1"/>
  <c r="T25" i="12" s="1"/>
  <c r="U25" i="12" s="1"/>
  <c r="Z24" i="12"/>
  <c r="S24" i="12" s="1"/>
  <c r="Z23" i="12"/>
  <c r="S23" i="12" s="1"/>
  <c r="T23" i="12" s="1"/>
  <c r="U23" i="12" s="1"/>
  <c r="Z22" i="12"/>
  <c r="S22" i="12" s="1"/>
  <c r="T22" i="12" s="1"/>
  <c r="U22" i="12" s="1"/>
  <c r="Z21" i="12"/>
  <c r="S21" i="12" s="1"/>
  <c r="Z18" i="12"/>
  <c r="S18" i="12" s="1"/>
  <c r="T18" i="12" s="1"/>
  <c r="U18" i="12" s="1"/>
  <c r="Z17" i="12"/>
  <c r="S17" i="12" s="1"/>
  <c r="T17" i="12" s="1"/>
  <c r="U17" i="12" s="1"/>
  <c r="Z16" i="12"/>
  <c r="S16" i="12" s="1"/>
  <c r="T16" i="12" s="1"/>
  <c r="U16" i="12" s="1"/>
  <c r="Z14" i="12"/>
  <c r="S14" i="12" s="1"/>
  <c r="C16" i="12"/>
  <c r="K14" i="12"/>
  <c r="B14" i="13" s="1"/>
  <c r="Z65" i="12"/>
  <c r="S65" i="12" s="1"/>
  <c r="T65" i="12" s="1"/>
  <c r="U65" i="12" s="1"/>
  <c r="Z64" i="12"/>
  <c r="S64" i="12" s="1"/>
  <c r="Z66" i="12"/>
  <c r="S66" i="12" s="1"/>
  <c r="T66" i="12" s="1"/>
  <c r="U66" i="12" s="1"/>
  <c r="Z94" i="12"/>
  <c r="S94" i="12" s="1"/>
  <c r="T94" i="12" s="1"/>
  <c r="U94" i="12" s="1"/>
  <c r="Z40" i="12"/>
  <c r="S40" i="12" s="1"/>
  <c r="T40" i="12" s="1"/>
  <c r="U40" i="12" s="1"/>
  <c r="Z39" i="12"/>
  <c r="S39" i="12" s="1"/>
  <c r="Z38" i="12"/>
  <c r="S38" i="12" s="1"/>
  <c r="T38" i="12" s="1"/>
  <c r="U38" i="12" s="1"/>
  <c r="Z37" i="12"/>
  <c r="S37" i="12" s="1"/>
  <c r="T37" i="12" s="1"/>
  <c r="U37" i="12" s="1"/>
  <c r="Z36" i="12"/>
  <c r="S36" i="12" s="1"/>
  <c r="T36" i="12" s="1"/>
  <c r="U36" i="12" s="1"/>
  <c r="Z35" i="12"/>
  <c r="S35" i="12" s="1"/>
  <c r="Z107" i="12"/>
  <c r="S107" i="12" s="1"/>
  <c r="T107" i="12" s="1"/>
  <c r="U107" i="12" s="1"/>
  <c r="Z108" i="12"/>
  <c r="S108" i="12" s="1"/>
  <c r="T108" i="12" s="1"/>
  <c r="U108" i="12" s="1"/>
  <c r="Z106" i="12"/>
  <c r="S106" i="12" s="1"/>
  <c r="T106" i="12" s="1"/>
  <c r="U106" i="12" s="1"/>
  <c r="Z110" i="12"/>
  <c r="S110" i="12" s="1"/>
  <c r="T110" i="12" s="1"/>
  <c r="U110" i="12" s="1"/>
  <c r="Z105" i="12"/>
  <c r="S105" i="12" s="1"/>
  <c r="T105" i="12" s="1"/>
  <c r="U105" i="12" s="1"/>
  <c r="Z82" i="12"/>
  <c r="S82" i="12" s="1"/>
  <c r="T82" i="12" s="1"/>
  <c r="U82" i="12" s="1"/>
  <c r="C23" i="11"/>
  <c r="B20" i="11" s="1"/>
  <c r="C26" i="11"/>
  <c r="M24" i="11"/>
  <c r="A32" i="11"/>
  <c r="M21" i="11"/>
  <c r="Z79" i="12"/>
  <c r="Z78" i="12"/>
  <c r="Z109" i="12"/>
  <c r="Z93" i="12"/>
  <c r="Z81" i="12"/>
  <c r="Z75" i="12"/>
  <c r="Z53" i="12"/>
  <c r="S53" i="12" s="1"/>
  <c r="Z54" i="12"/>
  <c r="Z52" i="12"/>
  <c r="Z43" i="12"/>
  <c r="G44" i="12"/>
  <c r="G45" i="12" s="1"/>
  <c r="G46" i="12" s="1"/>
  <c r="G47" i="12" s="1"/>
  <c r="G48" i="12" s="1"/>
  <c r="G43" i="12"/>
  <c r="Z33" i="12"/>
  <c r="F33" i="12"/>
  <c r="E33" i="12"/>
  <c r="G33" i="12"/>
  <c r="Z27" i="12"/>
  <c r="S27" i="12" s="1"/>
  <c r="G27" i="12"/>
  <c r="Z34" i="12"/>
  <c r="Z88" i="12"/>
  <c r="Z92" i="12"/>
  <c r="Z91" i="12"/>
  <c r="Z90" i="12"/>
  <c r="Z63" i="12"/>
  <c r="Z62" i="12"/>
  <c r="Z61" i="12"/>
  <c r="Z60" i="12"/>
  <c r="Z59" i="12"/>
  <c r="Z58" i="12"/>
  <c r="Z57" i="12"/>
  <c r="Z84" i="12"/>
  <c r="Z99" i="12"/>
  <c r="Z77" i="12"/>
  <c r="Z44" i="12"/>
  <c r="S44" i="12" s="1"/>
  <c r="Z32" i="12"/>
  <c r="Z31" i="12"/>
  <c r="Z104" i="12"/>
  <c r="Z103" i="12"/>
  <c r="S103" i="12" s="1"/>
  <c r="Z98" i="12"/>
  <c r="Z97" i="12"/>
  <c r="Z96" i="12"/>
  <c r="S96" i="12" s="1"/>
  <c r="Z76" i="12"/>
  <c r="Z74" i="12"/>
  <c r="S74" i="12" s="1"/>
  <c r="Z46" i="12"/>
  <c r="Z45" i="12"/>
  <c r="Z30" i="12"/>
  <c r="E20" i="11"/>
  <c r="H20" i="11"/>
  <c r="G20" i="11"/>
  <c r="Z100" i="12"/>
  <c r="S100" i="12" s="1"/>
  <c r="Z89" i="12"/>
  <c r="Z87" i="12"/>
  <c r="Z101" i="12"/>
  <c r="B13" i="13"/>
  <c r="Z86" i="12"/>
  <c r="Z85" i="12"/>
  <c r="S85" i="12" s="1"/>
  <c r="Z83" i="12"/>
  <c r="Z80" i="12"/>
  <c r="S80" i="12" s="1"/>
  <c r="Z68" i="12"/>
  <c r="S68" i="12" s="1"/>
  <c r="Z42" i="12"/>
  <c r="Z41" i="12"/>
  <c r="S41" i="12" s="1"/>
  <c r="E41" i="12"/>
  <c r="E42" i="12" s="1"/>
  <c r="F41" i="12"/>
  <c r="F42" i="12" s="1"/>
  <c r="D29" i="12"/>
  <c r="Z28" i="12"/>
  <c r="S28" i="12" s="1"/>
  <c r="A25" i="17"/>
  <c r="C24" i="17"/>
  <c r="C32" i="17"/>
  <c r="A33" i="17"/>
  <c r="C6" i="17"/>
  <c r="Q22" i="17" s="1"/>
  <c r="A7" i="17"/>
  <c r="C7" i="17" s="1"/>
  <c r="R26" i="17" s="1"/>
  <c r="A43" i="17"/>
  <c r="C43" i="17" s="1"/>
  <c r="C42" i="17"/>
  <c r="R21" i="17"/>
  <c r="Q21" i="17"/>
  <c r="P26" i="17"/>
  <c r="O26" i="17" s="1"/>
  <c r="V27" i="17" s="1"/>
  <c r="T16" i="17" s="1"/>
  <c r="P22" i="17"/>
  <c r="R22" i="17"/>
  <c r="Q26" i="17"/>
  <c r="P21" i="17"/>
  <c r="D13" i="11"/>
  <c r="Z47" i="12"/>
  <c r="Z50" i="12"/>
  <c r="Z48" i="12"/>
  <c r="S108" i="16"/>
  <c r="Z49" i="12"/>
  <c r="S49" i="12" s="1"/>
  <c r="Z11" i="12"/>
  <c r="S11" i="12" s="1"/>
  <c r="T11" i="12" s="1"/>
  <c r="Z29" i="12"/>
  <c r="T227" i="16"/>
  <c r="Z13" i="12"/>
  <c r="Z56" i="12"/>
  <c r="S56" i="12" s="1"/>
  <c r="Z51" i="12"/>
  <c r="A48" i="17"/>
  <c r="C47" i="17"/>
  <c r="V24" i="12" l="1"/>
  <c r="V27" i="12" s="1"/>
  <c r="E21" i="12"/>
  <c r="E22" i="12" s="1"/>
  <c r="E23" i="12" s="1"/>
  <c r="E24" i="12" s="1"/>
  <c r="E25" i="12" s="1"/>
  <c r="E26" i="12" s="1"/>
  <c r="E19" i="12"/>
  <c r="E20" i="12" s="1"/>
  <c r="F21" i="12"/>
  <c r="F22" i="12" s="1"/>
  <c r="F23" i="12" s="1"/>
  <c r="F24" i="12" s="1"/>
  <c r="F25" i="12" s="1"/>
  <c r="F26" i="12" s="1"/>
  <c r="F19" i="12"/>
  <c r="F20" i="12" s="1"/>
  <c r="D18" i="12"/>
  <c r="D19" i="12" s="1"/>
  <c r="K16" i="12"/>
  <c r="B16" i="13" s="1"/>
  <c r="C17" i="12"/>
  <c r="G49" i="12"/>
  <c r="G50" i="12" s="1"/>
  <c r="G51" i="12" s="1"/>
  <c r="M27" i="11"/>
  <c r="C29" i="11"/>
  <c r="B26" i="11" s="1"/>
  <c r="G26" i="11"/>
  <c r="H26" i="11"/>
  <c r="A35" i="11"/>
  <c r="H23" i="11"/>
  <c r="G23" i="11"/>
  <c r="F23" i="11"/>
  <c r="F26" i="11" s="1"/>
  <c r="E23" i="11"/>
  <c r="B23" i="11"/>
  <c r="G34" i="12"/>
  <c r="G35" i="12" s="1"/>
  <c r="G36" i="12" s="1"/>
  <c r="G37" i="12" s="1"/>
  <c r="G38" i="12" s="1"/>
  <c r="G39" i="12" s="1"/>
  <c r="G40" i="12" s="1"/>
  <c r="E34" i="12"/>
  <c r="E35" i="12" s="1"/>
  <c r="E36" i="12" s="1"/>
  <c r="E37" i="12" s="1"/>
  <c r="E38" i="12" s="1"/>
  <c r="E39" i="12" s="1"/>
  <c r="E40" i="12" s="1"/>
  <c r="F34" i="12"/>
  <c r="F35" i="12" s="1"/>
  <c r="F36" i="12" s="1"/>
  <c r="F37" i="12" s="1"/>
  <c r="F38" i="12" s="1"/>
  <c r="F39" i="12" s="1"/>
  <c r="F40" i="12" s="1"/>
  <c r="F44" i="12"/>
  <c r="F45" i="12" s="1"/>
  <c r="F46" i="12" s="1"/>
  <c r="F47" i="12" s="1"/>
  <c r="F48" i="12" s="1"/>
  <c r="F43" i="12"/>
  <c r="E44" i="12"/>
  <c r="E45" i="12" s="1"/>
  <c r="E46" i="12" s="1"/>
  <c r="E47" i="12" s="1"/>
  <c r="E48" i="12" s="1"/>
  <c r="E43" i="12"/>
  <c r="D30" i="12"/>
  <c r="G85" i="12"/>
  <c r="G86" i="12" s="1"/>
  <c r="G87" i="12" s="1"/>
  <c r="C33" i="17"/>
  <c r="A34" i="17"/>
  <c r="C34" i="17" s="1"/>
  <c r="C25" i="17"/>
  <c r="A26" i="17"/>
  <c r="C26" i="17" s="1"/>
  <c r="A49" i="17"/>
  <c r="C49" i="17" s="1"/>
  <c r="C48" i="17"/>
  <c r="V28" i="12" l="1"/>
  <c r="V35" i="12" s="1"/>
  <c r="V39" i="12" s="1"/>
  <c r="V41" i="12" s="1"/>
  <c r="D20" i="12"/>
  <c r="D21" i="12" s="1"/>
  <c r="I19" i="12" s="1"/>
  <c r="C18" i="12"/>
  <c r="C19" i="12" s="1"/>
  <c r="K17" i="12"/>
  <c r="B17" i="13" s="1"/>
  <c r="E49" i="12"/>
  <c r="E50" i="12" s="1"/>
  <c r="E51" i="12" s="1"/>
  <c r="F49" i="12"/>
  <c r="F50" i="12" s="1"/>
  <c r="F51" i="12" s="1"/>
  <c r="C32" i="11"/>
  <c r="B29" i="11" s="1"/>
  <c r="C35" i="11"/>
  <c r="A38" i="11"/>
  <c r="M33" i="11"/>
  <c r="E26" i="11"/>
  <c r="E29" i="11" s="1"/>
  <c r="M30" i="11"/>
  <c r="F29" i="11"/>
  <c r="H29" i="11"/>
  <c r="G29" i="11"/>
  <c r="G56" i="12"/>
  <c r="G57" i="12" s="1"/>
  <c r="G58" i="12" s="1"/>
  <c r="G59" i="12" s="1"/>
  <c r="G60" i="12" s="1"/>
  <c r="G61" i="12" s="1"/>
  <c r="G62" i="12" s="1"/>
  <c r="G63" i="12" s="1"/>
  <c r="G64" i="12" s="1"/>
  <c r="G65" i="12" s="1"/>
  <c r="G66" i="12" s="1"/>
  <c r="G67" i="12" s="1"/>
  <c r="G52" i="12"/>
  <c r="G53" i="12" s="1"/>
  <c r="G54" i="12" s="1"/>
  <c r="G55" i="12" s="1"/>
  <c r="G88" i="12"/>
  <c r="G89" i="12" s="1"/>
  <c r="G90" i="12" s="1"/>
  <c r="G91" i="12" s="1"/>
  <c r="G92" i="12" s="1"/>
  <c r="G93" i="12" s="1"/>
  <c r="G94" i="12" s="1"/>
  <c r="G95" i="12" s="1"/>
  <c r="D31" i="12"/>
  <c r="D32" i="12" s="1"/>
  <c r="D33" i="12" s="1"/>
  <c r="G100" i="12"/>
  <c r="G101" i="12" s="1"/>
  <c r="G102" i="12" s="1"/>
  <c r="G96" i="12"/>
  <c r="G97" i="12" s="1"/>
  <c r="G98" i="12" s="1"/>
  <c r="G99" i="12" s="1"/>
  <c r="F85" i="12"/>
  <c r="F86" i="12" s="1"/>
  <c r="F87" i="12" s="1"/>
  <c r="E85" i="12"/>
  <c r="E86" i="12" s="1"/>
  <c r="E87" i="12" s="1"/>
  <c r="V44" i="12" l="1"/>
  <c r="V49" i="12" s="1"/>
  <c r="C20" i="12"/>
  <c r="K20" i="12" s="1"/>
  <c r="B20" i="13" s="1"/>
  <c r="K19" i="12"/>
  <c r="B19" i="13" s="1"/>
  <c r="D22" i="12"/>
  <c r="J20" i="11"/>
  <c r="K18" i="12"/>
  <c r="B18" i="13" s="1"/>
  <c r="C38" i="11"/>
  <c r="B35" i="11" s="1"/>
  <c r="A41" i="11"/>
  <c r="M36" i="11"/>
  <c r="G35" i="11"/>
  <c r="H35" i="11"/>
  <c r="E32" i="11"/>
  <c r="E35" i="11" s="1"/>
  <c r="B32" i="11"/>
  <c r="H32" i="11"/>
  <c r="G32" i="11"/>
  <c r="F32" i="11"/>
  <c r="F56" i="12"/>
  <c r="F57" i="12" s="1"/>
  <c r="F58" i="12" s="1"/>
  <c r="F59" i="12" s="1"/>
  <c r="F60" i="12" s="1"/>
  <c r="F61" i="12" s="1"/>
  <c r="F62" i="12" s="1"/>
  <c r="F63" i="12" s="1"/>
  <c r="F64" i="12" s="1"/>
  <c r="F65" i="12" s="1"/>
  <c r="F66" i="12" s="1"/>
  <c r="F67" i="12" s="1"/>
  <c r="F52" i="12"/>
  <c r="F53" i="12" s="1"/>
  <c r="F54" i="12" s="1"/>
  <c r="F55" i="12" s="1"/>
  <c r="E56" i="12"/>
  <c r="E57" i="12" s="1"/>
  <c r="E58" i="12" s="1"/>
  <c r="E59" i="12" s="1"/>
  <c r="E60" i="12" s="1"/>
  <c r="E61" i="12" s="1"/>
  <c r="E62" i="12" s="1"/>
  <c r="E63" i="12" s="1"/>
  <c r="E64" i="12" s="1"/>
  <c r="E65" i="12" s="1"/>
  <c r="E66" i="12" s="1"/>
  <c r="E67" i="12" s="1"/>
  <c r="E52" i="12"/>
  <c r="E53" i="12" s="1"/>
  <c r="E54" i="12" s="1"/>
  <c r="E55" i="12" s="1"/>
  <c r="D34" i="12"/>
  <c r="D35" i="12" s="1"/>
  <c r="E88" i="12"/>
  <c r="E89" i="12" s="1"/>
  <c r="E90" i="12" s="1"/>
  <c r="E91" i="12" s="1"/>
  <c r="E92" i="12" s="1"/>
  <c r="E93" i="12" s="1"/>
  <c r="E94" i="12" s="1"/>
  <c r="E95" i="12" s="1"/>
  <c r="F88" i="12"/>
  <c r="F89" i="12" s="1"/>
  <c r="F90" i="12" s="1"/>
  <c r="F91" i="12" s="1"/>
  <c r="F92" i="12" s="1"/>
  <c r="F93" i="12" s="1"/>
  <c r="F94" i="12" s="1"/>
  <c r="F95" i="12" s="1"/>
  <c r="G103" i="12"/>
  <c r="G104" i="12" s="1"/>
  <c r="G105" i="12" s="1"/>
  <c r="G106" i="12" s="1"/>
  <c r="F100" i="12"/>
  <c r="F101" i="12" s="1"/>
  <c r="F102" i="12" s="1"/>
  <c r="F96" i="12"/>
  <c r="F97" i="12" s="1"/>
  <c r="F98" i="12" s="1"/>
  <c r="F99" i="12" s="1"/>
  <c r="E100" i="12"/>
  <c r="E101" i="12" s="1"/>
  <c r="E102" i="12" s="1"/>
  <c r="E96" i="12"/>
  <c r="E97" i="12" s="1"/>
  <c r="E98" i="12" s="1"/>
  <c r="E99" i="12" s="1"/>
  <c r="G80" i="12"/>
  <c r="G74" i="12"/>
  <c r="V53" i="12" l="1"/>
  <c r="V56" i="12" s="1"/>
  <c r="V64" i="12" s="1"/>
  <c r="C21" i="12"/>
  <c r="C22" i="12" s="1"/>
  <c r="D23" i="12"/>
  <c r="D36" i="12"/>
  <c r="G107" i="12"/>
  <c r="G108" i="12" s="1"/>
  <c r="G109" i="12" s="1"/>
  <c r="G110" i="12" s="1"/>
  <c r="F35" i="11"/>
  <c r="F38" i="11" s="1"/>
  <c r="A44" i="11"/>
  <c r="M39" i="11"/>
  <c r="C41" i="11"/>
  <c r="B38" i="11" s="1"/>
  <c r="H38" i="11"/>
  <c r="G38" i="11"/>
  <c r="E38" i="11"/>
  <c r="G81" i="12"/>
  <c r="G75" i="12"/>
  <c r="G76" i="12" s="1"/>
  <c r="G77" i="12" s="1"/>
  <c r="G78" i="12" s="1"/>
  <c r="G79" i="12" s="1"/>
  <c r="E103" i="12"/>
  <c r="E104" i="12" s="1"/>
  <c r="E105" i="12" s="1"/>
  <c r="E106" i="12" s="1"/>
  <c r="F103" i="12"/>
  <c r="F104" i="12" s="1"/>
  <c r="F105" i="12" s="1"/>
  <c r="F106" i="12" s="1"/>
  <c r="G68" i="12"/>
  <c r="G69" i="12" s="1"/>
  <c r="G70" i="12" s="1"/>
  <c r="G71" i="12" s="1"/>
  <c r="G72" i="12" s="1"/>
  <c r="G73" i="12" s="1"/>
  <c r="F80" i="12"/>
  <c r="F74" i="12"/>
  <c r="E80" i="12"/>
  <c r="E74" i="12"/>
  <c r="K21" i="12" l="1"/>
  <c r="B21" i="13" s="1"/>
  <c r="D24" i="12"/>
  <c r="C23" i="12"/>
  <c r="K22" i="12"/>
  <c r="B22" i="13" s="1"/>
  <c r="E107" i="12"/>
  <c r="E108" i="12" s="1"/>
  <c r="E109" i="12" s="1"/>
  <c r="E110" i="12" s="1"/>
  <c r="F107" i="12"/>
  <c r="F108" i="12" s="1"/>
  <c r="F109" i="12" s="1"/>
  <c r="F110" i="12" s="1"/>
  <c r="G82" i="12"/>
  <c r="G83" i="12" s="1"/>
  <c r="G84" i="12" s="1"/>
  <c r="H41" i="11"/>
  <c r="G41" i="11"/>
  <c r="F41" i="11"/>
  <c r="E41" i="11"/>
  <c r="A47" i="11"/>
  <c r="E81" i="12"/>
  <c r="F81" i="12"/>
  <c r="E75" i="12"/>
  <c r="E76" i="12" s="1"/>
  <c r="E77" i="12" s="1"/>
  <c r="E78" i="12" s="1"/>
  <c r="E79" i="12" s="1"/>
  <c r="F75" i="12"/>
  <c r="F76" i="12" s="1"/>
  <c r="F77" i="12" s="1"/>
  <c r="F78" i="12" s="1"/>
  <c r="F79" i="12" s="1"/>
  <c r="I28" i="12"/>
  <c r="E68" i="12"/>
  <c r="E69" i="12" s="1"/>
  <c r="E70" i="12" s="1"/>
  <c r="E71" i="12" s="1"/>
  <c r="E72" i="12" s="1"/>
  <c r="E73" i="12" s="1"/>
  <c r="F68" i="12"/>
  <c r="F69" i="12" s="1"/>
  <c r="F70" i="12" s="1"/>
  <c r="F71" i="12" s="1"/>
  <c r="F72" i="12" s="1"/>
  <c r="F73" i="12" s="1"/>
  <c r="D25" i="12" l="1"/>
  <c r="C24" i="12"/>
  <c r="K23" i="12"/>
  <c r="B23" i="13" s="1"/>
  <c r="D37" i="12"/>
  <c r="F82" i="12"/>
  <c r="F83" i="12" s="1"/>
  <c r="F84" i="12" s="1"/>
  <c r="E82" i="12"/>
  <c r="E83" i="12" s="1"/>
  <c r="E84" i="12" s="1"/>
  <c r="A50" i="11"/>
  <c r="V68" i="12"/>
  <c r="V69" i="12" s="1"/>
  <c r="D26" i="12" l="1"/>
  <c r="C25" i="12"/>
  <c r="K24" i="12"/>
  <c r="B24" i="13" s="1"/>
  <c r="D38" i="12"/>
  <c r="D39" i="12" s="1"/>
  <c r="M42" i="11"/>
  <c r="C44" i="11"/>
  <c r="A53" i="11"/>
  <c r="V74" i="12"/>
  <c r="H21" i="12" l="1"/>
  <c r="H24" i="12"/>
  <c r="I21" i="12"/>
  <c r="C26" i="12"/>
  <c r="K25" i="12"/>
  <c r="B25" i="13" s="1"/>
  <c r="D40" i="12"/>
  <c r="I35" i="12"/>
  <c r="V80" i="12"/>
  <c r="M48" i="11" s="1"/>
  <c r="C47" i="11"/>
  <c r="M45" i="11"/>
  <c r="E44" i="11"/>
  <c r="H44" i="11"/>
  <c r="G44" i="11"/>
  <c r="B41" i="11"/>
  <c r="F44" i="11"/>
  <c r="A56" i="11"/>
  <c r="B21" i="12" l="1"/>
  <c r="T21" i="12" s="1"/>
  <c r="U21" i="12" s="1"/>
  <c r="K26" i="12"/>
  <c r="B26" i="13" s="1"/>
  <c r="C27" i="12"/>
  <c r="I14" i="12" s="1"/>
  <c r="C50" i="11"/>
  <c r="B47" i="11" s="1"/>
  <c r="V85" i="12"/>
  <c r="C53" i="11" s="1"/>
  <c r="E47" i="11"/>
  <c r="H47" i="11"/>
  <c r="B44" i="11"/>
  <c r="G47" i="11"/>
  <c r="F47" i="11"/>
  <c r="P39" i="11"/>
  <c r="P40" i="11" s="1"/>
  <c r="T39" i="11"/>
  <c r="S39" i="11"/>
  <c r="W39" i="11"/>
  <c r="Q39" i="11"/>
  <c r="V39" i="11"/>
  <c r="U39" i="11"/>
  <c r="AC39" i="11"/>
  <c r="AC40" i="11" s="1"/>
  <c r="A59" i="11"/>
  <c r="K27" i="12" l="1"/>
  <c r="C28" i="12"/>
  <c r="B50" i="11"/>
  <c r="F50" i="11"/>
  <c r="E50" i="11"/>
  <c r="V96" i="12"/>
  <c r="V100" i="12" s="1"/>
  <c r="V103" i="12" s="1"/>
  <c r="H53" i="11"/>
  <c r="M51" i="11"/>
  <c r="G53" i="11"/>
  <c r="G50" i="11"/>
  <c r="H50" i="11"/>
  <c r="Q40" i="11"/>
  <c r="R40" i="11" s="1"/>
  <c r="S40" i="11" s="1"/>
  <c r="T40" i="11" s="1"/>
  <c r="U40" i="11" s="1"/>
  <c r="A62" i="11"/>
  <c r="E53" i="11" l="1"/>
  <c r="C29" i="12"/>
  <c r="K28" i="12"/>
  <c r="B27" i="13"/>
  <c r="L21" i="11"/>
  <c r="F53" i="11"/>
  <c r="C56" i="11"/>
  <c r="M54" i="11"/>
  <c r="M57" i="11"/>
  <c r="C59" i="11"/>
  <c r="G59" i="11" s="1"/>
  <c r="V40" i="11"/>
  <c r="C62" i="11"/>
  <c r="M60" i="11"/>
  <c r="A65" i="11"/>
  <c r="E56" i="11" l="1"/>
  <c r="E59" i="11" s="1"/>
  <c r="E62" i="11" s="1"/>
  <c r="L24" i="11"/>
  <c r="B28" i="13"/>
  <c r="C30" i="12"/>
  <c r="K29" i="12"/>
  <c r="B29" i="13" s="1"/>
  <c r="D41" i="12"/>
  <c r="D42" i="12" s="1"/>
  <c r="D43" i="12" s="1"/>
  <c r="D44" i="12" s="1"/>
  <c r="B59" i="11"/>
  <c r="H59" i="11"/>
  <c r="G56" i="11"/>
  <c r="B53" i="11"/>
  <c r="F56" i="11"/>
  <c r="H56" i="11"/>
  <c r="B56" i="11"/>
  <c r="W40" i="11"/>
  <c r="C65" i="11"/>
  <c r="B62" i="11" s="1"/>
  <c r="A68" i="11"/>
  <c r="M63" i="11"/>
  <c r="H62" i="11"/>
  <c r="G62" i="11"/>
  <c r="C31" i="12" l="1"/>
  <c r="K30" i="12"/>
  <c r="B30" i="13" s="1"/>
  <c r="I39" i="12"/>
  <c r="D45" i="12"/>
  <c r="D46" i="12" s="1"/>
  <c r="D47" i="12" s="1"/>
  <c r="D48" i="12" s="1"/>
  <c r="D49" i="12" s="1"/>
  <c r="F59" i="11"/>
  <c r="A71" i="11"/>
  <c r="C68" i="11"/>
  <c r="B65" i="11" s="1"/>
  <c r="M66" i="11"/>
  <c r="G65" i="11"/>
  <c r="H65" i="11"/>
  <c r="E65" i="11"/>
  <c r="C32" i="12" l="1"/>
  <c r="K31" i="12"/>
  <c r="B31" i="13" s="1"/>
  <c r="I44" i="12"/>
  <c r="D50" i="12"/>
  <c r="D51" i="12" s="1"/>
  <c r="D52" i="12" s="1"/>
  <c r="D53" i="12" s="1"/>
  <c r="F62" i="11"/>
  <c r="M69" i="11"/>
  <c r="C71" i="11"/>
  <c r="B68" i="11" s="1"/>
  <c r="A74" i="11"/>
  <c r="H68" i="11"/>
  <c r="G68" i="11"/>
  <c r="E68" i="11"/>
  <c r="C33" i="12" l="1"/>
  <c r="K32" i="12"/>
  <c r="B32" i="13" s="1"/>
  <c r="I49" i="12"/>
  <c r="D54" i="12"/>
  <c r="F65" i="11"/>
  <c r="F68" i="11" s="1"/>
  <c r="F71" i="11" s="1"/>
  <c r="C74" i="11"/>
  <c r="B71" i="11" s="1"/>
  <c r="M72" i="11"/>
  <c r="A77" i="11"/>
  <c r="E71" i="11"/>
  <c r="H71" i="11"/>
  <c r="G71" i="11"/>
  <c r="I41" i="12"/>
  <c r="D55" i="12" l="1"/>
  <c r="D56" i="12" s="1"/>
  <c r="I41" i="11"/>
  <c r="K33" i="12"/>
  <c r="B33" i="13" s="1"/>
  <c r="C34" i="12"/>
  <c r="C77" i="11"/>
  <c r="B74" i="11" s="1"/>
  <c r="A80" i="11"/>
  <c r="M75" i="11"/>
  <c r="H74" i="11"/>
  <c r="E74" i="11"/>
  <c r="G74" i="11"/>
  <c r="F74" i="11"/>
  <c r="D57" i="12" l="1"/>
  <c r="D58" i="12" s="1"/>
  <c r="D59" i="12" s="1"/>
  <c r="D60" i="12" s="1"/>
  <c r="D61" i="12" s="1"/>
  <c r="D62" i="12" s="1"/>
  <c r="D63" i="12" s="1"/>
  <c r="D64" i="12" s="1"/>
  <c r="D65" i="12" s="1"/>
  <c r="D66" i="12" s="1"/>
  <c r="D67" i="12" s="1"/>
  <c r="I53" i="12"/>
  <c r="C35" i="12"/>
  <c r="K34" i="12"/>
  <c r="B34" i="13" s="1"/>
  <c r="C80" i="11"/>
  <c r="B77" i="11" s="1"/>
  <c r="A83" i="11"/>
  <c r="M78" i="11"/>
  <c r="E77" i="11"/>
  <c r="G77" i="11"/>
  <c r="H77" i="11"/>
  <c r="F77" i="11"/>
  <c r="U72" i="11"/>
  <c r="Q72" i="11"/>
  <c r="P72" i="11"/>
  <c r="P73" i="11" s="1"/>
  <c r="AC72" i="11"/>
  <c r="AC73" i="11" s="1"/>
  <c r="W72" i="11"/>
  <c r="V72" i="11"/>
  <c r="S72" i="11"/>
  <c r="R72" i="11"/>
  <c r="C36" i="12" l="1"/>
  <c r="K35" i="12"/>
  <c r="Q73" i="11"/>
  <c r="AC75" i="11"/>
  <c r="AC76" i="11" s="1"/>
  <c r="P75" i="11"/>
  <c r="P76" i="11" s="1"/>
  <c r="R75" i="11"/>
  <c r="Q75" i="11"/>
  <c r="W75" i="11"/>
  <c r="V75" i="11"/>
  <c r="U75" i="11"/>
  <c r="S75" i="11"/>
  <c r="C83" i="11"/>
  <c r="A86" i="11"/>
  <c r="M81" i="11"/>
  <c r="H80" i="11"/>
  <c r="F80" i="11"/>
  <c r="E80" i="11"/>
  <c r="G80" i="11"/>
  <c r="B35" i="13" l="1"/>
  <c r="L27" i="11"/>
  <c r="K36" i="12"/>
  <c r="B36" i="13" s="1"/>
  <c r="C37" i="12"/>
  <c r="Q76" i="11"/>
  <c r="R76" i="11" s="1"/>
  <c r="A89" i="11"/>
  <c r="M84" i="11"/>
  <c r="C86" i="11"/>
  <c r="G83" i="11"/>
  <c r="F83" i="11"/>
  <c r="E83" i="11"/>
  <c r="H83" i="11"/>
  <c r="B80" i="11"/>
  <c r="R73" i="11"/>
  <c r="K37" i="12" l="1"/>
  <c r="B37" i="13" s="1"/>
  <c r="C38" i="12"/>
  <c r="S76" i="11"/>
  <c r="S73" i="11"/>
  <c r="H86" i="11"/>
  <c r="F86" i="11"/>
  <c r="E86" i="11"/>
  <c r="G86" i="11"/>
  <c r="U78" i="11"/>
  <c r="S78" i="11"/>
  <c r="Q78" i="11"/>
  <c r="W78" i="11"/>
  <c r="P78" i="11"/>
  <c r="P79" i="11" s="1"/>
  <c r="AC78" i="11"/>
  <c r="AC79" i="11" s="1"/>
  <c r="V78" i="11"/>
  <c r="R78" i="11"/>
  <c r="B83" i="11"/>
  <c r="M87" i="11"/>
  <c r="C89" i="11"/>
  <c r="K38" i="12" l="1"/>
  <c r="B38" i="13" s="1"/>
  <c r="C39" i="12"/>
  <c r="Q79" i="11"/>
  <c r="R79" i="11" s="1"/>
  <c r="T73" i="11"/>
  <c r="S81" i="11"/>
  <c r="R81" i="11"/>
  <c r="AC81" i="11"/>
  <c r="AC82" i="11" s="1"/>
  <c r="P81" i="11"/>
  <c r="P82" i="11" s="1"/>
  <c r="W81" i="11"/>
  <c r="V81" i="11"/>
  <c r="U81" i="11"/>
  <c r="Q81" i="11"/>
  <c r="T76" i="11"/>
  <c r="H89" i="11"/>
  <c r="G89" i="11"/>
  <c r="E89" i="11"/>
  <c r="F89" i="11"/>
  <c r="B86" i="11"/>
  <c r="B89" i="11"/>
  <c r="K39" i="12" l="1"/>
  <c r="C40" i="12"/>
  <c r="Q82" i="11"/>
  <c r="U73" i="11"/>
  <c r="U76" i="11"/>
  <c r="S84" i="11"/>
  <c r="R84" i="11"/>
  <c r="Q84" i="11"/>
  <c r="W84" i="11"/>
  <c r="V84" i="11"/>
  <c r="U84" i="11"/>
  <c r="P84" i="11"/>
  <c r="P85" i="11" s="1"/>
  <c r="AC84" i="11"/>
  <c r="AC85" i="11" s="1"/>
  <c r="S79" i="11"/>
  <c r="K40" i="12" l="1"/>
  <c r="B40" i="13" s="1"/>
  <c r="C41" i="12"/>
  <c r="B39" i="13"/>
  <c r="L30" i="11"/>
  <c r="R82" i="11"/>
  <c r="V76" i="11"/>
  <c r="V73" i="11"/>
  <c r="Q85" i="11"/>
  <c r="T79" i="11"/>
  <c r="C42" i="12" l="1"/>
  <c r="K41" i="12"/>
  <c r="B41" i="13" s="1"/>
  <c r="L33" i="11"/>
  <c r="R85" i="11"/>
  <c r="U79" i="11"/>
  <c r="W73" i="11"/>
  <c r="W76" i="11"/>
  <c r="S82" i="11"/>
  <c r="C43" i="12" l="1"/>
  <c r="K42" i="12"/>
  <c r="B42" i="13" s="1"/>
  <c r="V79" i="11"/>
  <c r="T82" i="11"/>
  <c r="S85" i="11"/>
  <c r="D68" i="12"/>
  <c r="D69" i="12" s="1"/>
  <c r="D70" i="12" l="1"/>
  <c r="K43" i="12"/>
  <c r="B43" i="13" s="1"/>
  <c r="C44" i="12"/>
  <c r="H64" i="12"/>
  <c r="H53" i="12"/>
  <c r="B53" i="12" s="1"/>
  <c r="H41" i="12"/>
  <c r="B41" i="12" s="1"/>
  <c r="H49" i="12"/>
  <c r="B49" i="12" s="1"/>
  <c r="H56" i="12"/>
  <c r="H28" i="12"/>
  <c r="B28" i="12" s="1"/>
  <c r="U82" i="11"/>
  <c r="T85" i="11"/>
  <c r="W79" i="11"/>
  <c r="D71" i="12" l="1"/>
  <c r="K44" i="12"/>
  <c r="B44" i="13" s="1"/>
  <c r="C45" i="12"/>
  <c r="U85" i="11"/>
  <c r="I86" i="11"/>
  <c r="V82" i="11"/>
  <c r="D72" i="12" l="1"/>
  <c r="J38" i="11"/>
  <c r="I38" i="11"/>
  <c r="J35" i="11"/>
  <c r="I35" i="11"/>
  <c r="J83" i="11"/>
  <c r="I83" i="11"/>
  <c r="J32" i="11"/>
  <c r="I32" i="11"/>
  <c r="J80" i="11"/>
  <c r="I80" i="11"/>
  <c r="J29" i="11"/>
  <c r="I29" i="11"/>
  <c r="J59" i="11"/>
  <c r="J77" i="11"/>
  <c r="I77" i="11"/>
  <c r="J53" i="11"/>
  <c r="J26" i="11"/>
  <c r="J56" i="11"/>
  <c r="J71" i="11"/>
  <c r="J74" i="11"/>
  <c r="K45" i="12"/>
  <c r="B45" i="13" s="1"/>
  <c r="C46" i="12"/>
  <c r="J65" i="11"/>
  <c r="J68" i="11"/>
  <c r="J47" i="11"/>
  <c r="J50" i="11"/>
  <c r="J62" i="11"/>
  <c r="V85" i="11"/>
  <c r="J23" i="11"/>
  <c r="I20" i="11"/>
  <c r="D20" i="11" s="1"/>
  <c r="I23" i="11"/>
  <c r="I44" i="11"/>
  <c r="J44" i="11"/>
  <c r="J89" i="11"/>
  <c r="I89" i="11"/>
  <c r="I26" i="11"/>
  <c r="J41" i="11"/>
  <c r="D41" i="11" s="1"/>
  <c r="I50" i="11"/>
  <c r="I53" i="11"/>
  <c r="I47" i="11"/>
  <c r="I59" i="11"/>
  <c r="I56" i="11"/>
  <c r="I65" i="11"/>
  <c r="I62" i="11"/>
  <c r="I74" i="11"/>
  <c r="I71" i="11"/>
  <c r="I68" i="11"/>
  <c r="J86" i="11"/>
  <c r="D86" i="11" s="1"/>
  <c r="W82" i="11"/>
  <c r="D73" i="12" l="1"/>
  <c r="D38" i="11"/>
  <c r="D83" i="11"/>
  <c r="D35" i="11"/>
  <c r="D80" i="11"/>
  <c r="D59" i="11"/>
  <c r="D56" i="11"/>
  <c r="D32" i="11"/>
  <c r="D53" i="11"/>
  <c r="D77" i="11"/>
  <c r="D29" i="11"/>
  <c r="D65" i="11"/>
  <c r="D71" i="11"/>
  <c r="D74" i="11"/>
  <c r="D26" i="11"/>
  <c r="C47" i="12"/>
  <c r="K46" i="12"/>
  <c r="B46" i="13" s="1"/>
  <c r="D50" i="11"/>
  <c r="D47" i="11"/>
  <c r="D68" i="11"/>
  <c r="D62" i="11"/>
  <c r="D89" i="11"/>
  <c r="D23" i="11"/>
  <c r="W85" i="11"/>
  <c r="D44" i="11"/>
  <c r="I13" i="12"/>
  <c r="D74" i="12" l="1"/>
  <c r="I69" i="12" s="1"/>
  <c r="K47" i="12"/>
  <c r="B47" i="13" s="1"/>
  <c r="C48" i="12"/>
  <c r="L36" i="11"/>
  <c r="D75" i="12" l="1"/>
  <c r="D76" i="12" s="1"/>
  <c r="D77" i="12" s="1"/>
  <c r="D78" i="12" s="1"/>
  <c r="D79" i="12" s="1"/>
  <c r="D80" i="12" s="1"/>
  <c r="D81" i="12" s="1"/>
  <c r="D82" i="12" s="1"/>
  <c r="D83" i="12" s="1"/>
  <c r="D84" i="12" s="1"/>
  <c r="K48" i="12"/>
  <c r="B48" i="13" s="1"/>
  <c r="C49" i="12"/>
  <c r="I74" i="12" l="1"/>
  <c r="K49" i="12"/>
  <c r="B49" i="13" s="1"/>
  <c r="C50" i="12"/>
  <c r="D85" i="12"/>
  <c r="K50" i="12" l="1"/>
  <c r="B50" i="13" s="1"/>
  <c r="C51" i="12"/>
  <c r="D86" i="12"/>
  <c r="D87" i="12" s="1"/>
  <c r="D88" i="12" s="1"/>
  <c r="D89" i="12" s="1"/>
  <c r="I80" i="12"/>
  <c r="C52" i="12" l="1"/>
  <c r="K51" i="12"/>
  <c r="B51" i="13" s="1"/>
  <c r="L39" i="11"/>
  <c r="D90" i="12"/>
  <c r="D91" i="12" s="1"/>
  <c r="D92" i="12" s="1"/>
  <c r="C53" i="12" l="1"/>
  <c r="K52" i="12"/>
  <c r="B52" i="13" s="1"/>
  <c r="D93" i="12"/>
  <c r="D94" i="12" s="1"/>
  <c r="D95" i="12" s="1"/>
  <c r="C54" i="12" l="1"/>
  <c r="C55" i="12" s="1"/>
  <c r="K55" i="12" s="1"/>
  <c r="B55" i="13" s="1"/>
  <c r="K53" i="12"/>
  <c r="B53" i="13" s="1"/>
  <c r="D96" i="12"/>
  <c r="D97" i="12" s="1"/>
  <c r="D98" i="12" s="1"/>
  <c r="D99" i="12" s="1"/>
  <c r="D100" i="12" s="1"/>
  <c r="K54" i="12" l="1"/>
  <c r="B54" i="13" s="1"/>
  <c r="C56" i="12"/>
  <c r="I96" i="12"/>
  <c r="D101" i="12"/>
  <c r="D102" i="12" s="1"/>
  <c r="K56" i="12" l="1"/>
  <c r="B56" i="13" s="1"/>
  <c r="C57" i="12"/>
  <c r="H44" i="12"/>
  <c r="B44" i="12" s="1"/>
  <c r="K57" i="12" l="1"/>
  <c r="B57" i="13" s="1"/>
  <c r="C58" i="12"/>
  <c r="D103" i="12"/>
  <c r="C59" i="12" l="1"/>
  <c r="K58" i="12"/>
  <c r="B58" i="13" s="1"/>
  <c r="D104" i="12"/>
  <c r="I100" i="12"/>
  <c r="C60" i="12" l="1"/>
  <c r="K59" i="12"/>
  <c r="B59" i="13" s="1"/>
  <c r="D105" i="12"/>
  <c r="I85" i="12"/>
  <c r="K60" i="12" l="1"/>
  <c r="B60" i="13" s="1"/>
  <c r="C61" i="12"/>
  <c r="D106" i="12"/>
  <c r="D107" i="12" s="1"/>
  <c r="C62" i="12" l="1"/>
  <c r="K61" i="12"/>
  <c r="B61" i="13" s="1"/>
  <c r="D108" i="12"/>
  <c r="D109" i="12" s="1"/>
  <c r="K62" i="12" l="1"/>
  <c r="B62" i="13" s="1"/>
  <c r="C63" i="12"/>
  <c r="D110" i="12"/>
  <c r="H19" i="12" l="1"/>
  <c r="B19" i="12" s="1"/>
  <c r="T19" i="12" s="1"/>
  <c r="U19" i="12" s="1"/>
  <c r="H69" i="12"/>
  <c r="B69" i="12" s="1"/>
  <c r="T69" i="12" s="1"/>
  <c r="U69" i="12" s="1"/>
  <c r="I24" i="12"/>
  <c r="B24" i="12" s="1"/>
  <c r="T24" i="12" s="1"/>
  <c r="U24" i="12" s="1"/>
  <c r="H15" i="12"/>
  <c r="I15" i="12"/>
  <c r="C64" i="12"/>
  <c r="K63" i="12"/>
  <c r="B63" i="13" s="1"/>
  <c r="H39" i="12"/>
  <c r="B39" i="12" s="1"/>
  <c r="T39" i="12" s="1"/>
  <c r="U39" i="12" s="1"/>
  <c r="I64" i="12"/>
  <c r="B64" i="12" s="1"/>
  <c r="T64" i="12" s="1"/>
  <c r="U64" i="12" s="1"/>
  <c r="I103" i="12"/>
  <c r="I56" i="12"/>
  <c r="B56" i="12" s="1"/>
  <c r="H35" i="12"/>
  <c r="B35" i="12" s="1"/>
  <c r="T35" i="12" s="1"/>
  <c r="U35" i="12" s="1"/>
  <c r="H103" i="12"/>
  <c r="H85" i="12"/>
  <c r="B85" i="12" s="1"/>
  <c r="H100" i="12"/>
  <c r="B100" i="12" s="1"/>
  <c r="H96" i="12"/>
  <c r="B96" i="12" s="1"/>
  <c r="H80" i="12"/>
  <c r="B80" i="12" s="1"/>
  <c r="H74" i="12"/>
  <c r="B74" i="12" s="1"/>
  <c r="B15" i="12" l="1"/>
  <c r="T15" i="12" s="1"/>
  <c r="U15" i="12" s="1"/>
  <c r="C65" i="12"/>
  <c r="K64" i="12"/>
  <c r="B64" i="13" s="1"/>
  <c r="B103" i="12"/>
  <c r="K65" i="12" l="1"/>
  <c r="B65" i="13" s="1"/>
  <c r="C66" i="12"/>
  <c r="K66" i="12" l="1"/>
  <c r="B66" i="13" s="1"/>
  <c r="C67" i="12"/>
  <c r="K67" i="12" l="1"/>
  <c r="B67" i="13" s="1"/>
  <c r="C68" i="12" l="1"/>
  <c r="C69" i="12" s="1"/>
  <c r="C70" i="12" l="1"/>
  <c r="K69" i="12"/>
  <c r="B69" i="13" s="1"/>
  <c r="K68" i="12"/>
  <c r="I27" i="12"/>
  <c r="C71" i="12" l="1"/>
  <c r="K70" i="12"/>
  <c r="B70" i="13" s="1"/>
  <c r="L42" i="11"/>
  <c r="B68" i="13"/>
  <c r="C72" i="12" l="1"/>
  <c r="K71" i="12"/>
  <c r="B71" i="13" s="1"/>
  <c r="L45" i="11"/>
  <c r="C73" i="12" l="1"/>
  <c r="K72" i="12"/>
  <c r="B72" i="13" s="1"/>
  <c r="K73" i="12" l="1"/>
  <c r="B73" i="13" s="1"/>
  <c r="C74" i="12"/>
  <c r="C75" i="12" l="1"/>
  <c r="K74" i="12"/>
  <c r="B74" i="13" s="1"/>
  <c r="K75" i="12" l="1"/>
  <c r="B75" i="13" s="1"/>
  <c r="C76" i="12"/>
  <c r="C77" i="12" l="1"/>
  <c r="K76" i="12"/>
  <c r="B76" i="13" s="1"/>
  <c r="C78" i="12" l="1"/>
  <c r="K77" i="12"/>
  <c r="B77" i="13" s="1"/>
  <c r="L48" i="11"/>
  <c r="K78" i="12" l="1"/>
  <c r="B78" i="13" s="1"/>
  <c r="C79" i="12"/>
  <c r="K79" i="12" l="1"/>
  <c r="B79" i="13" s="1"/>
  <c r="C80" i="12"/>
  <c r="C81" i="12" l="1"/>
  <c r="K80" i="12"/>
  <c r="B80" i="13" s="1"/>
  <c r="C82" i="12" l="1"/>
  <c r="K81" i="12"/>
  <c r="B81" i="13" s="1"/>
  <c r="K82" i="12" l="1"/>
  <c r="B82" i="13" s="1"/>
  <c r="C83" i="12"/>
  <c r="L51" i="11"/>
  <c r="C84" i="12" l="1"/>
  <c r="K83" i="12"/>
  <c r="B83" i="13" s="1"/>
  <c r="K84" i="12" l="1"/>
  <c r="B84" i="13" s="1"/>
  <c r="C85" i="12"/>
  <c r="C86" i="12" l="1"/>
  <c r="K85" i="12"/>
  <c r="B85" i="13" s="1"/>
  <c r="K86" i="12" l="1"/>
  <c r="B86" i="13" s="1"/>
  <c r="C87" i="12"/>
  <c r="K87" i="12" l="1"/>
  <c r="B87" i="13" s="1"/>
  <c r="C88" i="12"/>
  <c r="K88" i="12" l="1"/>
  <c r="B88" i="13" s="1"/>
  <c r="C89" i="12"/>
  <c r="K89" i="12" l="1"/>
  <c r="B89" i="13" s="1"/>
  <c r="C90" i="12"/>
  <c r="K90" i="12" l="1"/>
  <c r="B90" i="13" s="1"/>
  <c r="C91" i="12"/>
  <c r="K91" i="12" l="1"/>
  <c r="B91" i="13" s="1"/>
  <c r="C92" i="12"/>
  <c r="L78" i="11"/>
  <c r="L72" i="11"/>
  <c r="L75" i="11"/>
  <c r="L66" i="11"/>
  <c r="L69" i="11"/>
  <c r="L60" i="11"/>
  <c r="L63" i="11"/>
  <c r="C93" i="12" l="1"/>
  <c r="K92" i="12"/>
  <c r="B92" i="13" s="1"/>
  <c r="L54" i="11"/>
  <c r="K93" i="12" l="1"/>
  <c r="B93" i="13" s="1"/>
  <c r="C94" i="12"/>
  <c r="C95" i="12" s="1"/>
  <c r="K95" i="12" s="1"/>
  <c r="B95" i="13" s="1"/>
  <c r="K94" i="12" l="1"/>
  <c r="B94" i="13" s="1"/>
  <c r="C96" i="12"/>
  <c r="K96" i="12" l="1"/>
  <c r="B96" i="13" s="1"/>
  <c r="C97" i="12"/>
  <c r="C98" i="12" l="1"/>
  <c r="K97" i="12"/>
  <c r="B97" i="13" s="1"/>
  <c r="L57" i="11"/>
  <c r="L81" i="11"/>
  <c r="K98" i="12" l="1"/>
  <c r="B98" i="13" s="1"/>
  <c r="C99" i="12"/>
  <c r="X75" i="12"/>
  <c r="X52" i="12"/>
  <c r="X34" i="12"/>
  <c r="X45" i="12"/>
  <c r="X57" i="12"/>
  <c r="X88" i="12"/>
  <c r="X58" i="12"/>
  <c r="X46" i="12"/>
  <c r="X91" i="12"/>
  <c r="X90" i="12"/>
  <c r="X101" i="12"/>
  <c r="X79" i="12"/>
  <c r="X43" i="12"/>
  <c r="X60" i="12"/>
  <c r="X62" i="12"/>
  <c r="X29" i="12"/>
  <c r="X87" i="12"/>
  <c r="X83" i="12"/>
  <c r="X47" i="12"/>
  <c r="X99" i="12"/>
  <c r="X76" i="12"/>
  <c r="X104" i="12"/>
  <c r="X98" i="12"/>
  <c r="X109" i="12"/>
  <c r="X50" i="12"/>
  <c r="X77" i="12"/>
  <c r="X92" i="12"/>
  <c r="X59" i="12"/>
  <c r="X93" i="12"/>
  <c r="X78" i="12"/>
  <c r="X54" i="12"/>
  <c r="X63" i="12"/>
  <c r="X89" i="12"/>
  <c r="X48" i="12"/>
  <c r="X42" i="12"/>
  <c r="X31" i="12"/>
  <c r="X30" i="12"/>
  <c r="X61" i="12"/>
  <c r="X84" i="12"/>
  <c r="X33" i="12"/>
  <c r="X32" i="12"/>
  <c r="X86" i="12"/>
  <c r="X97" i="12"/>
  <c r="X81" i="12"/>
  <c r="X51" i="12"/>
  <c r="K99" i="12" l="1"/>
  <c r="B99" i="13" s="1"/>
  <c r="C100" i="12"/>
  <c r="C101" i="12" l="1"/>
  <c r="C102" i="12" s="1"/>
  <c r="K102" i="12" s="1"/>
  <c r="B102" i="13" s="1"/>
  <c r="K100" i="12"/>
  <c r="S52" i="12"/>
  <c r="T52" i="12" s="1"/>
  <c r="U52" i="12" s="1"/>
  <c r="S88" i="12"/>
  <c r="T88" i="12" s="1"/>
  <c r="U88" i="12" s="1"/>
  <c r="D90" i="13"/>
  <c r="D60" i="13"/>
  <c r="C83" i="13"/>
  <c r="D104" i="13"/>
  <c r="S77" i="12"/>
  <c r="T77" i="12" s="1"/>
  <c r="U77" i="12" s="1"/>
  <c r="D59" i="13"/>
  <c r="S63" i="12"/>
  <c r="T63" i="12" s="1"/>
  <c r="U63" i="12" s="1"/>
  <c r="C42" i="13"/>
  <c r="D61" i="13"/>
  <c r="C33" i="13"/>
  <c r="S86" i="12"/>
  <c r="T86" i="12" s="1"/>
  <c r="U86" i="12" s="1"/>
  <c r="S81" i="12"/>
  <c r="T81" i="12" s="1"/>
  <c r="C75" i="13"/>
  <c r="C52" i="13"/>
  <c r="D34" i="13"/>
  <c r="C57" i="13"/>
  <c r="C88" i="13"/>
  <c r="D58" i="13"/>
  <c r="S91" i="12"/>
  <c r="T91" i="12" s="1"/>
  <c r="U91" i="12" s="1"/>
  <c r="C90" i="13"/>
  <c r="S101" i="12"/>
  <c r="T101" i="12" s="1"/>
  <c r="T100" i="12" s="1"/>
  <c r="S43" i="12"/>
  <c r="T43" i="12" s="1"/>
  <c r="U43" i="12" s="1"/>
  <c r="S60" i="12"/>
  <c r="T60" i="12" s="1"/>
  <c r="U60" i="12" s="1"/>
  <c r="C62" i="13"/>
  <c r="C87" i="13"/>
  <c r="S83" i="12"/>
  <c r="T83" i="12" s="1"/>
  <c r="U83" i="12" s="1"/>
  <c r="S47" i="12"/>
  <c r="T47" i="12" s="1"/>
  <c r="U47" i="12" s="1"/>
  <c r="S76" i="12"/>
  <c r="T76" i="12" s="1"/>
  <c r="U76" i="12" s="1"/>
  <c r="C104" i="13"/>
  <c r="S98" i="12"/>
  <c r="T98" i="12" s="1"/>
  <c r="U98" i="12" s="1"/>
  <c r="D50" i="13"/>
  <c r="C77" i="13"/>
  <c r="S92" i="12"/>
  <c r="T92" i="12" s="1"/>
  <c r="U92" i="12" s="1"/>
  <c r="S93" i="12"/>
  <c r="T93" i="12" s="1"/>
  <c r="U93" i="12" s="1"/>
  <c r="S78" i="12"/>
  <c r="T78" i="12" s="1"/>
  <c r="U78" i="12" s="1"/>
  <c r="C54" i="13"/>
  <c r="C89" i="13"/>
  <c r="S48" i="12"/>
  <c r="T48" i="12" s="1"/>
  <c r="U48" i="12" s="1"/>
  <c r="S42" i="12"/>
  <c r="T42" i="12" s="1"/>
  <c r="T41" i="12" s="1"/>
  <c r="U41" i="12" s="1"/>
  <c r="D30" i="13"/>
  <c r="C61" i="13"/>
  <c r="S84" i="12"/>
  <c r="T84" i="12" s="1"/>
  <c r="U84" i="12" s="1"/>
  <c r="D32" i="13"/>
  <c r="D86" i="13"/>
  <c r="D97" i="13"/>
  <c r="C51" i="13"/>
  <c r="S34" i="12"/>
  <c r="T34" i="12" s="1"/>
  <c r="U34" i="12" s="1"/>
  <c r="C58" i="13"/>
  <c r="D101" i="13"/>
  <c r="D62" i="13"/>
  <c r="D47" i="13"/>
  <c r="D98" i="13"/>
  <c r="C92" i="13"/>
  <c r="C78" i="13"/>
  <c r="D48" i="13"/>
  <c r="D31" i="13"/>
  <c r="D84" i="13"/>
  <c r="S97" i="12"/>
  <c r="T97" i="12" s="1"/>
  <c r="U97" i="12" s="1"/>
  <c r="D75" i="13"/>
  <c r="D52" i="13"/>
  <c r="S45" i="12"/>
  <c r="T45" i="12" s="1"/>
  <c r="U45" i="12" s="1"/>
  <c r="S57" i="12"/>
  <c r="T57" i="12" s="1"/>
  <c r="U57" i="12" s="1"/>
  <c r="D88" i="13"/>
  <c r="S46" i="12"/>
  <c r="T46" i="12" s="1"/>
  <c r="U46" i="12" s="1"/>
  <c r="D91" i="13"/>
  <c r="S90" i="12"/>
  <c r="T90" i="12" s="1"/>
  <c r="U90" i="12" s="1"/>
  <c r="C79" i="13"/>
  <c r="D43" i="13"/>
  <c r="C60" i="13"/>
  <c r="D29" i="13"/>
  <c r="D87" i="13"/>
  <c r="D83" i="13"/>
  <c r="C99" i="13"/>
  <c r="D76" i="13"/>
  <c r="S104" i="12"/>
  <c r="T104" i="12" s="1"/>
  <c r="U104" i="12" s="1"/>
  <c r="D109" i="13"/>
  <c r="C50" i="13"/>
  <c r="D77" i="13"/>
  <c r="C59" i="13"/>
  <c r="C93" i="13"/>
  <c r="D78" i="13"/>
  <c r="D63" i="13"/>
  <c r="S89" i="12"/>
  <c r="T89" i="12" s="1"/>
  <c r="U89" i="12" s="1"/>
  <c r="C48" i="13"/>
  <c r="C31" i="13"/>
  <c r="C30" i="13"/>
  <c r="S61" i="12"/>
  <c r="T61" i="12" s="1"/>
  <c r="U61" i="12" s="1"/>
  <c r="D33" i="13"/>
  <c r="S32" i="12"/>
  <c r="T32" i="12" s="1"/>
  <c r="U32" i="12" s="1"/>
  <c r="C86" i="13"/>
  <c r="D81" i="13"/>
  <c r="D51" i="13"/>
  <c r="C45" i="13"/>
  <c r="D46" i="13"/>
  <c r="S79" i="12"/>
  <c r="T79" i="12" s="1"/>
  <c r="U79" i="12" s="1"/>
  <c r="C29" i="13"/>
  <c r="S99" i="12"/>
  <c r="T99" i="12" s="1"/>
  <c r="U99" i="12" s="1"/>
  <c r="C109" i="13"/>
  <c r="S54" i="12"/>
  <c r="T54" i="12" s="1"/>
  <c r="U54" i="12" s="1"/>
  <c r="S75" i="12"/>
  <c r="T75" i="12" s="1"/>
  <c r="C34" i="13"/>
  <c r="D45" i="13"/>
  <c r="D57" i="13"/>
  <c r="S58" i="12"/>
  <c r="T58" i="12" s="1"/>
  <c r="U58" i="12" s="1"/>
  <c r="C46" i="13"/>
  <c r="C91" i="13"/>
  <c r="C101" i="13"/>
  <c r="D79" i="13"/>
  <c r="C43" i="13"/>
  <c r="S62" i="12"/>
  <c r="T62" i="12" s="1"/>
  <c r="U62" i="12" s="1"/>
  <c r="S29" i="12"/>
  <c r="T29" i="12" s="1"/>
  <c r="U29" i="12" s="1"/>
  <c r="S87" i="12"/>
  <c r="T87" i="12" s="1"/>
  <c r="U87" i="12" s="1"/>
  <c r="C47" i="13"/>
  <c r="D99" i="13"/>
  <c r="C76" i="13"/>
  <c r="C98" i="13"/>
  <c r="S109" i="12"/>
  <c r="T109" i="12" s="1"/>
  <c r="U109" i="12" s="1"/>
  <c r="S50" i="12"/>
  <c r="T50" i="12" s="1"/>
  <c r="U50" i="12" s="1"/>
  <c r="D92" i="13"/>
  <c r="S59" i="12"/>
  <c r="T59" i="12" s="1"/>
  <c r="U59" i="12" s="1"/>
  <c r="D93" i="13"/>
  <c r="D54" i="13"/>
  <c r="C63" i="13"/>
  <c r="D89" i="13"/>
  <c r="D42" i="13"/>
  <c r="S31" i="12"/>
  <c r="T31" i="12" s="1"/>
  <c r="U31" i="12" s="1"/>
  <c r="S30" i="12"/>
  <c r="T30" i="12" s="1"/>
  <c r="U30" i="12" s="1"/>
  <c r="C84" i="13"/>
  <c r="S33" i="12"/>
  <c r="T33" i="12" s="1"/>
  <c r="U33" i="12" s="1"/>
  <c r="C32" i="13"/>
  <c r="C97" i="13"/>
  <c r="C81" i="13"/>
  <c r="S51" i="12"/>
  <c r="T51" i="12" s="1"/>
  <c r="U51" i="12" s="1"/>
  <c r="U101" i="12"/>
  <c r="U100" i="12"/>
  <c r="T103" i="12" l="1"/>
  <c r="U103" i="12" s="1"/>
  <c r="T53" i="12"/>
  <c r="U53" i="12" s="1"/>
  <c r="U42" i="12"/>
  <c r="T49" i="12"/>
  <c r="U49" i="12" s="1"/>
  <c r="T96" i="12"/>
  <c r="U96" i="12" s="1"/>
  <c r="T74" i="12"/>
  <c r="K74" i="11" s="1"/>
  <c r="N72" i="11" s="1"/>
  <c r="T80" i="12"/>
  <c r="U80" i="12" s="1"/>
  <c r="U75" i="12"/>
  <c r="T12" i="12"/>
  <c r="N14" i="11" s="1"/>
  <c r="U81" i="12"/>
  <c r="T85" i="12"/>
  <c r="U85" i="12" s="1"/>
  <c r="T56" i="12"/>
  <c r="U56" i="12" s="1"/>
  <c r="T44" i="12"/>
  <c r="U44" i="12" s="1"/>
  <c r="B100" i="13"/>
  <c r="L84" i="11"/>
  <c r="C103" i="12"/>
  <c r="K101" i="12"/>
  <c r="B101" i="13" s="1"/>
  <c r="T28" i="12"/>
  <c r="K41" i="11" s="1"/>
  <c r="N39" i="11" s="1"/>
  <c r="K50" i="11"/>
  <c r="N48" i="11" s="1"/>
  <c r="K86" i="11"/>
  <c r="N84" i="11" s="1"/>
  <c r="K44" i="11"/>
  <c r="N42" i="11" s="1"/>
  <c r="K47" i="11"/>
  <c r="N45" i="11" s="1"/>
  <c r="K89" i="11" l="1"/>
  <c r="N87" i="11" s="1"/>
  <c r="K83" i="11"/>
  <c r="N81" i="11" s="1"/>
  <c r="T83" i="11" s="1"/>
  <c r="U74" i="12"/>
  <c r="K77" i="11"/>
  <c r="N75" i="11" s="1"/>
  <c r="Q77" i="11" s="1"/>
  <c r="K80" i="11"/>
  <c r="N78" i="11" s="1"/>
  <c r="S80" i="11" s="1"/>
  <c r="U28" i="12"/>
  <c r="K103" i="12"/>
  <c r="C104" i="12"/>
  <c r="AC86" i="11"/>
  <c r="S86" i="11"/>
  <c r="W86" i="11"/>
  <c r="T86" i="11"/>
  <c r="P86" i="11"/>
  <c r="R86" i="11"/>
  <c r="V86" i="11"/>
  <c r="Q86" i="11"/>
  <c r="U86" i="11"/>
  <c r="P74" i="11"/>
  <c r="S74" i="11"/>
  <c r="W74" i="11"/>
  <c r="AC74" i="11"/>
  <c r="T74" i="11"/>
  <c r="Q74" i="11"/>
  <c r="U74" i="11"/>
  <c r="R74" i="11"/>
  <c r="V74" i="11"/>
  <c r="P41" i="11"/>
  <c r="T41" i="11"/>
  <c r="R41" i="11"/>
  <c r="U41" i="11"/>
  <c r="Q41" i="11"/>
  <c r="V41" i="11"/>
  <c r="AC41" i="11"/>
  <c r="S41" i="11"/>
  <c r="W41" i="11"/>
  <c r="Q83" i="11" l="1"/>
  <c r="P83" i="11"/>
  <c r="W83" i="11"/>
  <c r="U83" i="11"/>
  <c r="S83" i="11"/>
  <c r="AC83" i="11"/>
  <c r="R83" i="11"/>
  <c r="V83" i="11"/>
  <c r="AC77" i="11"/>
  <c r="R77" i="11"/>
  <c r="P77" i="11"/>
  <c r="S77" i="11"/>
  <c r="T77" i="11"/>
  <c r="U77" i="11"/>
  <c r="V77" i="11"/>
  <c r="W77" i="11"/>
  <c r="V80" i="11"/>
  <c r="AC80" i="11"/>
  <c r="U80" i="11"/>
  <c r="Q80" i="11"/>
  <c r="P80" i="11"/>
  <c r="W80" i="11"/>
  <c r="R80" i="11"/>
  <c r="T80" i="11"/>
  <c r="K104" i="12"/>
  <c r="B104" i="13" s="1"/>
  <c r="C105" i="12"/>
  <c r="L87" i="11"/>
  <c r="B103" i="13"/>
  <c r="K105" i="12" l="1"/>
  <c r="B105" i="13" s="1"/>
  <c r="C106" i="12"/>
  <c r="V48" i="11"/>
  <c r="W45" i="11"/>
  <c r="Q42" i="11"/>
  <c r="W42" i="11"/>
  <c r="T42" i="11"/>
  <c r="V42" i="11"/>
  <c r="S87" i="11"/>
  <c r="S42" i="11"/>
  <c r="U42" i="11"/>
  <c r="C107" i="12" l="1"/>
  <c r="K106" i="12"/>
  <c r="B106" i="13" s="1"/>
  <c r="AC42" i="11"/>
  <c r="AC43" i="11" s="1"/>
  <c r="AC44" i="11" s="1"/>
  <c r="P42" i="11"/>
  <c r="P43" i="11" s="1"/>
  <c r="Q45" i="11"/>
  <c r="P45" i="11"/>
  <c r="P46" i="11" s="1"/>
  <c r="P47" i="11" s="1"/>
  <c r="K107" i="12" l="1"/>
  <c r="B107" i="13" s="1"/>
  <c r="C108" i="12"/>
  <c r="Q43" i="11"/>
  <c r="P44" i="11"/>
  <c r="C109" i="12" l="1"/>
  <c r="K108" i="12"/>
  <c r="B108" i="13" s="1"/>
  <c r="Q44" i="11"/>
  <c r="R43" i="11"/>
  <c r="C110" i="12" l="1"/>
  <c r="K109" i="12"/>
  <c r="B109" i="13" s="1"/>
  <c r="K32" i="11"/>
  <c r="N30" i="11" s="1"/>
  <c r="K26" i="11"/>
  <c r="N24" i="11" s="1"/>
  <c r="K29" i="11"/>
  <c r="N27" i="11" s="1"/>
  <c r="S43" i="11"/>
  <c r="R44" i="11"/>
  <c r="K110" i="12" l="1"/>
  <c r="B110" i="13" s="1"/>
  <c r="K56" i="11"/>
  <c r="N54" i="11" s="1"/>
  <c r="K59" i="11"/>
  <c r="N57" i="11" s="1"/>
  <c r="K53" i="11"/>
  <c r="N51" i="11" s="1"/>
  <c r="T43" i="11"/>
  <c r="S44" i="11"/>
  <c r="K62" i="11" l="1"/>
  <c r="N60" i="11" s="1"/>
  <c r="K65" i="11"/>
  <c r="N63" i="11" s="1"/>
  <c r="W60" i="11"/>
  <c r="R60" i="11"/>
  <c r="S60" i="11"/>
  <c r="V60" i="11"/>
  <c r="U60" i="11"/>
  <c r="W54" i="11"/>
  <c r="V54" i="11"/>
  <c r="U43" i="11"/>
  <c r="T44" i="11"/>
  <c r="V57" i="11" l="1"/>
  <c r="S57" i="11"/>
  <c r="R54" i="11"/>
  <c r="V51" i="11"/>
  <c r="W51" i="11"/>
  <c r="R51" i="11"/>
  <c r="U51" i="11"/>
  <c r="S51" i="11"/>
  <c r="V43" i="11"/>
  <c r="U44" i="11"/>
  <c r="V63" i="11" l="1"/>
  <c r="U63" i="11"/>
  <c r="W63" i="11"/>
  <c r="S54" i="11"/>
  <c r="V44" i="11"/>
  <c r="W43" i="11"/>
  <c r="W44" i="11" s="1"/>
  <c r="V45" i="11"/>
  <c r="U45" i="11"/>
  <c r="S45" i="11"/>
  <c r="Q46" i="11"/>
  <c r="R46" i="11" s="1"/>
  <c r="AC45" i="11"/>
  <c r="AC46" i="11" s="1"/>
  <c r="AC47" i="11" s="1"/>
  <c r="R63" i="11" l="1"/>
  <c r="Q47" i="11"/>
  <c r="Q48" i="11"/>
  <c r="R47" i="11"/>
  <c r="S46" i="11"/>
  <c r="T46" i="11" l="1"/>
  <c r="S47" i="11"/>
  <c r="T47" i="11" l="1"/>
  <c r="U46" i="11"/>
  <c r="K35" i="11" l="1"/>
  <c r="N33" i="11" s="1"/>
  <c r="V46" i="11"/>
  <c r="U47" i="11"/>
  <c r="V47" i="11" l="1"/>
  <c r="W46" i="11"/>
  <c r="W47" i="11" s="1"/>
  <c r="W48" i="11"/>
  <c r="U48" i="11"/>
  <c r="S48" i="11"/>
  <c r="R48" i="11"/>
  <c r="P48" i="11"/>
  <c r="P49" i="11" s="1"/>
  <c r="Q49" i="11" s="1"/>
  <c r="AC48" i="11"/>
  <c r="AC49" i="11" s="1"/>
  <c r="AC50" i="11" s="1"/>
  <c r="P50" i="11" l="1"/>
  <c r="R49" i="11"/>
  <c r="Q50" i="11"/>
  <c r="P51" i="11"/>
  <c r="P52" i="11" s="1"/>
  <c r="H27" i="12" l="1"/>
  <c r="B27" i="12" s="1"/>
  <c r="T27" i="12" s="1"/>
  <c r="H14" i="12"/>
  <c r="B14" i="12" s="1"/>
  <c r="T14" i="12" s="1"/>
  <c r="I68" i="12"/>
  <c r="H13" i="12"/>
  <c r="B13" i="12" s="1"/>
  <c r="H68" i="12"/>
  <c r="Q51" i="11"/>
  <c r="P53" i="11"/>
  <c r="R50" i="11"/>
  <c r="S49" i="11"/>
  <c r="B68" i="12" l="1"/>
  <c r="T68" i="12" s="1"/>
  <c r="K68" i="11" s="1"/>
  <c r="N66" i="11" s="1"/>
  <c r="K23" i="11"/>
  <c r="N21" i="11" s="1"/>
  <c r="U14" i="12"/>
  <c r="K38" i="11"/>
  <c r="N36" i="11" s="1"/>
  <c r="U27" i="12"/>
  <c r="T13" i="12"/>
  <c r="T49" i="11"/>
  <c r="S50" i="11"/>
  <c r="B12" i="12" l="1"/>
  <c r="K20" i="11"/>
  <c r="N18" i="11" s="1"/>
  <c r="U13" i="12"/>
  <c r="K71" i="11"/>
  <c r="N69" i="11" s="1"/>
  <c r="U68" i="12"/>
  <c r="T50" i="11"/>
  <c r="U49" i="11"/>
  <c r="U5" i="12" l="1"/>
  <c r="V49" i="11"/>
  <c r="U50" i="11"/>
  <c r="W49" i="11" l="1"/>
  <c r="W50" i="11" s="1"/>
  <c r="V50" i="11"/>
  <c r="Q52" i="11" l="1"/>
  <c r="R52" i="11" s="1"/>
  <c r="AC51" i="11"/>
  <c r="AC52" i="11" s="1"/>
  <c r="AC53" i="11" s="1"/>
  <c r="W18" i="11"/>
  <c r="P19" i="11"/>
  <c r="P20" i="11" s="1"/>
  <c r="Q18" i="11"/>
  <c r="R18" i="11"/>
  <c r="T18" i="11"/>
  <c r="S18" i="11"/>
  <c r="V18" i="11"/>
  <c r="U18" i="11"/>
  <c r="AC18" i="11"/>
  <c r="AC19" i="11" s="1"/>
  <c r="AC20" i="11" s="1"/>
  <c r="Q53" i="11" l="1"/>
  <c r="S52" i="11"/>
  <c r="S53" i="11" s="1"/>
  <c r="R53" i="11"/>
  <c r="Q19" i="11"/>
  <c r="P54" i="11"/>
  <c r="P55" i="11" s="1"/>
  <c r="T52" i="11" l="1"/>
  <c r="T53" i="11" s="1"/>
  <c r="Q54" i="11"/>
  <c r="P56" i="11"/>
  <c r="R24" i="11"/>
  <c r="S24" i="11"/>
  <c r="R19" i="11"/>
  <c r="Q20" i="11"/>
  <c r="U52" i="11" l="1"/>
  <c r="U53" i="11" s="1"/>
  <c r="R20" i="11"/>
  <c r="S19" i="11"/>
  <c r="V52" i="11" l="1"/>
  <c r="W52" i="11" s="1"/>
  <c r="W53" i="11" s="1"/>
  <c r="S20" i="11"/>
  <c r="T19" i="11"/>
  <c r="V53" i="11" l="1"/>
  <c r="W24" i="11"/>
  <c r="T20" i="11"/>
  <c r="U19" i="11"/>
  <c r="V19" i="11" l="1"/>
  <c r="U20" i="11"/>
  <c r="V20" i="11" l="1"/>
  <c r="W19" i="11"/>
  <c r="W20" i="11" s="1"/>
  <c r="V24" i="11"/>
  <c r="U24" i="11"/>
  <c r="T24" i="11"/>
  <c r="P24" i="11"/>
  <c r="P25" i="11" s="1"/>
  <c r="U54" i="11"/>
  <c r="Q55" i="11"/>
  <c r="R55" i="11" s="1"/>
  <c r="AC24" i="11"/>
  <c r="AC25" i="11" s="1"/>
  <c r="AC26" i="11" s="1"/>
  <c r="AC54" i="11"/>
  <c r="AC55" i="11" s="1"/>
  <c r="AC56" i="11" s="1"/>
  <c r="AC57" i="11"/>
  <c r="AC58" i="11" s="1"/>
  <c r="AC59" i="11" s="1"/>
  <c r="P27" i="11"/>
  <c r="P28" i="11" s="1"/>
  <c r="P29" i="11" s="1"/>
  <c r="Q56" i="11" l="1"/>
  <c r="R56" i="11"/>
  <c r="S55" i="11"/>
  <c r="P26" i="11"/>
  <c r="Q25" i="11"/>
  <c r="P57" i="11"/>
  <c r="P58" i="11" s="1"/>
  <c r="Q57" i="11" l="1"/>
  <c r="P59" i="11"/>
  <c r="R25" i="11"/>
  <c r="Q26" i="11"/>
  <c r="T55" i="11"/>
  <c r="S56" i="11"/>
  <c r="U55" i="11" l="1"/>
  <c r="T56" i="11"/>
  <c r="S25" i="11"/>
  <c r="R26" i="11"/>
  <c r="S26" i="11" l="1"/>
  <c r="T25" i="11"/>
  <c r="V55" i="11"/>
  <c r="U56" i="11"/>
  <c r="V56" i="11" l="1"/>
  <c r="W55" i="11"/>
  <c r="W56" i="11" s="1"/>
  <c r="T26" i="11"/>
  <c r="U25" i="11"/>
  <c r="U26" i="11" l="1"/>
  <c r="V25" i="11"/>
  <c r="W27" i="11"/>
  <c r="V26" i="11" l="1"/>
  <c r="W25" i="11"/>
  <c r="W26" i="11" s="1"/>
  <c r="V27" i="11"/>
  <c r="U27" i="11"/>
  <c r="T27" i="11"/>
  <c r="S27" i="11"/>
  <c r="R27" i="11"/>
  <c r="Q28" i="11"/>
  <c r="Q29" i="11" s="1"/>
  <c r="U57" i="11"/>
  <c r="R57" i="11"/>
  <c r="Q58" i="11"/>
  <c r="Q59" i="11" s="1"/>
  <c r="W57" i="11"/>
  <c r="AC27" i="11"/>
  <c r="AC28" i="11" s="1"/>
  <c r="AC29" i="11" s="1"/>
  <c r="R58" i="11" l="1"/>
  <c r="S58" i="11" s="1"/>
  <c r="T58" i="11" s="1"/>
  <c r="T59" i="11" s="1"/>
  <c r="R28" i="11"/>
  <c r="S28" i="11" s="1"/>
  <c r="P60" i="11"/>
  <c r="P61" i="11" s="1"/>
  <c r="U58" i="11" l="1"/>
  <c r="V58" i="11" s="1"/>
  <c r="S59" i="11"/>
  <c r="R59" i="11"/>
  <c r="Q60" i="11"/>
  <c r="P62" i="11"/>
  <c r="Q30" i="11"/>
  <c r="S30" i="11"/>
  <c r="R29" i="11"/>
  <c r="T28" i="11"/>
  <c r="S29" i="11"/>
  <c r="U59" i="11" l="1"/>
  <c r="T29" i="11"/>
  <c r="U28" i="11"/>
  <c r="V59" i="11"/>
  <c r="W58" i="11"/>
  <c r="W59" i="11" s="1"/>
  <c r="W30" i="11" l="1"/>
  <c r="V28" i="11"/>
  <c r="U29" i="11"/>
  <c r="V29" i="11" l="1"/>
  <c r="W28" i="11"/>
  <c r="W29" i="11" s="1"/>
  <c r="V30" i="11"/>
  <c r="U30" i="11"/>
  <c r="T30" i="11"/>
  <c r="P30" i="11"/>
  <c r="P31" i="11" s="1"/>
  <c r="Q61" i="11"/>
  <c r="Q62" i="11" s="1"/>
  <c r="AC30" i="11"/>
  <c r="AC31" i="11" s="1"/>
  <c r="AC32" i="11" s="1"/>
  <c r="AC60" i="11"/>
  <c r="AC61" i="11" s="1"/>
  <c r="AC62" i="11" s="1"/>
  <c r="R61" i="11" l="1"/>
  <c r="S61" i="11" s="1"/>
  <c r="T61" i="11" s="1"/>
  <c r="T62" i="11" s="1"/>
  <c r="P32" i="11"/>
  <c r="Q31" i="11"/>
  <c r="R31" i="11" s="1"/>
  <c r="S31" i="11" s="1"/>
  <c r="Q63" i="11"/>
  <c r="U61" i="11" l="1"/>
  <c r="V61" i="11" s="1"/>
  <c r="S62" i="11"/>
  <c r="R62" i="11"/>
  <c r="R32" i="11"/>
  <c r="Q32" i="11"/>
  <c r="S32" i="11"/>
  <c r="T31" i="11"/>
  <c r="U62" i="11" l="1"/>
  <c r="U31" i="11"/>
  <c r="T32" i="11"/>
  <c r="V62" i="11"/>
  <c r="W61" i="11"/>
  <c r="W62" i="11" s="1"/>
  <c r="U32" i="11" l="1"/>
  <c r="V31" i="11"/>
  <c r="W31" i="11" l="1"/>
  <c r="W32" i="11" s="1"/>
  <c r="V32" i="11"/>
  <c r="S63" i="11" l="1"/>
  <c r="P63" i="11"/>
  <c r="P64" i="11" s="1"/>
  <c r="AC63" i="11"/>
  <c r="AC64" i="11" s="1"/>
  <c r="AC65" i="11" s="1"/>
  <c r="Q64" i="11" l="1"/>
  <c r="P65" i="11"/>
  <c r="Q65" i="11" l="1"/>
  <c r="R64" i="11"/>
  <c r="R65" i="11" l="1"/>
  <c r="S64" i="11"/>
  <c r="T64" i="11" l="1"/>
  <c r="S65" i="11"/>
  <c r="U64" i="11" l="1"/>
  <c r="T65" i="11"/>
  <c r="V64" i="11" l="1"/>
  <c r="U65" i="11"/>
  <c r="W64" i="11" l="1"/>
  <c r="W65" i="11" s="1"/>
  <c r="V65" i="11"/>
  <c r="W33" i="11"/>
  <c r="V33" i="11"/>
  <c r="U33" i="11"/>
  <c r="T33" i="11"/>
  <c r="R33" i="11"/>
  <c r="Q33" i="11"/>
  <c r="P33" i="11"/>
  <c r="P34" i="11" s="1"/>
  <c r="P35" i="11" s="1"/>
  <c r="P23" i="11" s="1"/>
  <c r="P38" i="11"/>
  <c r="P37" i="11" s="1"/>
  <c r="P36" i="11" s="1"/>
  <c r="AC33" i="11"/>
  <c r="AC34" i="11" s="1"/>
  <c r="AC35" i="11" s="1"/>
  <c r="AC23" i="11" s="1"/>
  <c r="Q34" i="11" l="1"/>
  <c r="Q35" i="11" s="1"/>
  <c r="Q23" i="11" s="1"/>
  <c r="P22" i="11"/>
  <c r="P21" i="11" s="1"/>
  <c r="AC22" i="11"/>
  <c r="AC21" i="11" s="1"/>
  <c r="R34" i="11" l="1"/>
  <c r="S34" i="11" s="1"/>
  <c r="Q22" i="11"/>
  <c r="Q21" i="11" s="1"/>
  <c r="R35" i="11" l="1"/>
  <c r="R23" i="11" s="1"/>
  <c r="R22" i="11" s="1"/>
  <c r="R21" i="11" s="1"/>
  <c r="T34" i="11"/>
  <c r="S35" i="11"/>
  <c r="S23" i="11" s="1"/>
  <c r="S22" i="11" l="1"/>
  <c r="S21" i="11" s="1"/>
  <c r="U34" i="11"/>
  <c r="T35" i="11"/>
  <c r="T23" i="11" s="1"/>
  <c r="T22" i="11" l="1"/>
  <c r="T21" i="11" s="1"/>
  <c r="U35" i="11"/>
  <c r="U23" i="11" s="1"/>
  <c r="V34" i="11"/>
  <c r="U22" i="11" l="1"/>
  <c r="U21" i="11" s="1"/>
  <c r="W34" i="11"/>
  <c r="W35" i="11" s="1"/>
  <c r="W23" i="11" s="1"/>
  <c r="V35" i="11"/>
  <c r="V23" i="11" s="1"/>
  <c r="W22" i="11" l="1"/>
  <c r="V22" i="11"/>
  <c r="V21" i="11" s="1"/>
  <c r="W21" i="11" l="1"/>
  <c r="W87" i="11"/>
  <c r="V87" i="11"/>
  <c r="T87" i="11"/>
  <c r="R87" i="11"/>
  <c r="Q87" i="11"/>
  <c r="P87" i="11"/>
  <c r="P88" i="11" s="1"/>
  <c r="P89" i="11" s="1"/>
  <c r="AC87" i="11"/>
  <c r="AC88" i="11" s="1"/>
  <c r="AC89" i="11" s="1"/>
  <c r="Q88" i="11" l="1"/>
  <c r="R88" i="11" s="1"/>
  <c r="Q89" i="11" l="1"/>
  <c r="S88" i="11"/>
  <c r="R89" i="11"/>
  <c r="S89" i="11" l="1"/>
  <c r="T88" i="11"/>
  <c r="U88" i="11" l="1"/>
  <c r="T89" i="11"/>
  <c r="U89" i="11" l="1"/>
  <c r="V88" i="11"/>
  <c r="W88" i="11" l="1"/>
  <c r="W89" i="11" s="1"/>
  <c r="V89" i="11"/>
  <c r="W69" i="11" l="1"/>
  <c r="V38" i="11"/>
  <c r="V37" i="11" s="1"/>
  <c r="V69" i="11"/>
  <c r="U69" i="11"/>
  <c r="S69" i="11"/>
  <c r="R69" i="11"/>
  <c r="Q69" i="11"/>
  <c r="P69" i="11"/>
  <c r="P70" i="11" s="1"/>
  <c r="U38" i="11"/>
  <c r="U37" i="11" s="1"/>
  <c r="W38" i="11"/>
  <c r="W37" i="11" s="1"/>
  <c r="Q38" i="11"/>
  <c r="Q37" i="11" s="1"/>
  <c r="Q36" i="11" s="1"/>
  <c r="R38" i="11"/>
  <c r="S38" i="11"/>
  <c r="S37" i="11" s="1"/>
  <c r="T38" i="11"/>
  <c r="T37" i="11" s="1"/>
  <c r="AC38" i="11"/>
  <c r="AC37" i="11" s="1"/>
  <c r="AC36" i="11" s="1"/>
  <c r="AC69" i="11"/>
  <c r="AC70" i="11" s="1"/>
  <c r="AC71" i="11" s="1"/>
  <c r="AC68" i="11" s="1"/>
  <c r="V36" i="11" l="1"/>
  <c r="W36" i="11"/>
  <c r="P71" i="11"/>
  <c r="P68" i="11" s="1"/>
  <c r="Q70" i="11"/>
  <c r="Q71" i="11" s="1"/>
  <c r="Q68" i="11" s="1"/>
  <c r="U36" i="11"/>
  <c r="T36" i="11"/>
  <c r="AC17" i="11"/>
  <c r="AC67" i="11"/>
  <c r="AC66" i="11" s="1"/>
  <c r="R37" i="11"/>
  <c r="R36" i="11" s="1"/>
  <c r="R70" i="11" l="1"/>
  <c r="R71" i="11" s="1"/>
  <c r="R68" i="11" s="1"/>
  <c r="AC16" i="11"/>
  <c r="AC15" i="11"/>
  <c r="AC14" i="11" s="1"/>
  <c r="Q67" i="11"/>
  <c r="Q17" i="11"/>
  <c r="P67" i="11"/>
  <c r="P66" i="11" s="1"/>
  <c r="P17" i="11"/>
  <c r="S70" i="11" l="1"/>
  <c r="Q66" i="11"/>
  <c r="P16" i="11"/>
  <c r="P15" i="11"/>
  <c r="P14" i="11" s="1"/>
  <c r="Q16" i="11"/>
  <c r="Q15" i="11"/>
  <c r="Q14" i="11" s="1"/>
  <c r="T70" i="11"/>
  <c r="S71" i="11"/>
  <c r="S68" i="11" s="1"/>
  <c r="R67" i="11"/>
  <c r="R66" i="11" s="1"/>
  <c r="R17" i="11"/>
  <c r="T71" i="11" l="1"/>
  <c r="T68" i="11" s="1"/>
  <c r="U70" i="11"/>
  <c r="R15" i="11"/>
  <c r="R14" i="11" s="1"/>
  <c r="R16" i="11"/>
  <c r="S17" i="11"/>
  <c r="S67" i="11"/>
  <c r="S66" i="11" s="1"/>
  <c r="S16" i="11" l="1"/>
  <c r="S15" i="11"/>
  <c r="S14" i="11" s="1"/>
  <c r="U71" i="11"/>
  <c r="U68" i="11" s="1"/>
  <c r="V70" i="11"/>
  <c r="T67" i="11"/>
  <c r="T17" i="11"/>
  <c r="W70" i="11" l="1"/>
  <c r="W71" i="11" s="1"/>
  <c r="W68" i="11" s="1"/>
  <c r="V71" i="11"/>
  <c r="V68" i="11" s="1"/>
  <c r="U67" i="11"/>
  <c r="U66" i="11" s="1"/>
  <c r="U17" i="11"/>
  <c r="T15" i="11"/>
  <c r="T14" i="11" s="1"/>
  <c r="T16" i="11"/>
  <c r="U16" i="11" l="1"/>
  <c r="U15" i="11"/>
  <c r="U14" i="11" s="1"/>
  <c r="V17" i="11"/>
  <c r="V67" i="11"/>
  <c r="V66" i="11" s="1"/>
  <c r="W17" i="11"/>
  <c r="W67" i="11"/>
  <c r="W16" i="11" l="1"/>
  <c r="W15" i="11"/>
  <c r="W14" i="11" s="1"/>
  <c r="V16" i="11"/>
  <c r="L8" i="11" s="1"/>
  <c r="V15" i="11"/>
  <c r="V14" i="11" s="1"/>
  <c r="W66" i="11"/>
</calcChain>
</file>

<file path=xl/sharedStrings.xml><?xml version="1.0" encoding="utf-8"?>
<sst xmlns="http://schemas.openxmlformats.org/spreadsheetml/2006/main" count="962" uniqueCount="308">
  <si>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</si>
  <si>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</si>
  <si>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</si>
  <si>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</si>
  <si>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</si>
  <si>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</si>
  <si>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</si>
  <si>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</si>
  <si>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</si>
  <si>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</si>
  <si>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</si>
  <si>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</si>
  <si>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</si>
  <si>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</si>
  <si>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</si>
  <si>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</si>
  <si>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</si>
  <si>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</si>
  <si>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</si>
  <si>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</si>
  <si>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</si>
  <si>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</si>
  <si>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</si>
  <si>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</si>
  <si>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</si>
  <si>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</si>
  <si>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</si>
  <si>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</si>
  <si>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</si>
  <si>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</si>
  <si>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</si>
  <si>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</si>
  <si>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</si>
  <si>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</si>
  <si>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</si>
  <si>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</si>
  <si>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</si>
  <si>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</si>
  <si>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</si>
  <si>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</si>
  <si>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</si>
  <si>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</si>
  <si>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</si>
  <si>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</si>
  <si>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</si>
  <si>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</si>
  <si>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</si>
  <si>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</si>
  <si>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</si>
  <si>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</si>
  <si>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</si>
  <si>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</si>
  <si>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</si>
  <si>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</si>
  <si>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</si>
  <si>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</si>
  <si>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</si>
  <si>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</si>
  <si>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</si>
  <si>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</si>
  <si>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</si>
  <si>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</si>
  <si>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</si>
  <si>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</si>
  <si>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</si>
  <si>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</si>
  <si>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</si>
  <si>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</si>
  <si>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</si>
  <si>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</si>
  <si>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</si>
  <si>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</si>
  <si>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</si>
  <si>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</si>
  <si>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</si>
  <si>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</si>
  <si>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</si>
  <si>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</si>
  <si>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</si>
  <si>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</si>
  <si>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</si>
  <si>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</si>
  <si>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</si>
  <si>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</si>
  <si>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</si>
  <si>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</si>
  <si>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</si>
  <si>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</si>
  <si>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</si>
  <si>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</si>
  <si>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</si>
  <si>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</si>
  <si>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</si>
  <si>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</si>
  <si>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</si>
  <si>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</si>
  <si>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</si>
  <si>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</si>
  <si>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</si>
  <si>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</si>
  <si>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</si>
  <si>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</si>
  <si>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</si>
  <si>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</si>
  <si>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</si>
  <si>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</si>
  <si>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</si>
  <si>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</si>
  <si>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</si>
  <si>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</si>
  <si>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</si>
  <si>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</si>
  <si>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</si>
  <si>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</si>
  <si>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</si>
  <si>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</si>
  <si>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</si>
  <si>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</si>
  <si>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</si>
  <si>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</si>
  <si>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</si>
  <si>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</si>
  <si>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</si>
  <si>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</si>
  <si>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</si>
  <si>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</si>
  <si>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</si>
  <si>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</si>
  <si>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</si>
  <si>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</si>
  <si>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</si>
  <si>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</si>
  <si>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</si>
  <si>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</si>
  <si>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</si>
  <si>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</si>
  <si>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</si>
  <si>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</si>
  <si>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</si>
  <si>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</si>
  <si>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</si>
  <si>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</si>
  <si>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</si>
  <si>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</si>
  <si>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</si>
  <si>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</si>
  <si>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</si>
  <si>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</si>
  <si>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</si>
  <si>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</si>
  <si>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</si>
  <si>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</si>
  <si>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</si>
  <si>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</si>
  <si>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</si>
  <si>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</si>
  <si>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</si>
  <si>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</si>
  <si>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</si>
  <si>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</si>
  <si>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</si>
  <si>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</si>
  <si>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</si>
  <si>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</si>
  <si>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</si>
  <si>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</si>
  <si>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</si>
  <si>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</si>
  <si>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</si>
  <si>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</si>
  <si>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</si>
  <si>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</si>
  <si>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</si>
  <si>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</si>
  <si>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</si>
  <si>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</si>
  <si>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</si>
  <si>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</si>
  <si>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</si>
  <si>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</si>
  <si>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</si>
  <si>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</si>
  <si>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</si>
  <si>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</si>
  <si>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</si>
  <si>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</si>
  <si>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</si>
  <si>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</si>
  <si>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</si>
  <si>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</si>
  <si>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</si>
  <si>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</si>
  <si>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</si>
  <si>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</si>
  <si>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</si>
  <si>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</si>
  <si>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</si>
  <si>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</si>
  <si>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</si>
  <si>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</si>
  <si>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</si>
  <si>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</si>
  <si>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</si>
  <si>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</si>
  <si>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</si>
  <si>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</si>
  <si>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</si>
  <si>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</si>
  <si>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</si>
  <si>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</si>
  <si>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</si>
  <si>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</si>
  <si>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</si>
  <si>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</si>
  <si>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</si>
  <si>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</si>
  <si>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</si>
  <si>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</si>
  <si>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</si>
  <si>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</si>
  <si>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</si>
  <si>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</si>
  <si>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</si>
  <si>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</si>
  <si>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</si>
  <si>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</si>
  <si>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</si>
  <si>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</si>
  <si>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</si>
  <si>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PREFEITURA MUNICIPAL</t>
  </si>
  <si>
    <t>EDUCAÇÃO</t>
  </si>
  <si>
    <t>REFORMA</t>
  </si>
  <si>
    <t>CONSTANTINA - RS</t>
  </si>
  <si>
    <t>AV. AMÂNDIO ARAÚJO</t>
  </si>
  <si>
    <t>Não</t>
  </si>
  <si>
    <t>NÃO</t>
  </si>
  <si>
    <t>SINAPI</t>
  </si>
  <si>
    <t>Única</t>
  </si>
  <si>
    <t>94213</t>
  </si>
  <si>
    <t>RETIRADAS</t>
  </si>
  <si>
    <t>COBERTURA</t>
  </si>
  <si>
    <t>FORRO</t>
  </si>
  <si>
    <t>INSTALAÇÃO ELÉTRICA</t>
  </si>
  <si>
    <t>BLOCO B</t>
  </si>
  <si>
    <t>INSTALAÇÕES ELÉTRICAS</t>
  </si>
  <si>
    <t>BLOCO D</t>
  </si>
  <si>
    <t>92580</t>
  </si>
  <si>
    <t>94228</t>
  </si>
  <si>
    <t>97652</t>
  </si>
  <si>
    <t>100378</t>
  </si>
  <si>
    <t>96111</t>
  </si>
  <si>
    <t>36250</t>
  </si>
  <si>
    <t>SINAPI-I</t>
  </si>
  <si>
    <t>97647</t>
  </si>
  <si>
    <t>12038</t>
  </si>
  <si>
    <t>91836</t>
  </si>
  <si>
    <t>91927</t>
  </si>
  <si>
    <t>91931</t>
  </si>
  <si>
    <t>97661</t>
  </si>
  <si>
    <t>CALHAS</t>
  </si>
  <si>
    <t>COTAÇÃO</t>
  </si>
  <si>
    <t>01</t>
  </si>
  <si>
    <t>02</t>
  </si>
  <si>
    <t>91833</t>
  </si>
  <si>
    <t>93654</t>
  </si>
  <si>
    <t>93655</t>
  </si>
  <si>
    <t>93657</t>
  </si>
  <si>
    <t>93658</t>
  </si>
  <si>
    <t>REFORMA ESCOLA AMANDIO ARAUJO</t>
  </si>
  <si>
    <t>REFORMA ESCOLA AMANDIO ARAÚJO</t>
  </si>
  <si>
    <t>BLOCO C -</t>
  </si>
  <si>
    <t>93590</t>
  </si>
  <si>
    <t>SERVIÇO INICIAIS</t>
  </si>
  <si>
    <t>INFRAESTRUTURA</t>
  </si>
  <si>
    <t>97640</t>
  </si>
  <si>
    <t>96546</t>
  </si>
  <si>
    <t>96617</t>
  </si>
  <si>
    <t>96556</t>
  </si>
  <si>
    <t>100766</t>
  </si>
  <si>
    <t>SUPRAESTRUTURA</t>
  </si>
  <si>
    <t>PISOS</t>
  </si>
  <si>
    <t>PINTURA</t>
  </si>
  <si>
    <t>03</t>
  </si>
  <si>
    <t>89512</t>
  </si>
  <si>
    <t>PISO CALÇADAS</t>
  </si>
  <si>
    <t>COMPOSIÇÃO</t>
  </si>
  <si>
    <t>101747</t>
  </si>
  <si>
    <t>94319</t>
  </si>
  <si>
    <t>97091</t>
  </si>
  <si>
    <t>4729</t>
  </si>
  <si>
    <t>6111</t>
  </si>
  <si>
    <t>100735</t>
  </si>
  <si>
    <t>101511</t>
  </si>
  <si>
    <t>PISO SALA AO LADO DA COZINHA</t>
  </si>
  <si>
    <t>101727</t>
  </si>
  <si>
    <t>97633</t>
  </si>
  <si>
    <t>1381</t>
  </si>
  <si>
    <t>88316</t>
  </si>
  <si>
    <t>102491</t>
  </si>
  <si>
    <t>DIVISÓRIA LEVE</t>
  </si>
  <si>
    <t>96374</t>
  </si>
  <si>
    <t>REFORÇO TESOURAS</t>
  </si>
  <si>
    <t>97638</t>
  </si>
  <si>
    <t>91380</t>
  </si>
  <si>
    <t>05</t>
  </si>
  <si>
    <t>06</t>
  </si>
  <si>
    <t>102217</t>
  </si>
  <si>
    <t>41197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</si>
</sst>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8"/>
      <name val="Calibri"/>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2">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5" applyNumberFormat="1"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0" applyFont="1" applyBorder="1" applyAlignment="1" applyProtection="1">
      <alignment horizontal="left" vertical="top"/>
    </xf>
    <xf numFmtId="0" fontId="22" fillId="0" borderId="0" xfId="70" applyFont="1" applyBorder="1" applyAlignment="1" applyProtection="1">
      <alignment horizontal="left" vertical="top"/>
    </xf>
    <xf numFmtId="0" fontId="22" fillId="0" borderId="12" xfId="70" applyFont="1" applyBorder="1" applyAlignment="1" applyProtection="1">
      <alignment horizontal="left" vertical="top"/>
    </xf>
    <xf numFmtId="10" fontId="1" fillId="0" borderId="0" xfId="74"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5"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69" applyFont="1" applyProtection="1"/>
    <xf numFmtId="0" fontId="22" fillId="0" borderId="0" xfId="69" applyFont="1" applyAlignment="1" applyProtection="1">
      <alignment horizontal="center"/>
    </xf>
    <xf numFmtId="0" fontId="22" fillId="0" borderId="14" xfId="69" applyFont="1" applyBorder="1" applyAlignment="1" applyProtection="1">
      <alignment horizontal="center"/>
    </xf>
    <xf numFmtId="10" fontId="31" fillId="0" borderId="14" xfId="69" applyNumberFormat="1" applyFont="1" applyFill="1" applyBorder="1" applyAlignment="1" applyProtection="1">
      <alignment horizontal="center"/>
    </xf>
    <xf numFmtId="0" fontId="21" fillId="0" borderId="0" xfId="69" applyFont="1" applyAlignment="1" applyProtection="1">
      <alignment horizontal="center"/>
    </xf>
    <xf numFmtId="0" fontId="32" fillId="0" borderId="0" xfId="69" applyFont="1" applyAlignment="1" applyProtection="1"/>
    <xf numFmtId="0" fontId="22" fillId="0" borderId="0" xfId="69" applyFont="1" applyProtection="1"/>
    <xf numFmtId="0" fontId="22" fillId="0" borderId="14" xfId="69" applyFont="1" applyFill="1" applyBorder="1" applyAlignment="1" applyProtection="1">
      <alignment horizontal="center" vertical="center" wrapText="1"/>
    </xf>
    <xf numFmtId="0" fontId="30" fillId="0" borderId="14" xfId="69" applyFont="1" applyBorder="1" applyAlignment="1" applyProtection="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Fill="1" applyBorder="1" applyAlignment="1" applyProtection="1">
      <alignment horizontal="center" vertical="center"/>
    </xf>
    <xf numFmtId="10" fontId="30" fillId="0" borderId="14" xfId="69" applyNumberFormat="1" applyFont="1" applyFill="1" applyBorder="1" applyAlignment="1" applyProtection="1">
      <alignment horizontal="center" vertical="center"/>
    </xf>
    <xf numFmtId="10" fontId="30" fillId="0" borderId="14" xfId="69" applyNumberFormat="1" applyFont="1" applyFill="1" applyBorder="1" applyAlignment="1" applyProtection="1">
      <alignment horizontal="center" vertical="center" wrapText="1"/>
    </xf>
    <xf numFmtId="0" fontId="30" fillId="0" borderId="14" xfId="69" applyFont="1" applyFill="1" applyBorder="1" applyAlignment="1" applyProtection="1">
      <alignment horizontal="center" vertical="center" wrapText="1"/>
    </xf>
    <xf numFmtId="0" fontId="39" fillId="0" borderId="0" xfId="69" applyFont="1" applyFill="1" applyBorder="1" applyAlignment="1" applyProtection="1">
      <alignment horizontal="center" vertical="center" wrapText="1"/>
    </xf>
    <xf numFmtId="10" fontId="39" fillId="0" borderId="0" xfId="69" applyNumberFormat="1" applyFont="1" applyFill="1" applyBorder="1" applyAlignment="1" applyProtection="1">
      <alignment horizontal="center" vertical="center"/>
    </xf>
    <xf numFmtId="170" fontId="1" fillId="0" borderId="0" xfId="69" applyNumberFormat="1" applyFont="1" applyAlignment="1" applyProtection="1"/>
    <xf numFmtId="0" fontId="30" fillId="0" borderId="0" xfId="69" applyFont="1" applyBorder="1" applyProtection="1"/>
    <xf numFmtId="0" fontId="1" fillId="0" borderId="0" xfId="69" applyFont="1" applyBorder="1" applyProtection="1"/>
    <xf numFmtId="0" fontId="30" fillId="0" borderId="0" xfId="69" applyFont="1" applyProtection="1"/>
    <xf numFmtId="0" fontId="30" fillId="0" borderId="0" xfId="69" applyFont="1" applyAlignment="1" applyProtection="1">
      <alignment vertical="top"/>
    </xf>
    <xf numFmtId="0" fontId="34" fillId="0" borderId="0" xfId="69"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pplyProtection="1">
      <alignment vertical="top"/>
    </xf>
    <xf numFmtId="0" fontId="22" fillId="0" borderId="15" xfId="70" applyFont="1" applyBorder="1" applyAlignment="1" applyProtection="1">
      <alignment horizontal="center" vertical="top"/>
    </xf>
    <xf numFmtId="0" fontId="0" fillId="0" borderId="0" xfId="0" applyFont="1" applyProtection="1"/>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NumberFormat="1" applyFont="1" applyFill="1" applyBorder="1" applyAlignment="1" applyProtection="1">
      <alignment horizontal="center" vertical="center" shrinkToFit="1"/>
    </xf>
    <xf numFmtId="164" fontId="1" fillId="0" borderId="20" xfId="85"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69" applyFont="1" applyBorder="1" applyAlignment="1" applyProtection="1">
      <alignment horizontal="center" vertical="top"/>
    </xf>
    <xf numFmtId="0" fontId="38" fillId="0" borderId="0" xfId="70"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69" applyNumberFormat="1" applyFont="1" applyFill="1" applyBorder="1" applyAlignment="1" applyProtection="1">
      <alignment horizontal="center" vertical="center" wrapText="1"/>
    </xf>
    <xf numFmtId="0" fontId="46" fillId="0" borderId="0" xfId="69" applyFont="1" applyAlignment="1" applyProtection="1">
      <alignment wrapText="1"/>
    </xf>
    <xf numFmtId="0" fontId="47" fillId="0" borderId="0" xfId="69" applyFont="1" applyAlignment="1" applyProtection="1">
      <alignment vertical="top" wrapText="1"/>
    </xf>
    <xf numFmtId="0" fontId="44" fillId="0" borderId="14" xfId="69" applyFont="1" applyBorder="1" applyAlignment="1" applyProtection="1">
      <alignment horizontal="center" vertical="center"/>
    </xf>
    <xf numFmtId="4" fontId="26" fillId="0" borderId="0" xfId="69" applyNumberFormat="1" applyFont="1" applyFill="1" applyBorder="1" applyAlignment="1" applyProtection="1">
      <alignment horizontal="center" vertical="center" wrapText="1"/>
    </xf>
    <xf numFmtId="0" fontId="1" fillId="0" borderId="0" xfId="69"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5"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22" fillId="0" borderId="11" xfId="70" applyFont="1" applyFill="1" applyBorder="1" applyAlignment="1" applyProtection="1">
      <alignment horizontal="left" vertical="top"/>
    </xf>
    <xf numFmtId="0" fontId="22" fillId="0" borderId="11" xfId="70" applyFont="1" applyFill="1" applyBorder="1" applyAlignment="1" applyProtection="1">
      <alignment vertical="top"/>
    </xf>
    <xf numFmtId="0" fontId="22" fillId="0" borderId="15" xfId="70"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pplyProtection="1">
      <alignment horizontal="left"/>
    </xf>
    <xf numFmtId="0" fontId="1" fillId="0" borderId="17" xfId="69"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NumberFormat="1"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0" applyFont="1" applyBorder="1" applyAlignment="1" applyProtection="1">
      <alignment horizontal="left" vertical="top"/>
    </xf>
    <xf numFmtId="0" fontId="22" fillId="0" borderId="0" xfId="70"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0" applyFont="1" applyFill="1" applyBorder="1" applyAlignment="1" applyProtection="1">
      <alignment horizontal="left" vertical="top"/>
    </xf>
    <xf numFmtId="0" fontId="22" fillId="0" borderId="0" xfId="70" applyFont="1" applyFill="1" applyBorder="1" applyAlignment="1" applyProtection="1">
      <alignment horizontal="left" vertical="top"/>
    </xf>
    <xf numFmtId="0" fontId="22" fillId="0" borderId="12" xfId="70" applyFont="1" applyFill="1" applyBorder="1" applyAlignment="1" applyProtection="1">
      <alignment horizontal="left" vertical="top"/>
    </xf>
    <xf numFmtId="0" fontId="22" fillId="0" borderId="12" xfId="70" applyFont="1" applyBorder="1" applyAlignment="1" applyProtection="1">
      <alignment horizontal="left" vertical="top"/>
    </xf>
    <xf numFmtId="0" fontId="0" fillId="25" borderId="18"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0" applyFont="1" applyBorder="1" applyAlignment="1" applyProtection="1">
      <alignment horizontal="left" vertical="top"/>
    </xf>
    <xf numFmtId="0" fontId="38" fillId="0" borderId="12" xfId="70"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0" applyFont="1" applyFill="1" applyBorder="1" applyAlignment="1" applyProtection="1">
      <alignment horizontal="left" vertical="top"/>
    </xf>
    <xf numFmtId="0" fontId="38" fillId="0" borderId="12" xfId="70"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71" fontId="1" fillId="0" borderId="0" xfId="69" applyNumberFormat="1" applyFont="1" applyFill="1" applyBorder="1" applyAlignment="1" applyProtection="1">
      <alignment horizontal="left"/>
    </xf>
    <xf numFmtId="0" fontId="45" fillId="0" borderId="0" xfId="69" applyFont="1" applyAlignment="1" applyProtection="1">
      <alignment horizontal="left" vertical="center" indent="1"/>
    </xf>
    <xf numFmtId="0" fontId="1" fillId="0" borderId="14" xfId="69" applyFont="1" applyBorder="1" applyAlignment="1" applyProtection="1">
      <alignment horizontal="left" vertical="center" wrapText="1"/>
    </xf>
    <xf numFmtId="0" fontId="39" fillId="0" borderId="0" xfId="69" applyFont="1" applyBorder="1" applyAlignment="1" applyProtection="1">
      <alignment horizontal="left" vertical="center" wrapText="1"/>
    </xf>
    <xf numFmtId="2" fontId="33" fillId="0" borderId="17" xfId="69" applyNumberFormat="1" applyFont="1" applyFill="1" applyBorder="1" applyAlignment="1" applyProtection="1">
      <alignment horizontal="center" vertical="center"/>
    </xf>
    <xf numFmtId="0" fontId="26" fillId="0" borderId="0" xfId="69" applyFont="1" applyBorder="1" applyAlignment="1" applyProtection="1">
      <alignment horizontal="left" vertical="center"/>
    </xf>
    <xf numFmtId="0" fontId="1" fillId="0" borderId="0" xfId="69" applyFont="1" applyBorder="1" applyAlignment="1" applyProtection="1">
      <alignment horizontal="center" vertical="center"/>
    </xf>
    <xf numFmtId="0" fontId="35" fillId="0" borderId="14" xfId="69" applyFont="1" applyBorder="1" applyAlignment="1" applyProtection="1">
      <alignment horizontal="center" vertical="center" wrapText="1"/>
    </xf>
    <xf numFmtId="168" fontId="1" fillId="0" borderId="13" xfId="69" applyNumberFormat="1" applyFont="1" applyBorder="1" applyAlignment="1" applyProtection="1">
      <alignment horizontal="left"/>
    </xf>
    <xf numFmtId="49" fontId="1" fillId="25" borderId="32" xfId="69" applyNumberFormat="1" applyFont="1" applyFill="1" applyBorder="1" applyAlignment="1" applyProtection="1">
      <alignment horizontal="left" vertical="top" wrapText="1"/>
      <protection locked="0"/>
    </xf>
    <xf numFmtId="49" fontId="1" fillId="25" borderId="10" xfId="69" applyNumberFormat="1" applyFont="1" applyFill="1" applyBorder="1" applyAlignment="1" applyProtection="1">
      <alignment horizontal="left" vertical="top" wrapText="1"/>
      <protection locked="0"/>
    </xf>
    <xf numFmtId="49" fontId="1" fillId="25" borderId="19" xfId="69" applyNumberFormat="1" applyFont="1" applyFill="1" applyBorder="1" applyAlignment="1" applyProtection="1">
      <alignment horizontal="left" vertical="top" wrapText="1"/>
      <protection locked="0"/>
    </xf>
    <xf numFmtId="0" fontId="1" fillId="0" borderId="17" xfId="69" applyFont="1" applyBorder="1" applyAlignment="1" applyProtection="1">
      <alignment horizontal="center" vertical="center"/>
    </xf>
    <xf numFmtId="49" fontId="1" fillId="0" borderId="0" xfId="69" applyNumberFormat="1" applyFont="1" applyFill="1" applyBorder="1" applyAlignment="1" applyProtection="1">
      <alignment horizontal="left"/>
      <protection locked="0"/>
    </xf>
    <xf numFmtId="0" fontId="47" fillId="0" borderId="0" xfId="69" applyFont="1" applyAlignment="1" applyProtection="1">
      <alignment horizontal="center" vertical="top" wrapText="1"/>
    </xf>
    <xf numFmtId="171" fontId="1" fillId="0" borderId="13" xfId="69" applyNumberFormat="1" applyFont="1" applyFill="1" applyBorder="1" applyAlignment="1" applyProtection="1">
      <alignment horizontal="left"/>
    </xf>
    <xf numFmtId="0" fontId="1" fillId="0" borderId="14" xfId="69" applyFont="1" applyBorder="1" applyAlignment="1" applyProtection="1">
      <alignment horizontal="left" vertical="center"/>
    </xf>
    <xf numFmtId="0" fontId="22" fillId="0" borderId="14" xfId="69"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Font="1" applyFill="1" applyBorder="1" applyAlignment="1" applyProtection="1">
      <alignment horizontal="center" vertical="top" wrapText="1"/>
    </xf>
    <xf numFmtId="0" fontId="1" fillId="0" borderId="38" xfId="69" applyFont="1" applyFill="1" applyBorder="1" applyAlignment="1" applyProtection="1">
      <alignment horizontal="center" vertical="top" wrapText="1"/>
    </xf>
    <xf numFmtId="0" fontId="1" fillId="0" borderId="18" xfId="69" applyFont="1" applyFill="1" applyBorder="1" applyAlignment="1" applyProtection="1">
      <alignment horizontal="left" vertical="top" wrapText="1"/>
    </xf>
    <xf numFmtId="0" fontId="1" fillId="0" borderId="38" xfId="69" applyFont="1" applyFill="1" applyBorder="1" applyAlignment="1" applyProtection="1">
      <alignment horizontal="left" vertical="top" wrapText="1"/>
    </xf>
    <xf numFmtId="49" fontId="1" fillId="0" borderId="18" xfId="69" applyNumberFormat="1" applyFont="1" applyFill="1" applyBorder="1" applyAlignment="1" applyProtection="1">
      <alignment horizontal="left" vertical="top" wrapText="1"/>
    </xf>
    <xf numFmtId="0" fontId="1" fillId="0" borderId="13" xfId="69" applyNumberFormat="1" applyFont="1" applyFill="1" applyBorder="1" applyAlignment="1" applyProtection="1">
      <alignment horizontal="left" vertical="top" wrapText="1"/>
    </xf>
    <xf numFmtId="0" fontId="1" fillId="0" borderId="38" xfId="69" applyNumberFormat="1" applyFont="1" applyFill="1" applyBorder="1" applyAlignment="1" applyProtection="1">
      <alignment horizontal="left" vertical="top" wrapText="1"/>
    </xf>
    <xf numFmtId="0" fontId="2" fillId="0" borderId="16" xfId="67" applyNumberFormat="1" applyFont="1" applyFill="1" applyBorder="1" applyAlignment="1" applyProtection="1">
      <alignment horizontal="left" wrapText="1"/>
    </xf>
    <xf numFmtId="0" fontId="22" fillId="0" borderId="0" xfId="69" applyFont="1" applyBorder="1" applyAlignment="1" applyProtection="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Fill="1" applyBorder="1" applyAlignment="1" applyProtection="1">
      <alignment horizontal="left"/>
    </xf>
    <xf numFmtId="0" fontId="26" fillId="0" borderId="14" xfId="69" applyFont="1" applyBorder="1" applyAlignment="1" applyProtection="1">
      <alignment horizontal="center" vertical="center"/>
    </xf>
    <xf numFmtId="0" fontId="2" fillId="0" borderId="14" xfId="69" applyFont="1" applyFill="1" applyBorder="1" applyAlignment="1" applyProtection="1">
      <alignment horizontal="left" wrapText="1"/>
    </xf>
    <xf numFmtId="0" fontId="26" fillId="0" borderId="14" xfId="69" applyFont="1" applyFill="1" applyBorder="1" applyAlignment="1" applyProtection="1">
      <alignment horizontal="center" vertical="center"/>
    </xf>
    <xf numFmtId="4" fontId="26" fillId="0" borderId="14" xfId="69"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49" fontId="53" fillId="31" borderId="24" xfId="0" applyNumberFormat="1" applyFont="1" applyFill="1" applyBorder="1" applyAlignment="1" applyProtection="1">
      <alignment horizont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5" applyNumberFormat="1" applyFont="1" applyFill="1" applyBorder="1" applyAlignment="1" applyProtection="1">
      <alignment vertical="center" shrinkToFit="1"/>
    </xf>
    <xf numFmtId="164" fontId="1" fillId="25" borderId="34" xfId="85"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658">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06990"/>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200-0000B9070300}"/>
                </a:ext>
              </a:extLst>
            </xdr:cNvPr>
            <xdr:cNvPicPr>
              <a:picLocks noChangeArrowheads="1"/>
              <a:extLst>
                <a:ext uri="{84589F7E-364E-4C9E-8A38-B11213B215E9}">
                  <a14:cameraTool cellRange="DADOS!$A$220:$X$230" spid="_x0000_s202206"/>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121</xdr:row>
          <xdr:rowOff>0</xdr:rowOff>
        </xdr:from>
        <xdr:to>
          <xdr:col>19</xdr:col>
          <xdr:colOff>214466</xdr:colOff>
          <xdr:row>125</xdr:row>
          <xdr:rowOff>133657</xdr:rowOff>
        </xdr:to>
        <xdr:pic>
          <xdr:nvPicPr>
            <xdr:cNvPr id="198588" name="Picture 483">
              <a:extLst>
                <a:ext uri="{FF2B5EF4-FFF2-40B4-BE49-F238E27FC236}">
                  <a16:creationId xmlns:a16="http://schemas.microsoft.com/office/drawing/2014/main" id="{00000000-0008-0000-0200-0000BC070300}"/>
                </a:ext>
              </a:extLst>
            </xdr:cNvPr>
            <xdr:cNvPicPr>
              <a:picLocks noChangeArrowheads="1"/>
              <a:extLst>
                <a:ext uri="{84589F7E-364E-4C9E-8A38-B11213B215E9}">
                  <a14:cameraTool cellRange="DADOS!$A$53:$K$57" spid="_x0000_s202207"/>
                </a:ext>
              </a:extLst>
            </xdr:cNvPicPr>
          </xdr:nvPicPr>
          <xdr:blipFill>
            <a:blip xmlns:r="http://schemas.openxmlformats.org/officeDocument/2006/relationships" r:embed="rId2"/>
            <a:srcRect/>
            <a:stretch>
              <a:fillRect/>
            </a:stretch>
          </xdr:blipFill>
          <xdr:spPr bwMode="auto">
            <a:xfrm>
              <a:off x="7204280" y="31063790"/>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00000000-0008-0000-0300-0000E20A0300}"/>
                </a:ext>
              </a:extLst>
            </xdr:cNvPr>
            <xdr:cNvPicPr>
              <a:picLocks noChangeArrowheads="1"/>
              <a:extLst>
                <a:ext uri="{84589F7E-364E-4C9E-8A38-B11213B215E9}">
                  <a14:cameraTool cellRange="DADOS!$A$220:$X$230" spid="_x0000_s205497"/>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00000000-0008-0000-0300-0000E30A0300}"/>
                </a:ext>
              </a:extLst>
            </xdr:cNvPr>
            <xdr:cNvPicPr>
              <a:picLocks noChangeArrowheads="1"/>
              <a:extLst>
                <a:ext uri="{84589F7E-364E-4C9E-8A38-B11213B215E9}">
                  <a14:cameraTool cellRange="DADOS!$A$220:$X$230" spid="_x0000_s205498"/>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112</xdr:row>
          <xdr:rowOff>9525</xdr:rowOff>
        </xdr:from>
        <xdr:to>
          <xdr:col>14</xdr:col>
          <xdr:colOff>28575</xdr:colOff>
          <xdr:row>116</xdr:row>
          <xdr:rowOff>152400</xdr:rowOff>
        </xdr:to>
        <xdr:pic>
          <xdr:nvPicPr>
            <xdr:cNvPr id="199399" name="Picture 483">
              <a:extLst>
                <a:ext uri="{FF2B5EF4-FFF2-40B4-BE49-F238E27FC236}">
                  <a16:creationId xmlns:a16="http://schemas.microsoft.com/office/drawing/2014/main" id="{00000000-0008-0000-0300-0000E70A0300}"/>
                </a:ext>
              </a:extLst>
            </xdr:cNvPr>
            <xdr:cNvPicPr>
              <a:picLocks noChangeArrowheads="1"/>
              <a:extLst>
                <a:ext uri="{84589F7E-364E-4C9E-8A38-B11213B215E9}">
                  <a14:cameraTool cellRange="DADOS!$A$53:$K$57" spid="_x0000_s205499"/>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300-0000E80A0300}"/>
                </a:ext>
              </a:extLst>
            </xdr:cNvPr>
            <xdr:cNvPicPr>
              <a:picLocks noChangeArrowheads="1"/>
              <a:extLst>
                <a:ext uri="{84589F7E-364E-4C9E-8A38-B11213B215E9}">
                  <a14:cameraTool cellRange="PO!$T$1:$T$2" spid="_x0000_s205500"/>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400-0000E00F0300}"/>
                </a:ext>
              </a:extLst>
            </xdr:cNvPr>
            <xdr:cNvPicPr>
              <a:picLocks noChangeArrowheads="1"/>
              <a:extLst>
                <a:ext uri="{84589F7E-364E-4C9E-8A38-B11213B215E9}">
                  <a14:cameraTool cellRange="DADOS!$A$220:$X$230" spid="_x0000_s212294"/>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400-0000E10F0300}"/>
                </a:ext>
              </a:extLst>
            </xdr:cNvPr>
            <xdr:cNvPicPr>
              <a:picLocks noChangeArrowheads="1"/>
              <a:extLst>
                <a:ext uri="{84589F7E-364E-4C9E-8A38-B11213B215E9}">
                  <a14:cameraTool cellRange="DADOS!$A$220:$X$230" spid="_x0000_s212295"/>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91</xdr:row>
          <xdr:rowOff>0</xdr:rowOff>
        </xdr:from>
        <xdr:to>
          <xdr:col>22</xdr:col>
          <xdr:colOff>28575</xdr:colOff>
          <xdr:row>95</xdr:row>
          <xdr:rowOff>142875</xdr:rowOff>
        </xdr:to>
        <xdr:pic>
          <xdr:nvPicPr>
            <xdr:cNvPr id="200674" name="Picture 483">
              <a:extLst>
                <a:ext uri="{FF2B5EF4-FFF2-40B4-BE49-F238E27FC236}">
                  <a16:creationId xmlns:a16="http://schemas.microsoft.com/office/drawing/2014/main" id="{00000000-0008-0000-0400-0000E20F0300}"/>
                </a:ext>
              </a:extLst>
            </xdr:cNvPr>
            <xdr:cNvPicPr>
              <a:picLocks noChangeArrowheads="1"/>
              <a:extLst>
                <a:ext uri="{84589F7E-364E-4C9E-8A38-B11213B215E9}">
                  <a14:cameraTool cellRange="DADOS!$A$53:$K$57" spid="_x0000_s212296"/>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400-0000E30F0300}"/>
                </a:ext>
              </a:extLst>
            </xdr:cNvPr>
            <xdr:cNvPicPr>
              <a:picLocks noChangeArrowheads="1"/>
              <a:extLst>
                <a:ext uri="{84589F7E-364E-4C9E-8A38-B11213B215E9}">
                  <a14:cameraTool cellRange="PO!$T$1:$T$2" spid="_x0000_s212297"/>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91</xdr:row>
          <xdr:rowOff>0</xdr:rowOff>
        </xdr:from>
        <xdr:to>
          <xdr:col>23</xdr:col>
          <xdr:colOff>0</xdr:colOff>
          <xdr:row>95</xdr:row>
          <xdr:rowOff>142875</xdr:rowOff>
        </xdr:to>
        <xdr:pic>
          <xdr:nvPicPr>
            <xdr:cNvPr id="200676" name="Picture 483">
              <a:extLst>
                <a:ext uri="{FF2B5EF4-FFF2-40B4-BE49-F238E27FC236}">
                  <a16:creationId xmlns:a16="http://schemas.microsoft.com/office/drawing/2014/main" id="{00000000-0008-0000-0400-0000E40F0300}"/>
                </a:ext>
              </a:extLst>
            </xdr:cNvPr>
            <xdr:cNvPicPr>
              <a:picLocks noChangeArrowheads="1"/>
              <a:extLst>
                <a:ext uri="{84589F7E-364E-4C9E-8A38-B11213B215E9}">
                  <a14:cameraTool cellRange="DADOS!$A$53:$K$57" spid="_x0000_s212298"/>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00000000-0008-0000-0400-0000E50F0300}"/>
                </a:ext>
              </a:extLst>
            </xdr:cNvPr>
            <xdr:cNvPicPr>
              <a:picLocks noChangeArrowheads="1"/>
              <a:extLst>
                <a:ext uri="{84589F7E-364E-4C9E-8A38-B11213B215E9}">
                  <a14:cameraTool cellRange="PO!$T$1:$T$2" spid="_x0000_s212299"/>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91</xdr:row>
          <xdr:rowOff>0</xdr:rowOff>
        </xdr:from>
        <xdr:to>
          <xdr:col>23</xdr:col>
          <xdr:colOff>0</xdr:colOff>
          <xdr:row>95</xdr:row>
          <xdr:rowOff>142875</xdr:rowOff>
        </xdr:to>
        <xdr:pic>
          <xdr:nvPicPr>
            <xdr:cNvPr id="200678" name="Picture 483">
              <a:extLst>
                <a:ext uri="{FF2B5EF4-FFF2-40B4-BE49-F238E27FC236}">
                  <a16:creationId xmlns:a16="http://schemas.microsoft.com/office/drawing/2014/main" id="{00000000-0008-0000-0400-0000E60F0300}"/>
                </a:ext>
              </a:extLst>
            </xdr:cNvPr>
            <xdr:cNvPicPr>
              <a:picLocks noChangeArrowheads="1"/>
              <a:extLst>
                <a:ext uri="{84589F7E-364E-4C9E-8A38-B11213B215E9}">
                  <a14:cameraTool cellRange="DADOS!$A$53:$K$57" spid="_x0000_s212300"/>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00000000-0008-0000-0400-0000E70F0300}"/>
                </a:ext>
              </a:extLst>
            </xdr:cNvPr>
            <xdr:cNvPicPr>
              <a:picLocks noChangeArrowheads="1"/>
              <a:extLst>
                <a:ext uri="{84589F7E-364E-4C9E-8A38-B11213B215E9}">
                  <a14:cameraTool cellRange="PO!$T$1:$T$2" spid="_x0000_s212301"/>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91</xdr:row>
          <xdr:rowOff>0</xdr:rowOff>
        </xdr:from>
        <xdr:to>
          <xdr:col>23</xdr:col>
          <xdr:colOff>0</xdr:colOff>
          <xdr:row>95</xdr:row>
          <xdr:rowOff>142875</xdr:rowOff>
        </xdr:to>
        <xdr:pic>
          <xdr:nvPicPr>
            <xdr:cNvPr id="200680" name="Picture 483">
              <a:extLst>
                <a:ext uri="{FF2B5EF4-FFF2-40B4-BE49-F238E27FC236}">
                  <a16:creationId xmlns:a16="http://schemas.microsoft.com/office/drawing/2014/main" id="{00000000-0008-0000-0400-0000E80F0300}"/>
                </a:ext>
              </a:extLst>
            </xdr:cNvPr>
            <xdr:cNvPicPr>
              <a:picLocks noChangeArrowheads="1"/>
              <a:extLst>
                <a:ext uri="{84589F7E-364E-4C9E-8A38-B11213B215E9}">
                  <a14:cameraTool cellRange="DADOS!$A$53:$K$57" spid="_x0000_s212302"/>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0000000-0008-0000-0400-0000E90F0300}"/>
                </a:ext>
              </a:extLst>
            </xdr:cNvPr>
            <xdr:cNvPicPr>
              <a:picLocks noChangeArrowheads="1"/>
              <a:extLst>
                <a:ext uri="{84589F7E-364E-4C9E-8A38-B11213B215E9}">
                  <a14:cameraTool cellRange="PO!$T$1:$T$2" spid="_x0000_s212303"/>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91</xdr:row>
          <xdr:rowOff>0</xdr:rowOff>
        </xdr:from>
        <xdr:to>
          <xdr:col>23</xdr:col>
          <xdr:colOff>0</xdr:colOff>
          <xdr:row>95</xdr:row>
          <xdr:rowOff>142875</xdr:rowOff>
        </xdr:to>
        <xdr:pic>
          <xdr:nvPicPr>
            <xdr:cNvPr id="200682" name="Picture 483">
              <a:extLst>
                <a:ext uri="{FF2B5EF4-FFF2-40B4-BE49-F238E27FC236}">
                  <a16:creationId xmlns:a16="http://schemas.microsoft.com/office/drawing/2014/main" id="{00000000-0008-0000-0400-0000EA0F0300}"/>
                </a:ext>
              </a:extLst>
            </xdr:cNvPr>
            <xdr:cNvPicPr>
              <a:picLocks noChangeArrowheads="1"/>
              <a:extLst>
                <a:ext uri="{84589F7E-364E-4C9E-8A38-B11213B215E9}">
                  <a14:cameraTool cellRange="DADOS!$A$53:$K$57" spid="_x0000_s212304"/>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00000000-0008-0000-0400-0000EB0F0300}"/>
                </a:ext>
              </a:extLst>
            </xdr:cNvPr>
            <xdr:cNvPicPr>
              <a:picLocks noChangeArrowheads="1"/>
              <a:extLst>
                <a:ext uri="{84589F7E-364E-4C9E-8A38-B11213B215E9}">
                  <a14:cameraTool cellRange="PO!$T$1:$T$2" spid="_x0000_s212305"/>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91</xdr:row>
          <xdr:rowOff>0</xdr:rowOff>
        </xdr:from>
        <xdr:to>
          <xdr:col>23</xdr:col>
          <xdr:colOff>0</xdr:colOff>
          <xdr:row>95</xdr:row>
          <xdr:rowOff>142875</xdr:rowOff>
        </xdr:to>
        <xdr:pic>
          <xdr:nvPicPr>
            <xdr:cNvPr id="200684" name="Picture 483">
              <a:extLst>
                <a:ext uri="{FF2B5EF4-FFF2-40B4-BE49-F238E27FC236}">
                  <a16:creationId xmlns:a16="http://schemas.microsoft.com/office/drawing/2014/main" id="{00000000-0008-0000-0400-0000EC0F0300}"/>
                </a:ext>
              </a:extLst>
            </xdr:cNvPr>
            <xdr:cNvPicPr>
              <a:picLocks noChangeArrowheads="1"/>
              <a:extLst>
                <a:ext uri="{84589F7E-364E-4C9E-8A38-B11213B215E9}">
                  <a14:cameraTool cellRange="DADOS!$A$53:$K$57" spid="_x0000_s212306"/>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00000000-0008-0000-0400-0000ED0F0300}"/>
                </a:ext>
              </a:extLst>
            </xdr:cNvPr>
            <xdr:cNvPicPr>
              <a:picLocks noChangeArrowheads="1"/>
              <a:extLst>
                <a:ext uri="{84589F7E-364E-4C9E-8A38-B11213B215E9}">
                  <a14:cameraTool cellRange="PO!$T$1:$T$2" spid="_x0000_s212307"/>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34" zoomScaleNormal="100" zoomScaleSheetLayoutView="100" workbookViewId="0">
      <selection activeCell="A38" sqref="A38:B38"/>
    </sheetView>
  </sheetViews>
  <sheetFormatPr defaultColWidth="9.140625"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59" t="s">
        <v>2</v>
      </c>
      <c r="C1" s="259"/>
      <c r="D1" s="259"/>
      <c r="E1" s="259"/>
      <c r="F1" s="259"/>
      <c r="G1" s="259"/>
      <c r="H1" s="259"/>
      <c r="I1" s="259"/>
      <c r="J1" s="259"/>
      <c r="K1" s="259"/>
      <c r="L1" s="259"/>
      <c r="M1" s="259"/>
      <c r="N1" s="259"/>
      <c r="O1" s="259"/>
      <c r="P1" s="259"/>
      <c r="Q1" s="259"/>
      <c r="R1" s="259"/>
      <c r="S1" s="259"/>
      <c r="T1" s="259"/>
      <c r="U1" s="259"/>
      <c r="V1" s="259"/>
      <c r="W1" s="259"/>
      <c r="X1" s="260"/>
    </row>
    <row r="2" spans="1:25" ht="13.5" customHeight="1" x14ac:dyDescent="0.2">
      <c r="A2" s="105" t="s">
        <v>228</v>
      </c>
      <c r="B2" s="261"/>
      <c r="C2" s="261"/>
      <c r="D2" s="261"/>
      <c r="E2" s="261"/>
      <c r="F2" s="261"/>
      <c r="G2" s="261"/>
      <c r="H2" s="261"/>
      <c r="I2" s="261"/>
      <c r="J2" s="261"/>
      <c r="K2" s="261"/>
      <c r="L2" s="261"/>
      <c r="M2" s="261"/>
      <c r="N2" s="261"/>
      <c r="O2" s="261"/>
      <c r="P2" s="261"/>
      <c r="Q2" s="261"/>
      <c r="R2" s="261"/>
      <c r="S2" s="261"/>
      <c r="T2" s="261"/>
      <c r="U2" s="261"/>
      <c r="V2" s="261"/>
      <c r="W2" s="261"/>
      <c r="X2" s="262"/>
    </row>
    <row r="3" spans="1:25" ht="13.5" customHeight="1" x14ac:dyDescent="0.2">
      <c r="A3" s="1"/>
      <c r="B3" s="1"/>
      <c r="F3" s="1"/>
      <c r="G3" s="1"/>
      <c r="H3" s="1"/>
    </row>
    <row r="4" spans="1:25" s="21" customFormat="1" ht="12.75" customHeight="1" x14ac:dyDescent="0.2">
      <c r="A4" s="271" t="s">
        <v>168</v>
      </c>
      <c r="B4" s="271"/>
      <c r="C4" s="271"/>
      <c r="D4" s="271"/>
      <c r="E4" s="271"/>
      <c r="F4" s="271"/>
      <c r="G4" s="271"/>
      <c r="H4" s="271"/>
      <c r="I4" s="271"/>
      <c r="J4" s="271"/>
      <c r="K4" s="271"/>
      <c r="L4" s="271"/>
      <c r="M4" s="271"/>
      <c r="N4" s="271"/>
      <c r="O4" s="271"/>
      <c r="P4" s="271"/>
      <c r="Q4" s="271"/>
      <c r="R4" s="271"/>
      <c r="S4" s="271"/>
      <c r="T4" s="271"/>
      <c r="U4" s="271"/>
      <c r="V4" s="271"/>
      <c r="W4" s="271"/>
      <c r="X4" s="271"/>
    </row>
    <row r="5" spans="1:25" s="21" customFormat="1" x14ac:dyDescent="0.2">
      <c r="A5" s="22"/>
      <c r="B5" s="22"/>
      <c r="F5" s="23"/>
      <c r="G5" s="23"/>
      <c r="H5" s="23"/>
    </row>
    <row r="6" spans="1:25" s="22" customFormat="1" ht="24.95" customHeight="1" x14ac:dyDescent="0.2">
      <c r="A6" s="272" t="s">
        <v>179</v>
      </c>
      <c r="B6" s="273"/>
      <c r="C6" s="273"/>
      <c r="D6" s="273"/>
      <c r="E6" s="273"/>
      <c r="F6" s="273"/>
      <c r="G6" s="273"/>
      <c r="H6" s="273"/>
      <c r="I6" s="273"/>
      <c r="J6" s="273"/>
      <c r="K6" s="273"/>
      <c r="L6" s="273"/>
      <c r="M6" s="273"/>
      <c r="N6" s="273"/>
      <c r="O6" s="273"/>
      <c r="P6" s="273"/>
      <c r="Q6" s="273"/>
      <c r="R6" s="273"/>
      <c r="S6" s="273"/>
      <c r="T6" s="273"/>
      <c r="U6" s="273"/>
      <c r="V6" s="273"/>
      <c r="W6" s="273"/>
      <c r="X6" s="273"/>
    </row>
    <row r="7" spans="1:25" s="21" customFormat="1" ht="12.75" customHeight="1" x14ac:dyDescent="0.2">
      <c r="A7" s="22"/>
      <c r="B7" s="22"/>
      <c r="F7" s="23"/>
      <c r="G7" s="23"/>
      <c r="H7" s="23"/>
    </row>
    <row r="8" spans="1:25" s="21" customFormat="1" ht="12.75" customHeight="1" x14ac:dyDescent="0.2">
      <c r="A8" s="274" t="s">
        <v>23</v>
      </c>
      <c r="B8" s="274"/>
      <c r="C8" s="274"/>
      <c r="D8" s="274"/>
      <c r="E8" s="274"/>
      <c r="F8" s="274"/>
      <c r="G8" s="274"/>
      <c r="H8" s="274"/>
      <c r="I8" s="274"/>
      <c r="J8" s="274"/>
      <c r="K8" s="274"/>
      <c r="L8" s="274"/>
      <c r="M8" s="274"/>
      <c r="N8" s="274"/>
      <c r="O8" s="274"/>
      <c r="P8" s="274"/>
      <c r="Q8" s="274"/>
      <c r="R8" s="274"/>
      <c r="S8" s="274"/>
      <c r="T8" s="274"/>
      <c r="U8" s="274"/>
      <c r="V8" s="274"/>
      <c r="W8" s="274"/>
      <c r="X8" s="274"/>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276" t="s">
        <v>169</v>
      </c>
      <c r="B10" s="276"/>
      <c r="C10" s="276"/>
      <c r="D10" s="276"/>
      <c r="E10" s="276"/>
      <c r="F10" s="276"/>
      <c r="G10" s="276"/>
      <c r="H10" s="276"/>
      <c r="I10" s="276"/>
      <c r="J10" s="276"/>
      <c r="K10" s="276"/>
      <c r="L10" s="276"/>
      <c r="M10" s="276"/>
      <c r="N10" s="276"/>
      <c r="O10" s="276"/>
      <c r="P10" s="276"/>
      <c r="Q10" s="276"/>
      <c r="R10" s="276"/>
      <c r="S10" s="276"/>
      <c r="T10" s="276"/>
      <c r="U10" s="276"/>
      <c r="V10" s="276"/>
      <c r="W10" s="276"/>
      <c r="X10" s="276"/>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276" t="s">
        <v>1</v>
      </c>
      <c r="B12" s="276"/>
      <c r="C12" s="276"/>
      <c r="D12" s="276"/>
      <c r="E12" s="276"/>
      <c r="F12" s="276"/>
      <c r="G12" s="276"/>
      <c r="H12" s="276"/>
      <c r="I12" s="276"/>
      <c r="J12" s="276"/>
      <c r="K12" s="276"/>
      <c r="L12" s="276"/>
      <c r="M12" s="276"/>
      <c r="N12" s="276"/>
      <c r="O12" s="276"/>
      <c r="P12" s="276"/>
      <c r="Q12" s="276"/>
      <c r="R12" s="276"/>
      <c r="S12" s="276"/>
      <c r="T12" s="276"/>
      <c r="U12" s="276"/>
      <c r="V12" s="276"/>
      <c r="W12" s="276"/>
      <c r="X12" s="276"/>
    </row>
    <row r="13" spans="1:25" s="21" customFormat="1" x14ac:dyDescent="0.2">
      <c r="A13" s="22"/>
      <c r="B13" s="22"/>
      <c r="F13" s="23"/>
      <c r="G13" s="23"/>
      <c r="H13" s="23"/>
    </row>
    <row r="14" spans="1:25" s="21" customFormat="1" x14ac:dyDescent="0.2">
      <c r="A14" s="275" t="s">
        <v>24</v>
      </c>
      <c r="B14" s="274"/>
      <c r="C14" s="274"/>
      <c r="D14" s="274"/>
      <c r="E14" s="274"/>
      <c r="F14" s="274"/>
      <c r="G14" s="274"/>
      <c r="H14" s="274"/>
      <c r="I14" s="274"/>
      <c r="J14" s="274"/>
      <c r="K14" s="274"/>
      <c r="L14" s="274"/>
      <c r="M14" s="274"/>
      <c r="N14" s="274"/>
      <c r="O14" s="274"/>
      <c r="P14" s="274"/>
      <c r="Q14" s="274"/>
      <c r="R14" s="274"/>
      <c r="S14" s="274"/>
      <c r="T14" s="274"/>
      <c r="U14" s="274"/>
      <c r="V14" s="274"/>
      <c r="W14" s="274"/>
      <c r="X14" s="274"/>
    </row>
    <row r="15" spans="1:25" s="21" customFormat="1" x14ac:dyDescent="0.2">
      <c r="A15" s="22"/>
      <c r="B15" s="22"/>
      <c r="F15" s="23"/>
      <c r="G15" s="23"/>
      <c r="H15" s="23"/>
    </row>
    <row r="16" spans="1:25" s="21" customFormat="1" x14ac:dyDescent="0.2">
      <c r="A16" s="242" t="s">
        <v>186</v>
      </c>
      <c r="B16" s="243"/>
      <c r="C16" s="243"/>
      <c r="D16" s="243"/>
      <c r="E16" s="243"/>
      <c r="F16" s="243"/>
      <c r="G16" s="243"/>
      <c r="H16" s="243"/>
      <c r="I16" s="243"/>
      <c r="J16" s="243"/>
      <c r="K16" s="243"/>
      <c r="L16" s="243"/>
      <c r="M16" s="243"/>
      <c r="N16" s="243"/>
      <c r="O16" s="243"/>
      <c r="P16" s="243"/>
      <c r="Q16" s="243"/>
      <c r="R16" s="243"/>
      <c r="S16" s="243"/>
      <c r="T16" s="243"/>
      <c r="U16" s="243"/>
      <c r="V16" s="243"/>
      <c r="W16" s="243"/>
      <c r="X16" s="243"/>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44" t="s">
        <v>187</v>
      </c>
      <c r="B18" s="244"/>
      <c r="C18" s="245"/>
      <c r="D18" s="245"/>
      <c r="E18" s="245"/>
      <c r="F18" s="245"/>
      <c r="G18" s="245"/>
      <c r="H18" s="245"/>
      <c r="I18" s="245"/>
      <c r="J18" s="245"/>
      <c r="K18" s="245"/>
      <c r="L18" s="245"/>
      <c r="M18" s="245"/>
      <c r="N18" s="245"/>
      <c r="O18" s="245"/>
      <c r="P18" s="245"/>
      <c r="Q18" s="245"/>
      <c r="R18" s="245"/>
      <c r="S18" s="245"/>
      <c r="T18" s="245"/>
      <c r="U18" s="245"/>
      <c r="V18" s="245"/>
      <c r="W18" s="245"/>
      <c r="X18" s="245"/>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242" t="s">
        <v>189</v>
      </c>
      <c r="B22" s="243"/>
      <c r="C22" s="243"/>
      <c r="D22" s="243"/>
      <c r="E22" s="243"/>
      <c r="F22" s="243"/>
      <c r="G22" s="243"/>
      <c r="H22" s="243"/>
      <c r="I22" s="243"/>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44" t="s">
        <v>190</v>
      </c>
      <c r="B24" s="244"/>
      <c r="C24" s="245"/>
      <c r="D24" s="245"/>
      <c r="E24" s="245"/>
      <c r="F24" s="245"/>
      <c r="G24" s="245"/>
      <c r="H24" s="245"/>
      <c r="I24" s="245"/>
      <c r="J24" s="245"/>
      <c r="K24" s="245"/>
      <c r="L24" s="245"/>
      <c r="M24" s="245"/>
      <c r="N24" s="245"/>
      <c r="O24" s="245"/>
      <c r="P24" s="245"/>
      <c r="Q24" s="245"/>
      <c r="R24" s="245"/>
      <c r="S24" s="245"/>
      <c r="T24" s="245"/>
      <c r="U24" s="245"/>
      <c r="V24" s="245"/>
      <c r="W24" s="245"/>
      <c r="X24" s="245"/>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40" t="s">
        <v>191</v>
      </c>
      <c r="B26" s="240"/>
      <c r="C26" s="241"/>
      <c r="D26" s="241"/>
      <c r="E26" s="241"/>
      <c r="F26" s="241"/>
      <c r="G26" s="241"/>
      <c r="H26" s="241"/>
      <c r="I26" s="241"/>
      <c r="J26" s="241"/>
      <c r="K26" s="241"/>
      <c r="L26" s="241"/>
      <c r="M26" s="241"/>
      <c r="N26" s="241"/>
      <c r="O26" s="241"/>
      <c r="P26" s="241"/>
      <c r="Q26" s="241"/>
      <c r="R26" s="241"/>
      <c r="S26" s="241"/>
      <c r="T26" s="241"/>
      <c r="U26" s="241"/>
      <c r="V26" s="241"/>
      <c r="W26" s="241"/>
      <c r="X26" s="241"/>
    </row>
    <row r="27" spans="1:25" s="21" customFormat="1" ht="6" customHeight="1" x14ac:dyDescent="0.2">
      <c r="A27" s="25"/>
      <c r="B27" s="25"/>
      <c r="F27" s="23"/>
      <c r="G27" s="23"/>
      <c r="H27" s="23"/>
    </row>
    <row r="28" spans="1:25" ht="12.75" customHeight="1" x14ac:dyDescent="0.2">
      <c r="A28" s="238" t="s">
        <v>177</v>
      </c>
      <c r="B28" s="249"/>
      <c r="C28" s="238" t="s">
        <v>170</v>
      </c>
      <c r="D28" s="239"/>
      <c r="E28" s="249"/>
      <c r="F28" s="238" t="s">
        <v>171</v>
      </c>
      <c r="G28" s="239"/>
      <c r="H28" s="239"/>
      <c r="I28" s="249"/>
      <c r="J28" s="238" t="s">
        <v>172</v>
      </c>
      <c r="K28" s="239"/>
      <c r="L28" s="239"/>
      <c r="M28" s="239"/>
      <c r="N28" s="239"/>
      <c r="O28" s="249"/>
      <c r="P28" s="238" t="s">
        <v>0</v>
      </c>
      <c r="Q28" s="239"/>
      <c r="R28" s="239"/>
      <c r="S28" s="239"/>
      <c r="T28" s="239"/>
      <c r="U28" s="239"/>
      <c r="V28" s="239"/>
      <c r="W28" s="239"/>
      <c r="X28" s="249"/>
    </row>
    <row r="29" spans="1:25" ht="12.75" customHeight="1" x14ac:dyDescent="0.2">
      <c r="A29" s="250">
        <v>1</v>
      </c>
      <c r="B29" s="251"/>
      <c r="C29" s="233" t="s">
        <v>229</v>
      </c>
      <c r="D29" s="234"/>
      <c r="E29" s="235"/>
      <c r="F29" s="250" t="s">
        <v>230</v>
      </c>
      <c r="G29" s="308"/>
      <c r="H29" s="308"/>
      <c r="I29" s="251"/>
      <c r="J29" s="250" t="s">
        <v>231</v>
      </c>
      <c r="K29" s="308"/>
      <c r="L29" s="308"/>
      <c r="M29" s="308"/>
      <c r="N29" s="308"/>
      <c r="O29" s="251"/>
      <c r="P29" s="233" t="s">
        <v>268</v>
      </c>
      <c r="Q29" s="308"/>
      <c r="R29" s="308"/>
      <c r="S29" s="308"/>
      <c r="T29" s="308"/>
      <c r="U29" s="308"/>
      <c r="V29" s="308"/>
      <c r="W29" s="308"/>
      <c r="X29" s="251"/>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38" t="s">
        <v>173</v>
      </c>
      <c r="B31" s="239"/>
      <c r="C31" s="239"/>
      <c r="D31" s="239"/>
      <c r="E31" s="239"/>
      <c r="F31" s="249"/>
      <c r="G31" s="238" t="s">
        <v>174</v>
      </c>
      <c r="H31" s="239"/>
      <c r="I31" s="239"/>
      <c r="J31" s="249"/>
      <c r="K31" s="238" t="s">
        <v>175</v>
      </c>
      <c r="L31" s="239"/>
      <c r="M31" s="239"/>
      <c r="N31" s="239"/>
      <c r="O31" s="239"/>
      <c r="P31" s="249"/>
      <c r="Q31" s="238" t="s">
        <v>180</v>
      </c>
      <c r="R31" s="239"/>
      <c r="S31" s="239"/>
      <c r="T31" s="239"/>
      <c r="U31" s="239"/>
      <c r="V31" s="239"/>
      <c r="W31" s="239"/>
      <c r="X31" s="249"/>
    </row>
    <row r="32" spans="1:25" x14ac:dyDescent="0.2">
      <c r="A32" s="309" t="s">
        <v>229</v>
      </c>
      <c r="B32" s="310"/>
      <c r="C32" s="310"/>
      <c r="D32" s="310"/>
      <c r="E32" s="310"/>
      <c r="F32" s="311"/>
      <c r="G32" s="233" t="s">
        <v>232</v>
      </c>
      <c r="H32" s="234"/>
      <c r="I32" s="234"/>
      <c r="J32" s="235"/>
      <c r="K32" s="250" t="s">
        <v>233</v>
      </c>
      <c r="L32" s="308"/>
      <c r="M32" s="308"/>
      <c r="N32" s="308"/>
      <c r="O32" s="308"/>
      <c r="P32" s="251"/>
      <c r="Q32" s="233" t="s">
        <v>269</v>
      </c>
      <c r="R32" s="308"/>
      <c r="S32" s="308"/>
      <c r="T32" s="308"/>
      <c r="U32" s="308"/>
      <c r="V32" s="308"/>
      <c r="W32" s="308"/>
      <c r="X32" s="251"/>
    </row>
    <row r="33" spans="1:24" s="21" customFormat="1" ht="9" customHeight="1" x14ac:dyDescent="0.2">
      <c r="A33" s="22"/>
      <c r="B33" s="22"/>
      <c r="F33" s="23"/>
      <c r="G33" s="23"/>
      <c r="H33" s="23"/>
    </row>
    <row r="34" spans="1:24" s="27" customFormat="1" x14ac:dyDescent="0.2"/>
    <row r="35" spans="1:24" s="21" customFormat="1" ht="12.75" customHeight="1" x14ac:dyDescent="0.2">
      <c r="A35" s="240" t="s">
        <v>192</v>
      </c>
      <c r="B35" s="240"/>
      <c r="C35" s="241"/>
      <c r="D35" s="241"/>
      <c r="E35" s="241"/>
      <c r="F35" s="241"/>
      <c r="G35" s="241"/>
      <c r="H35" s="241"/>
      <c r="I35" s="241"/>
      <c r="J35" s="241"/>
      <c r="K35" s="241"/>
      <c r="L35" s="241"/>
      <c r="M35" s="241"/>
      <c r="N35" s="241"/>
      <c r="O35" s="241"/>
      <c r="P35" s="241"/>
      <c r="Q35" s="241"/>
      <c r="R35" s="241"/>
      <c r="S35" s="241"/>
      <c r="T35" s="241"/>
      <c r="U35" s="241"/>
      <c r="V35" s="241"/>
      <c r="W35" s="241"/>
      <c r="X35" s="241"/>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38" t="s">
        <v>16</v>
      </c>
      <c r="B37" s="249"/>
      <c r="C37" s="92" t="s">
        <v>91</v>
      </c>
      <c r="D37" s="238" t="s">
        <v>14</v>
      </c>
      <c r="E37" s="239"/>
      <c r="F37" s="249"/>
      <c r="G37" s="238" t="s">
        <v>12</v>
      </c>
      <c r="H37" s="239"/>
      <c r="I37" s="239"/>
      <c r="J37" s="239"/>
      <c r="K37" s="239"/>
      <c r="L37" s="239"/>
      <c r="M37" s="239"/>
      <c r="N37" s="239"/>
      <c r="O37" s="239"/>
      <c r="P37" s="239"/>
      <c r="Q37" s="239"/>
      <c r="R37" s="239"/>
      <c r="S37" s="249"/>
      <c r="T37" s="93" t="s">
        <v>7</v>
      </c>
      <c r="U37" s="93" t="s">
        <v>8</v>
      </c>
      <c r="V37" s="93" t="s">
        <v>9</v>
      </c>
      <c r="W37" s="93" t="s">
        <v>10</v>
      </c>
      <c r="X37" s="93" t="s">
        <v>11</v>
      </c>
    </row>
    <row r="38" spans="1:24" s="21" customFormat="1" ht="12.75" customHeight="1" x14ac:dyDescent="0.2">
      <c r="A38" s="255">
        <v>45200</v>
      </c>
      <c r="B38" s="256"/>
      <c r="C38" s="91" t="s">
        <v>234</v>
      </c>
      <c r="D38" s="233" t="s">
        <v>78</v>
      </c>
      <c r="E38" s="234"/>
      <c r="F38" s="235"/>
      <c r="G38" s="233" t="s">
        <v>231</v>
      </c>
      <c r="H38" s="234"/>
      <c r="I38" s="234"/>
      <c r="J38" s="234"/>
      <c r="K38" s="234"/>
      <c r="L38" s="234"/>
      <c r="M38" s="234"/>
      <c r="N38" s="234"/>
      <c r="O38" s="234"/>
      <c r="P38" s="234"/>
      <c r="Q38" s="234"/>
      <c r="R38" s="234"/>
      <c r="S38" s="235"/>
      <c r="T38" s="95">
        <f ca="1">IF(ISERROR(INDIRECT("'BDI ("&amp;RIGHT(T37,1)&amp;")'!N27")),"",INDIRECT("'BDI ("&amp;RIGHT(T37,1)&amp;")'!N27"))</f>
        <v>0.2303</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40" t="s">
        <v>162</v>
      </c>
      <c r="B40" s="240"/>
      <c r="C40" s="241"/>
      <c r="D40" s="241"/>
      <c r="E40" s="241"/>
      <c r="F40" s="241"/>
      <c r="G40" s="241"/>
      <c r="H40" s="241"/>
      <c r="I40" s="241"/>
      <c r="J40" s="241"/>
      <c r="K40" s="241"/>
      <c r="L40" s="241"/>
      <c r="M40" s="241"/>
      <c r="N40" s="241"/>
      <c r="O40" s="241"/>
      <c r="P40" s="241"/>
      <c r="Q40" s="241"/>
      <c r="R40" s="241"/>
      <c r="S40" s="241"/>
      <c r="T40" s="241"/>
      <c r="U40" s="241"/>
      <c r="V40" s="241"/>
      <c r="W40" s="241"/>
      <c r="X40" s="241"/>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38" t="s">
        <v>87</v>
      </c>
      <c r="B42" s="249"/>
      <c r="C42" s="238" t="s">
        <v>111</v>
      </c>
      <c r="D42" s="239"/>
      <c r="E42" s="239"/>
      <c r="F42" s="239"/>
      <c r="G42" s="239"/>
      <c r="H42" s="238" t="s">
        <v>16</v>
      </c>
      <c r="I42" s="239"/>
      <c r="J42" s="28" t="s">
        <v>91</v>
      </c>
      <c r="K42" s="238" t="s">
        <v>88</v>
      </c>
      <c r="L42" s="239"/>
      <c r="M42" s="249"/>
      <c r="N42" s="28" t="s">
        <v>92</v>
      </c>
      <c r="O42" s="238" t="s">
        <v>93</v>
      </c>
      <c r="P42" s="239"/>
      <c r="Q42" s="239"/>
      <c r="R42" s="239"/>
      <c r="S42" s="239"/>
      <c r="T42" s="249"/>
      <c r="U42" s="257" t="s">
        <v>89</v>
      </c>
      <c r="V42" s="258"/>
      <c r="W42" s="257" t="s">
        <v>90</v>
      </c>
      <c r="X42" s="258"/>
    </row>
    <row r="43" spans="1:24" s="21" customFormat="1" ht="12.75" customHeight="1" x14ac:dyDescent="0.2">
      <c r="A43" s="278"/>
      <c r="B43" s="279"/>
      <c r="C43" s="233"/>
      <c r="D43" s="234"/>
      <c r="E43" s="234"/>
      <c r="F43" s="234"/>
      <c r="G43" s="234"/>
      <c r="H43" s="255"/>
      <c r="I43" s="256"/>
      <c r="J43" s="88"/>
      <c r="K43" s="312"/>
      <c r="L43" s="313"/>
      <c r="M43" s="314"/>
      <c r="N43" s="104"/>
      <c r="O43" s="266"/>
      <c r="P43" s="267"/>
      <c r="Q43" s="267"/>
      <c r="R43" s="268"/>
      <c r="S43" s="268"/>
      <c r="T43" s="269"/>
      <c r="U43" s="264"/>
      <c r="V43" s="270"/>
      <c r="W43" s="264"/>
      <c r="X43" s="265"/>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40" t="s">
        <v>193</v>
      </c>
      <c r="B45" s="240"/>
      <c r="C45" s="241"/>
      <c r="D45" s="241"/>
      <c r="E45" s="241"/>
      <c r="F45" s="241"/>
      <c r="G45" s="241"/>
      <c r="H45" s="241"/>
      <c r="I45" s="241"/>
      <c r="J45" s="241"/>
      <c r="K45" s="241"/>
      <c r="L45" s="241"/>
      <c r="M45" s="241"/>
      <c r="N45" s="241"/>
      <c r="O45" s="241"/>
      <c r="P45" s="241"/>
      <c r="Q45" s="241"/>
      <c r="R45" s="241"/>
      <c r="S45" s="241"/>
      <c r="T45" s="241"/>
      <c r="U45" s="241"/>
      <c r="V45" s="241"/>
      <c r="W45" s="241"/>
      <c r="X45" s="241"/>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92">
        <v>44501</v>
      </c>
      <c r="B48" s="293"/>
      <c r="C48" s="294"/>
      <c r="E48" s="37"/>
    </row>
    <row r="49" spans="1:24" s="21" customFormat="1" x14ac:dyDescent="0.2">
      <c r="A49" s="22"/>
      <c r="B49" s="22"/>
      <c r="F49" s="33"/>
      <c r="G49" s="34"/>
      <c r="H49" s="35"/>
    </row>
    <row r="50" spans="1:24" s="21" customFormat="1" x14ac:dyDescent="0.2">
      <c r="A50" s="240" t="s">
        <v>194</v>
      </c>
      <c r="B50" s="240"/>
      <c r="C50" s="241"/>
      <c r="D50" s="241"/>
      <c r="E50" s="241"/>
      <c r="F50" s="241"/>
      <c r="G50" s="241"/>
      <c r="H50" s="241"/>
      <c r="I50" s="241"/>
      <c r="J50" s="241"/>
      <c r="K50" s="241"/>
      <c r="L50" s="241"/>
      <c r="M50" s="241"/>
      <c r="N50" s="241"/>
      <c r="O50" s="241"/>
      <c r="P50" s="241"/>
      <c r="Q50" s="241"/>
      <c r="R50" s="241"/>
      <c r="S50" s="241"/>
      <c r="T50" s="241"/>
      <c r="U50" s="241"/>
      <c r="V50" s="241"/>
      <c r="W50" s="241"/>
      <c r="X50" s="241"/>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235</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140</v>
      </c>
      <c r="B54" s="295"/>
      <c r="C54" s="296"/>
      <c r="D54" s="296"/>
      <c r="E54" s="296"/>
      <c r="F54" s="33"/>
      <c r="G54" s="101" t="s">
        <v>140</v>
      </c>
      <c r="H54" s="296"/>
      <c r="I54" s="296"/>
      <c r="J54" s="296"/>
      <c r="K54" s="296"/>
      <c r="L54" s="2"/>
      <c r="M54"/>
      <c r="N54"/>
      <c r="O54"/>
      <c r="P54"/>
      <c r="Q54"/>
      <c r="R54"/>
      <c r="S54"/>
      <c r="T54"/>
      <c r="U54"/>
      <c r="V54"/>
      <c r="W54"/>
      <c r="X54"/>
    </row>
    <row r="55" spans="1:24" s="21" customFormat="1" x14ac:dyDescent="0.2">
      <c r="A55" s="101" t="str">
        <f>IF(OR(TipoOrçamento="BASE",TipoOrçamento="REPROGRAMADONPL"),"Título:","Cargo:")</f>
        <v>Cargo:</v>
      </c>
      <c r="B55" s="296"/>
      <c r="C55" s="296"/>
      <c r="D55" s="296"/>
      <c r="E55" s="296"/>
      <c r="F55" s="33"/>
      <c r="G55" s="101" t="str">
        <f>A55</f>
        <v>Cargo:</v>
      </c>
      <c r="H55" s="296"/>
      <c r="I55" s="296"/>
      <c r="J55" s="296"/>
      <c r="K55" s="296"/>
      <c r="L55" s="2"/>
      <c r="M55"/>
      <c r="N55"/>
      <c r="O55"/>
      <c r="P55"/>
      <c r="Q55"/>
      <c r="R55"/>
      <c r="S55"/>
      <c r="T55"/>
      <c r="U55"/>
      <c r="V55"/>
      <c r="W55"/>
      <c r="X55"/>
    </row>
    <row r="56" spans="1:24" s="21" customFormat="1" x14ac:dyDescent="0.2">
      <c r="A56" s="101" t="str">
        <f>IF(OR(TipoOrçamento="BASE",TipoOrçamento="REPROGRAMADONPL"),"CREA/CAU:","Empresa:")</f>
        <v>Empresa:</v>
      </c>
      <c r="B56" s="277"/>
      <c r="C56" s="263"/>
      <c r="D56" s="263"/>
      <c r="E56" s="263"/>
      <c r="F56" s="33"/>
      <c r="G56" s="101" t="str">
        <f>A56</f>
        <v>Empresa:</v>
      </c>
      <c r="H56" s="263"/>
      <c r="I56" s="263"/>
      <c r="J56" s="263"/>
      <c r="K56" s="263"/>
      <c r="L56" s="2"/>
      <c r="M56"/>
      <c r="N56"/>
      <c r="O56"/>
      <c r="P56"/>
      <c r="Q56"/>
      <c r="R56"/>
      <c r="S56"/>
      <c r="T56"/>
      <c r="U56"/>
      <c r="V56"/>
      <c r="W56"/>
      <c r="X56"/>
    </row>
    <row r="57" spans="1:24" s="21" customFormat="1" x14ac:dyDescent="0.2">
      <c r="A57" s="101" t="str">
        <f>IF(OR(TipoOrçamento="BASE",TipoOrçamento="REPROGRAMADONPL"),"ART/RRT:","CNPJ:")</f>
        <v>CNPJ:</v>
      </c>
      <c r="B57" s="277"/>
      <c r="C57" s="263"/>
      <c r="D57" s="263"/>
      <c r="E57" s="263"/>
      <c r="F57" s="33"/>
      <c r="G57" s="101" t="str">
        <f>A57</f>
        <v>CNPJ:</v>
      </c>
      <c r="H57" s="263"/>
      <c r="I57" s="263"/>
      <c r="J57" s="263"/>
      <c r="K57" s="263"/>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44" t="s">
        <v>195</v>
      </c>
      <c r="B60" s="244"/>
      <c r="C60" s="245"/>
      <c r="D60" s="245"/>
      <c r="E60" s="245"/>
      <c r="F60" s="245"/>
      <c r="G60" s="245"/>
      <c r="H60" s="245"/>
      <c r="I60" s="245"/>
      <c r="J60" s="245"/>
      <c r="K60" s="245"/>
      <c r="L60" s="245"/>
      <c r="M60" s="245"/>
      <c r="N60" s="245"/>
      <c r="O60" s="245"/>
      <c r="P60" s="245"/>
      <c r="Q60" s="245"/>
      <c r="R60" s="245"/>
      <c r="S60" s="245"/>
      <c r="T60" s="245"/>
      <c r="U60" s="245"/>
      <c r="V60" s="245"/>
      <c r="W60" s="245"/>
      <c r="X60" s="245"/>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52" t="s">
        <v>196</v>
      </c>
      <c r="B62" s="253"/>
      <c r="C62" s="254"/>
      <c r="D62" s="254"/>
      <c r="E62" s="254"/>
      <c r="F62" s="254"/>
      <c r="G62" s="254"/>
      <c r="H62" s="254"/>
      <c r="I62" s="254"/>
      <c r="J62" s="254"/>
      <c r="K62" s="254"/>
      <c r="L62" s="254"/>
      <c r="M62" s="254"/>
      <c r="N62" s="254"/>
      <c r="O62" s="254"/>
      <c r="P62" s="254"/>
      <c r="Q62" s="254"/>
      <c r="R62" s="254"/>
      <c r="S62" s="254"/>
      <c r="T62" s="254"/>
      <c r="U62" s="254"/>
      <c r="V62" s="254"/>
      <c r="W62" s="254"/>
      <c r="X62" s="254"/>
    </row>
    <row r="63" spans="1:24" s="21" customFormat="1" ht="30" customHeight="1" x14ac:dyDescent="0.2">
      <c r="A63" s="252" t="s">
        <v>197</v>
      </c>
      <c r="B63" s="252"/>
      <c r="C63" s="297"/>
      <c r="D63" s="297"/>
      <c r="E63" s="297"/>
      <c r="F63" s="297"/>
      <c r="G63" s="297"/>
      <c r="H63" s="297"/>
      <c r="I63" s="297"/>
      <c r="J63" s="297"/>
      <c r="K63" s="297"/>
      <c r="L63" s="297"/>
      <c r="M63" s="297"/>
      <c r="N63" s="297"/>
      <c r="O63" s="297"/>
      <c r="P63" s="297"/>
      <c r="Q63" s="297"/>
      <c r="R63" s="297"/>
      <c r="S63" s="297"/>
      <c r="T63" s="297"/>
      <c r="U63" s="297"/>
      <c r="V63" s="297"/>
      <c r="W63" s="297"/>
      <c r="X63" s="297"/>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44" t="s">
        <v>198</v>
      </c>
      <c r="B65" s="244"/>
      <c r="C65" s="245"/>
      <c r="D65" s="245"/>
      <c r="E65" s="245"/>
      <c r="F65" s="245"/>
      <c r="G65" s="245"/>
      <c r="H65" s="245"/>
      <c r="I65" s="245"/>
      <c r="J65" s="245"/>
      <c r="K65" s="245"/>
      <c r="L65" s="245"/>
      <c r="M65" s="245"/>
      <c r="N65" s="245"/>
      <c r="O65" s="245"/>
      <c r="P65" s="245"/>
      <c r="Q65" s="245"/>
      <c r="R65" s="245"/>
      <c r="S65" s="245"/>
      <c r="T65" s="245"/>
      <c r="U65" s="245"/>
      <c r="V65" s="245"/>
      <c r="W65" s="245"/>
      <c r="X65" s="245"/>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40" t="s">
        <v>199</v>
      </c>
      <c r="B67" s="240"/>
      <c r="C67" s="241"/>
      <c r="D67" s="241"/>
      <c r="E67" s="241"/>
      <c r="F67" s="241"/>
      <c r="G67" s="241"/>
      <c r="H67" s="241"/>
      <c r="I67" s="241"/>
      <c r="J67" s="241"/>
      <c r="K67" s="241"/>
      <c r="L67" s="241"/>
      <c r="M67" s="241"/>
      <c r="N67" s="241"/>
      <c r="O67" s="241"/>
      <c r="P67" s="241"/>
      <c r="Q67" s="241"/>
      <c r="R67" s="241"/>
      <c r="S67" s="241"/>
      <c r="T67" s="241"/>
      <c r="U67" s="241"/>
      <c r="V67" s="241"/>
      <c r="W67" s="241"/>
      <c r="X67" s="241"/>
    </row>
    <row r="68" spans="1:24" s="21" customFormat="1" x14ac:dyDescent="0.2">
      <c r="A68" s="240" t="s">
        <v>200</v>
      </c>
      <c r="B68" s="240"/>
      <c r="C68" s="241"/>
      <c r="D68" s="241"/>
      <c r="E68" s="241"/>
      <c r="F68" s="241"/>
      <c r="G68" s="241"/>
      <c r="H68" s="241"/>
      <c r="I68" s="241"/>
      <c r="J68" s="241"/>
      <c r="K68" s="241"/>
      <c r="L68" s="241"/>
      <c r="M68" s="241"/>
      <c r="N68" s="241"/>
      <c r="O68" s="241"/>
      <c r="P68" s="241"/>
      <c r="Q68" s="241"/>
      <c r="R68" s="241"/>
      <c r="S68" s="241"/>
      <c r="T68" s="241"/>
      <c r="U68" s="241"/>
      <c r="V68" s="241"/>
      <c r="W68" s="241"/>
      <c r="X68" s="241"/>
    </row>
    <row r="69" spans="1:24" s="21" customFormat="1" ht="12.75" customHeight="1" x14ac:dyDescent="0.2">
      <c r="A69" s="240" t="s">
        <v>201</v>
      </c>
      <c r="B69" s="240"/>
      <c r="C69" s="241"/>
      <c r="D69" s="241"/>
      <c r="E69" s="241"/>
      <c r="F69" s="241"/>
      <c r="G69" s="241"/>
      <c r="H69" s="241"/>
      <c r="I69" s="241"/>
      <c r="J69" s="241"/>
      <c r="K69" s="241"/>
      <c r="L69" s="241"/>
      <c r="M69" s="241"/>
      <c r="N69" s="241"/>
      <c r="O69" s="241"/>
      <c r="P69" s="241"/>
      <c r="Q69" s="241"/>
      <c r="R69" s="241"/>
      <c r="S69" s="241"/>
      <c r="T69" s="241"/>
      <c r="U69" s="241"/>
      <c r="V69" s="241"/>
      <c r="W69" s="241"/>
      <c r="X69" s="241"/>
    </row>
    <row r="70" spans="1:24" s="21" customFormat="1" ht="12.75" customHeight="1" x14ac:dyDescent="0.2">
      <c r="A70" s="240" t="s">
        <v>202</v>
      </c>
      <c r="B70" s="240"/>
      <c r="C70" s="241"/>
      <c r="D70" s="241"/>
      <c r="E70" s="241"/>
      <c r="F70" s="241"/>
      <c r="G70" s="241"/>
      <c r="H70" s="241"/>
      <c r="I70" s="241"/>
      <c r="J70" s="241"/>
      <c r="K70" s="241"/>
      <c r="L70" s="241"/>
      <c r="M70" s="241"/>
      <c r="N70" s="241"/>
      <c r="O70" s="241"/>
      <c r="P70" s="241"/>
      <c r="Q70" s="241"/>
      <c r="R70" s="241"/>
      <c r="S70" s="241"/>
      <c r="T70" s="241"/>
      <c r="U70" s="241"/>
      <c r="V70" s="241"/>
      <c r="W70" s="241"/>
      <c r="X70" s="241"/>
    </row>
    <row r="71" spans="1:24" s="21" customFormat="1" ht="12.75" customHeight="1" x14ac:dyDescent="0.2">
      <c r="A71" s="240" t="s">
        <v>203</v>
      </c>
      <c r="B71" s="240"/>
      <c r="C71" s="241"/>
      <c r="D71" s="241"/>
      <c r="E71" s="241"/>
      <c r="F71" s="241"/>
      <c r="G71" s="241"/>
      <c r="H71" s="241"/>
      <c r="I71" s="241"/>
      <c r="J71" s="241"/>
      <c r="K71" s="241"/>
      <c r="L71" s="241"/>
      <c r="M71" s="241"/>
      <c r="N71" s="241"/>
      <c r="O71" s="241"/>
      <c r="P71" s="241"/>
      <c r="Q71" s="241"/>
      <c r="R71" s="241"/>
      <c r="S71" s="241"/>
      <c r="T71" s="241"/>
      <c r="U71" s="241"/>
      <c r="V71" s="241"/>
      <c r="W71" s="241"/>
      <c r="X71" s="241"/>
    </row>
    <row r="72" spans="1:24" s="21" customFormat="1" ht="12.75" customHeight="1" x14ac:dyDescent="0.2">
      <c r="A72" s="240" t="s">
        <v>204</v>
      </c>
      <c r="B72" s="240"/>
      <c r="C72" s="241"/>
      <c r="D72" s="241"/>
      <c r="E72" s="241"/>
      <c r="F72" s="241"/>
      <c r="G72" s="241"/>
      <c r="H72" s="241"/>
      <c r="I72" s="241"/>
      <c r="J72" s="241"/>
      <c r="K72" s="241"/>
      <c r="L72" s="241"/>
      <c r="M72" s="241"/>
      <c r="N72" s="241"/>
      <c r="O72" s="241"/>
      <c r="P72" s="241"/>
      <c r="Q72" s="241"/>
      <c r="R72" s="241"/>
      <c r="S72" s="241"/>
      <c r="T72" s="241"/>
      <c r="U72" s="241"/>
      <c r="V72" s="241"/>
      <c r="W72" s="241"/>
      <c r="X72" s="241"/>
    </row>
    <row r="73" spans="1:24" s="21" customFormat="1" x14ac:dyDescent="0.2">
      <c r="A73" s="22"/>
      <c r="B73" s="22"/>
      <c r="F73" s="33"/>
      <c r="G73" s="34"/>
      <c r="H73" s="35"/>
    </row>
    <row r="74" spans="1:24" s="21" customFormat="1" ht="12.75" customHeight="1" x14ac:dyDescent="0.2">
      <c r="A74" s="244" t="s">
        <v>205</v>
      </c>
      <c r="B74" s="244"/>
      <c r="C74" s="245"/>
      <c r="D74" s="245"/>
      <c r="E74" s="245"/>
      <c r="F74" s="245"/>
      <c r="G74" s="245"/>
      <c r="H74" s="245"/>
      <c r="I74" s="245"/>
      <c r="J74" s="245"/>
      <c r="K74" s="245"/>
      <c r="L74" s="245"/>
      <c r="M74" s="245"/>
      <c r="N74" s="245"/>
      <c r="O74" s="245"/>
      <c r="P74" s="245"/>
      <c r="Q74" s="245"/>
      <c r="R74" s="245"/>
      <c r="S74" s="245"/>
      <c r="T74" s="245"/>
      <c r="U74" s="245"/>
      <c r="V74" s="245"/>
      <c r="W74" s="245"/>
      <c r="X74" s="245"/>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40" t="s">
        <v>206</v>
      </c>
      <c r="B76" s="240"/>
      <c r="C76" s="241"/>
      <c r="D76" s="241"/>
      <c r="E76" s="241"/>
      <c r="F76" s="241"/>
      <c r="G76" s="241"/>
      <c r="H76" s="241"/>
      <c r="I76" s="241"/>
      <c r="J76" s="241"/>
      <c r="K76" s="241"/>
      <c r="L76" s="241"/>
      <c r="M76" s="241"/>
      <c r="N76" s="241"/>
      <c r="O76" s="241"/>
      <c r="P76" s="241"/>
      <c r="Q76" s="241"/>
      <c r="R76" s="241"/>
      <c r="S76" s="241"/>
      <c r="T76" s="241"/>
      <c r="U76" s="241"/>
      <c r="V76" s="241"/>
      <c r="W76" s="241"/>
      <c r="X76" s="241"/>
    </row>
    <row r="77" spans="1:24" s="21" customFormat="1" ht="26.1" customHeight="1" x14ac:dyDescent="0.2">
      <c r="A77" s="236" t="s">
        <v>207</v>
      </c>
      <c r="B77" s="236"/>
      <c r="C77" s="237"/>
      <c r="D77" s="237"/>
      <c r="E77" s="237"/>
      <c r="F77" s="237"/>
      <c r="G77" s="237"/>
      <c r="H77" s="237"/>
      <c r="I77" s="237"/>
      <c r="J77" s="237"/>
      <c r="K77" s="237"/>
      <c r="L77" s="237"/>
      <c r="M77" s="237"/>
      <c r="N77" s="237"/>
      <c r="O77" s="237"/>
      <c r="P77" s="237"/>
      <c r="Q77" s="237"/>
      <c r="R77" s="237"/>
      <c r="S77" s="237"/>
      <c r="T77" s="237"/>
      <c r="U77" s="237"/>
      <c r="V77" s="237"/>
      <c r="W77" s="237"/>
      <c r="X77" s="237"/>
    </row>
    <row r="78" spans="1:24" s="21" customFormat="1" ht="12.75" customHeight="1" x14ac:dyDescent="0.2">
      <c r="A78" s="240" t="s">
        <v>208</v>
      </c>
      <c r="B78" s="240"/>
      <c r="C78" s="241"/>
      <c r="D78" s="241"/>
      <c r="E78" s="241"/>
      <c r="F78" s="241"/>
      <c r="G78" s="241"/>
      <c r="H78" s="241"/>
      <c r="I78" s="241"/>
      <c r="J78" s="241"/>
      <c r="K78" s="241"/>
      <c r="L78" s="241"/>
      <c r="M78" s="241"/>
      <c r="N78" s="241"/>
      <c r="O78" s="241"/>
      <c r="P78" s="241"/>
      <c r="Q78" s="241"/>
      <c r="R78" s="241"/>
      <c r="S78" s="241"/>
      <c r="T78" s="241"/>
      <c r="U78" s="241"/>
      <c r="V78" s="241"/>
      <c r="W78" s="241"/>
      <c r="X78" s="241"/>
    </row>
    <row r="79" spans="1:24" s="21" customFormat="1" ht="25.5" customHeight="1" x14ac:dyDescent="0.2">
      <c r="A79" s="240" t="s">
        <v>209</v>
      </c>
      <c r="B79" s="240"/>
      <c r="C79" s="241"/>
      <c r="D79" s="241"/>
      <c r="E79" s="241"/>
      <c r="F79" s="241"/>
      <c r="G79" s="241"/>
      <c r="H79" s="241"/>
      <c r="I79" s="241"/>
      <c r="J79" s="241"/>
      <c r="K79" s="241"/>
      <c r="L79" s="241"/>
      <c r="M79" s="241"/>
      <c r="N79" s="241"/>
      <c r="O79" s="241"/>
      <c r="P79" s="241"/>
      <c r="Q79" s="241"/>
      <c r="R79" s="241"/>
      <c r="S79" s="241"/>
      <c r="T79" s="241"/>
      <c r="U79" s="241"/>
      <c r="V79" s="241"/>
      <c r="W79" s="241"/>
      <c r="X79" s="241"/>
    </row>
    <row r="80" spans="1:24" s="21" customFormat="1" x14ac:dyDescent="0.2">
      <c r="A80" s="236" t="s">
        <v>210</v>
      </c>
      <c r="B80" s="236"/>
      <c r="C80" s="237"/>
      <c r="D80" s="237"/>
      <c r="E80" s="237"/>
      <c r="F80" s="237"/>
      <c r="G80" s="237"/>
      <c r="H80" s="237"/>
      <c r="I80" s="237"/>
      <c r="J80" s="237"/>
      <c r="K80" s="237"/>
      <c r="L80" s="237"/>
      <c r="M80" s="237"/>
      <c r="N80" s="237"/>
      <c r="O80" s="237"/>
      <c r="P80" s="237"/>
      <c r="Q80" s="237"/>
      <c r="R80" s="237"/>
      <c r="S80" s="237"/>
      <c r="T80" s="237"/>
      <c r="U80" s="237"/>
      <c r="V80" s="237"/>
      <c r="W80" s="237"/>
      <c r="X80" s="237"/>
    </row>
    <row r="81" spans="1:24" ht="12.75" customHeight="1" x14ac:dyDescent="0.2">
      <c r="A81" s="240" t="s">
        <v>211</v>
      </c>
      <c r="B81" s="240"/>
      <c r="C81" s="241"/>
      <c r="D81" s="241"/>
      <c r="E81" s="241"/>
      <c r="F81" s="241"/>
      <c r="G81" s="241"/>
      <c r="H81" s="241"/>
      <c r="I81" s="241"/>
      <c r="J81" s="241"/>
      <c r="K81" s="241"/>
      <c r="L81" s="241"/>
      <c r="M81" s="241"/>
      <c r="N81" s="241"/>
      <c r="O81" s="241"/>
      <c r="P81" s="241"/>
      <c r="Q81" s="241"/>
      <c r="R81" s="241"/>
      <c r="S81" s="241"/>
      <c r="T81" s="241"/>
      <c r="U81" s="241"/>
      <c r="V81" s="241"/>
      <c r="W81" s="241"/>
      <c r="X81" s="241"/>
    </row>
    <row r="82" spans="1:24" ht="26.1" customHeight="1" x14ac:dyDescent="0.2">
      <c r="A82" s="240" t="s">
        <v>212</v>
      </c>
      <c r="B82" s="240"/>
      <c r="C82" s="241"/>
      <c r="D82" s="241"/>
      <c r="E82" s="241"/>
      <c r="F82" s="241"/>
      <c r="G82" s="241"/>
      <c r="H82" s="241"/>
      <c r="I82" s="241"/>
      <c r="J82" s="241"/>
      <c r="K82" s="241"/>
      <c r="L82" s="241"/>
      <c r="M82" s="241"/>
      <c r="N82" s="241"/>
      <c r="O82" s="241"/>
      <c r="P82" s="241"/>
      <c r="Q82" s="241"/>
      <c r="R82" s="241"/>
      <c r="S82" s="241"/>
      <c r="T82" s="241"/>
      <c r="U82" s="241"/>
      <c r="V82" s="241"/>
      <c r="W82" s="241"/>
      <c r="X82" s="241"/>
    </row>
    <row r="83" spans="1:24" s="21" customFormat="1" ht="26.1" customHeight="1" x14ac:dyDescent="0.2">
      <c r="A83" s="240" t="s">
        <v>213</v>
      </c>
      <c r="B83" s="240"/>
      <c r="C83" s="241"/>
      <c r="D83" s="241"/>
      <c r="E83" s="241"/>
      <c r="F83" s="241"/>
      <c r="G83" s="241"/>
      <c r="H83" s="241"/>
      <c r="I83" s="241"/>
      <c r="J83" s="241"/>
      <c r="K83" s="241"/>
      <c r="L83" s="241"/>
      <c r="M83" s="241"/>
      <c r="N83" s="241"/>
      <c r="O83" s="241"/>
      <c r="P83" s="241"/>
      <c r="Q83" s="241"/>
      <c r="R83" s="241"/>
      <c r="S83" s="241"/>
      <c r="T83" s="241"/>
      <c r="U83" s="241"/>
      <c r="V83" s="241"/>
      <c r="W83" s="241"/>
      <c r="X83" s="241"/>
    </row>
    <row r="84" spans="1:24" s="21" customFormat="1" ht="12.75" customHeight="1" x14ac:dyDescent="0.2">
      <c r="A84" s="240" t="s">
        <v>214</v>
      </c>
      <c r="B84" s="240"/>
      <c r="C84" s="241"/>
      <c r="D84" s="241"/>
      <c r="E84" s="241"/>
      <c r="F84" s="241"/>
      <c r="G84" s="241"/>
      <c r="H84" s="241"/>
      <c r="I84" s="241"/>
      <c r="J84" s="241"/>
      <c r="K84" s="241"/>
      <c r="L84" s="241"/>
      <c r="M84" s="241"/>
      <c r="N84" s="241"/>
      <c r="O84" s="241"/>
      <c r="P84" s="241"/>
      <c r="Q84" s="241"/>
      <c r="R84" s="241"/>
      <c r="S84" s="241"/>
      <c r="T84" s="241"/>
      <c r="U84" s="241"/>
      <c r="V84" s="241"/>
      <c r="W84" s="241"/>
      <c r="X84" s="241"/>
    </row>
    <row r="85" spans="1:24" s="21" customFormat="1" x14ac:dyDescent="0.2">
      <c r="A85" s="240" t="s">
        <v>215</v>
      </c>
      <c r="B85" s="240"/>
      <c r="C85" s="241"/>
      <c r="D85" s="241"/>
      <c r="E85" s="241"/>
      <c r="F85" s="241"/>
      <c r="G85" s="241"/>
      <c r="H85" s="241"/>
      <c r="I85" s="241"/>
      <c r="J85" s="241"/>
      <c r="K85" s="241"/>
      <c r="L85" s="241"/>
      <c r="M85" s="241"/>
      <c r="N85" s="241"/>
      <c r="O85" s="241"/>
      <c r="P85" s="241"/>
      <c r="Q85" s="241"/>
      <c r="R85" s="241"/>
      <c r="S85" s="241"/>
      <c r="T85" s="241"/>
      <c r="U85" s="241"/>
      <c r="V85" s="241"/>
      <c r="W85" s="241"/>
      <c r="X85" s="241"/>
    </row>
    <row r="86" spans="1:24" ht="12.75" customHeight="1" x14ac:dyDescent="0.2">
      <c r="A86" s="236" t="s">
        <v>216</v>
      </c>
      <c r="B86" s="236"/>
      <c r="C86" s="237"/>
      <c r="D86" s="237"/>
      <c r="E86" s="237"/>
      <c r="F86" s="237"/>
      <c r="G86" s="237"/>
      <c r="H86" s="237"/>
      <c r="I86" s="237"/>
      <c r="J86" s="237"/>
      <c r="K86" s="237"/>
      <c r="L86" s="237"/>
      <c r="M86" s="237"/>
      <c r="N86" s="237"/>
      <c r="O86" s="237"/>
      <c r="P86" s="237"/>
      <c r="Q86" s="237"/>
      <c r="R86" s="237"/>
      <c r="S86" s="237"/>
      <c r="T86" s="237"/>
      <c r="U86" s="237"/>
      <c r="V86" s="237"/>
      <c r="W86" s="237"/>
      <c r="X86" s="237"/>
    </row>
    <row r="87" spans="1:24" x14ac:dyDescent="0.2">
      <c r="A87" s="240" t="s">
        <v>217</v>
      </c>
      <c r="B87" s="240"/>
      <c r="C87" s="241"/>
      <c r="D87" s="241"/>
      <c r="E87" s="241"/>
      <c r="F87" s="241"/>
      <c r="G87" s="241"/>
      <c r="H87" s="241"/>
      <c r="I87" s="241"/>
      <c r="J87" s="241"/>
      <c r="K87" s="241"/>
      <c r="L87" s="241"/>
      <c r="M87" s="241"/>
      <c r="N87" s="241"/>
      <c r="O87" s="241"/>
      <c r="P87" s="241"/>
      <c r="Q87" s="241"/>
      <c r="R87" s="241"/>
      <c r="S87" s="241"/>
      <c r="T87" s="241"/>
      <c r="U87" s="241"/>
      <c r="V87" s="241"/>
      <c r="W87" s="241"/>
      <c r="X87" s="241"/>
    </row>
    <row r="88" spans="1:24" x14ac:dyDescent="0.2">
      <c r="A88" s="240" t="s">
        <v>218</v>
      </c>
      <c r="B88" s="240"/>
      <c r="C88" s="241"/>
      <c r="D88" s="241"/>
      <c r="E88" s="241"/>
      <c r="F88" s="241"/>
      <c r="G88" s="241"/>
      <c r="H88" s="241"/>
      <c r="I88" s="241"/>
      <c r="J88" s="241"/>
      <c r="K88" s="241"/>
      <c r="L88" s="241"/>
      <c r="M88" s="241"/>
      <c r="N88" s="241"/>
      <c r="O88" s="241"/>
      <c r="P88" s="241"/>
      <c r="Q88" s="241"/>
      <c r="R88" s="241"/>
      <c r="S88" s="241"/>
      <c r="T88" s="241"/>
      <c r="U88" s="241"/>
      <c r="V88" s="241"/>
      <c r="W88" s="241"/>
      <c r="X88" s="241"/>
    </row>
    <row r="90" spans="1:24" x14ac:dyDescent="0.2">
      <c r="A90" s="244" t="s">
        <v>219</v>
      </c>
      <c r="B90" s="244"/>
      <c r="C90" s="245"/>
      <c r="D90" s="245"/>
      <c r="E90" s="245"/>
      <c r="F90" s="245"/>
      <c r="G90" s="245"/>
      <c r="H90" s="245"/>
      <c r="I90" s="245"/>
      <c r="J90" s="245"/>
      <c r="K90" s="245"/>
      <c r="L90" s="245"/>
      <c r="M90" s="245"/>
      <c r="N90" s="245"/>
      <c r="O90" s="245"/>
      <c r="P90" s="245"/>
      <c r="Q90" s="245"/>
      <c r="R90" s="245"/>
      <c r="S90" s="245"/>
      <c r="T90" s="245"/>
      <c r="U90" s="245"/>
      <c r="V90" s="245"/>
      <c r="W90" s="245"/>
      <c r="X90" s="245"/>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40" t="s">
        <v>220</v>
      </c>
      <c r="B92" s="240"/>
      <c r="C92" s="241"/>
      <c r="D92" s="241"/>
      <c r="E92" s="241"/>
      <c r="F92" s="241"/>
      <c r="G92" s="241"/>
      <c r="H92" s="241"/>
      <c r="I92" s="241"/>
      <c r="J92" s="241"/>
      <c r="K92" s="241"/>
      <c r="L92" s="241"/>
      <c r="M92" s="241"/>
      <c r="N92" s="241"/>
      <c r="O92" s="241"/>
      <c r="P92" s="241"/>
      <c r="Q92" s="241"/>
      <c r="R92" s="241"/>
      <c r="S92" s="241"/>
      <c r="T92" s="241"/>
      <c r="U92" s="241"/>
      <c r="V92" s="241"/>
      <c r="W92" s="241"/>
      <c r="X92" s="241"/>
    </row>
    <row r="93" spans="1:24" ht="12.75" customHeight="1" x14ac:dyDescent="0.2">
      <c r="A93" s="236" t="s">
        <v>221</v>
      </c>
      <c r="B93" s="236"/>
      <c r="C93" s="237"/>
      <c r="D93" s="237"/>
      <c r="E93" s="237"/>
      <c r="F93" s="237"/>
      <c r="G93" s="237"/>
      <c r="H93" s="237"/>
      <c r="I93" s="237"/>
      <c r="J93" s="237"/>
      <c r="K93" s="237"/>
      <c r="L93" s="237"/>
      <c r="M93" s="237"/>
      <c r="N93" s="237"/>
      <c r="O93" s="237"/>
      <c r="P93" s="237"/>
      <c r="Q93" s="237"/>
      <c r="R93" s="237"/>
      <c r="S93" s="237"/>
      <c r="T93" s="237"/>
      <c r="U93" s="237"/>
      <c r="V93" s="237"/>
      <c r="W93" s="237"/>
      <c r="X93" s="237"/>
    </row>
    <row r="94" spans="1:24" ht="12.75" customHeight="1" x14ac:dyDescent="0.2">
      <c r="A94" s="240" t="s">
        <v>222</v>
      </c>
      <c r="B94" s="240"/>
      <c r="C94" s="241"/>
      <c r="D94" s="241"/>
      <c r="E94" s="241"/>
      <c r="F94" s="241"/>
      <c r="G94" s="241"/>
      <c r="H94" s="241"/>
      <c r="I94" s="241"/>
      <c r="J94" s="241"/>
      <c r="K94" s="241"/>
      <c r="L94" s="241"/>
      <c r="M94" s="241"/>
      <c r="N94" s="241"/>
      <c r="O94" s="241"/>
      <c r="P94" s="241"/>
      <c r="Q94" s="241"/>
      <c r="R94" s="241"/>
      <c r="S94" s="241"/>
      <c r="T94" s="241"/>
      <c r="U94" s="241"/>
      <c r="V94" s="241"/>
      <c r="W94" s="241"/>
      <c r="X94" s="241"/>
    </row>
    <row r="95" spans="1:24" x14ac:dyDescent="0.2">
      <c r="A95" s="240" t="s">
        <v>223</v>
      </c>
      <c r="B95" s="240"/>
      <c r="C95" s="241"/>
      <c r="D95" s="241"/>
      <c r="E95" s="241"/>
      <c r="F95" s="241"/>
      <c r="G95" s="241"/>
      <c r="H95" s="241"/>
      <c r="I95" s="241"/>
      <c r="J95" s="241"/>
      <c r="K95" s="241"/>
      <c r="L95" s="241"/>
      <c r="M95" s="241"/>
      <c r="N95" s="241"/>
      <c r="O95" s="241"/>
      <c r="P95" s="241"/>
      <c r="Q95" s="241"/>
      <c r="R95" s="241"/>
      <c r="S95" s="241"/>
      <c r="T95" s="241"/>
      <c r="U95" s="241"/>
      <c r="V95" s="241"/>
      <c r="W95" s="241"/>
      <c r="X95" s="241"/>
    </row>
    <row r="96" spans="1:24" ht="12.75" customHeight="1" x14ac:dyDescent="0.2">
      <c r="A96" s="236"/>
      <c r="B96" s="236"/>
      <c r="C96" s="237"/>
      <c r="D96" s="237"/>
      <c r="E96" s="237"/>
      <c r="F96" s="237"/>
      <c r="G96" s="237"/>
      <c r="H96" s="237"/>
      <c r="I96" s="237"/>
      <c r="J96" s="237"/>
      <c r="K96" s="237"/>
      <c r="L96" s="237"/>
      <c r="M96" s="237"/>
      <c r="N96" s="237"/>
      <c r="O96" s="237"/>
      <c r="P96" s="237"/>
      <c r="Q96" s="237"/>
      <c r="R96" s="237"/>
      <c r="S96" s="237"/>
      <c r="T96" s="237"/>
      <c r="U96" s="237"/>
      <c r="V96" s="237"/>
      <c r="W96" s="237"/>
      <c r="X96" s="237"/>
    </row>
    <row r="97" spans="1:24" x14ac:dyDescent="0.2">
      <c r="A97" s="244" t="s">
        <v>224</v>
      </c>
      <c r="B97" s="244"/>
      <c r="C97" s="245"/>
      <c r="D97" s="245"/>
      <c r="E97" s="245"/>
      <c r="F97" s="245"/>
      <c r="G97" s="245"/>
      <c r="H97" s="245"/>
      <c r="I97" s="245"/>
      <c r="J97" s="245"/>
      <c r="K97" s="245"/>
      <c r="L97" s="245"/>
      <c r="M97" s="245"/>
      <c r="N97" s="245"/>
      <c r="O97" s="245"/>
      <c r="P97" s="245"/>
      <c r="Q97" s="245"/>
      <c r="R97" s="245"/>
      <c r="S97" s="245"/>
      <c r="T97" s="245"/>
      <c r="U97" s="245"/>
      <c r="V97" s="245"/>
      <c r="W97" s="245"/>
      <c r="X97" s="245"/>
    </row>
    <row r="98" spans="1:24" ht="12.75" customHeight="1" x14ac:dyDescent="0.2">
      <c r="A98" s="236"/>
      <c r="B98" s="236"/>
      <c r="C98" s="237"/>
      <c r="D98" s="237"/>
      <c r="E98" s="237"/>
      <c r="F98" s="237"/>
      <c r="G98" s="237"/>
      <c r="H98" s="237"/>
      <c r="I98" s="237"/>
      <c r="J98" s="237"/>
      <c r="K98" s="237"/>
      <c r="L98" s="237"/>
      <c r="M98" s="237"/>
      <c r="N98" s="237"/>
      <c r="O98" s="237"/>
      <c r="P98" s="237"/>
      <c r="Q98" s="237"/>
      <c r="R98" s="237"/>
      <c r="S98" s="237"/>
      <c r="T98" s="237"/>
      <c r="U98" s="237"/>
      <c r="V98" s="237"/>
      <c r="W98" s="237"/>
      <c r="X98" s="237"/>
    </row>
    <row r="99" spans="1:24" ht="12.75" customHeight="1" x14ac:dyDescent="0.2">
      <c r="A99" s="240" t="s">
        <v>225</v>
      </c>
      <c r="B99" s="240"/>
      <c r="C99" s="241"/>
      <c r="D99" s="241"/>
      <c r="E99" s="241"/>
      <c r="F99" s="241"/>
      <c r="G99" s="241"/>
      <c r="H99" s="241"/>
      <c r="I99" s="241"/>
      <c r="J99" s="241"/>
      <c r="K99" s="241"/>
      <c r="L99" s="241"/>
      <c r="M99" s="241"/>
      <c r="N99" s="241"/>
      <c r="O99" s="241"/>
      <c r="P99" s="241"/>
      <c r="Q99" s="241"/>
      <c r="R99" s="241"/>
      <c r="S99" s="241"/>
      <c r="T99" s="241"/>
      <c r="U99" s="241"/>
      <c r="V99" s="241"/>
      <c r="W99" s="241"/>
      <c r="X99" s="241"/>
    </row>
    <row r="100" spans="1:24" ht="12.75" customHeight="1" x14ac:dyDescent="0.2">
      <c r="A100" s="240" t="s">
        <v>226</v>
      </c>
      <c r="B100" s="240"/>
      <c r="C100" s="241"/>
      <c r="D100" s="241"/>
      <c r="E100" s="241"/>
      <c r="F100" s="241"/>
      <c r="G100" s="241"/>
      <c r="H100" s="241"/>
      <c r="I100" s="241"/>
      <c r="J100" s="241"/>
      <c r="K100" s="241"/>
      <c r="L100" s="241"/>
      <c r="M100" s="241"/>
      <c r="N100" s="241"/>
      <c r="O100" s="241"/>
      <c r="P100" s="241"/>
      <c r="Q100" s="241"/>
      <c r="R100" s="241"/>
      <c r="S100" s="241"/>
      <c r="T100" s="241"/>
      <c r="U100" s="241"/>
      <c r="V100" s="241"/>
      <c r="W100" s="241"/>
      <c r="X100" s="241"/>
    </row>
    <row r="101" spans="1:24" x14ac:dyDescent="0.2">
      <c r="A101" s="240" t="s">
        <v>227</v>
      </c>
      <c r="B101" s="240"/>
      <c r="C101" s="241"/>
      <c r="D101" s="241"/>
      <c r="E101" s="241"/>
      <c r="F101" s="241"/>
      <c r="G101" s="241"/>
      <c r="H101" s="241"/>
      <c r="I101" s="241"/>
      <c r="J101" s="241"/>
      <c r="K101" s="241"/>
      <c r="L101" s="241"/>
      <c r="M101" s="241"/>
      <c r="N101" s="241"/>
      <c r="O101" s="241"/>
      <c r="P101" s="241"/>
      <c r="Q101" s="241"/>
      <c r="R101" s="241"/>
      <c r="S101" s="241"/>
      <c r="T101" s="241"/>
      <c r="U101" s="241"/>
      <c r="V101" s="241"/>
      <c r="W101" s="241"/>
      <c r="X101" s="241"/>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131</v>
      </c>
      <c r="O107" s="82"/>
      <c r="P107" s="38"/>
      <c r="Q107" s="82"/>
    </row>
    <row r="108" spans="1:24" ht="12.75" customHeight="1" x14ac:dyDescent="0.2">
      <c r="A108"/>
      <c r="E108"/>
      <c r="F108"/>
      <c r="G108" s="31"/>
      <c r="H108" s="31"/>
      <c r="L108" s="82" t="s">
        <v>132</v>
      </c>
      <c r="P108" s="31"/>
      <c r="S108" s="208">
        <f ca="1">T38</f>
        <v>0.2303</v>
      </c>
    </row>
    <row r="109" spans="1:24" x14ac:dyDescent="0.2">
      <c r="A109"/>
      <c r="E109"/>
      <c r="F109"/>
      <c r="G109" s="31"/>
      <c r="H109" s="31"/>
      <c r="L109" s="82" t="s">
        <v>133</v>
      </c>
      <c r="P109" s="31"/>
      <c r="S109" s="208" t="str">
        <f ca="1">U38</f>
        <v/>
      </c>
    </row>
    <row r="110" spans="1:24" ht="12.75" customHeight="1" x14ac:dyDescent="0.2">
      <c r="A110"/>
      <c r="E110"/>
      <c r="F110"/>
      <c r="G110" s="31"/>
      <c r="H110" s="31"/>
      <c r="L110" s="82" t="s">
        <v>134</v>
      </c>
      <c r="P110" s="31"/>
      <c r="S110" s="208" t="str">
        <f ca="1">V38</f>
        <v/>
      </c>
    </row>
    <row r="111" spans="1:24" x14ac:dyDescent="0.2">
      <c r="A111"/>
      <c r="E111"/>
      <c r="F111"/>
      <c r="G111" s="31"/>
      <c r="H111" s="31"/>
      <c r="L111" s="82" t="s">
        <v>135</v>
      </c>
      <c r="P111" s="31"/>
      <c r="S111" s="208" t="str">
        <f ca="1">W38</f>
        <v/>
      </c>
    </row>
    <row r="112" spans="1:24" ht="12.75" customHeight="1" x14ac:dyDescent="0.2">
      <c r="A112"/>
      <c r="E112"/>
      <c r="F112"/>
      <c r="G112" s="31"/>
      <c r="H112" s="31"/>
      <c r="L112" s="82" t="s">
        <v>136</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112</v>
      </c>
    </row>
    <row r="116" spans="1:16" x14ac:dyDescent="0.2">
      <c r="A116"/>
      <c r="H116" s="38"/>
      <c r="L116" s="82" t="s">
        <v>69</v>
      </c>
      <c r="P116" s="1" t="s">
        <v>113</v>
      </c>
    </row>
    <row r="117" spans="1:16" x14ac:dyDescent="0.2">
      <c r="A117"/>
      <c r="L117" s="82" t="s">
        <v>70</v>
      </c>
      <c r="P117" s="1" t="s">
        <v>114</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46" t="str">
        <f>A28</f>
        <v>Nº OPERAÇÃO</v>
      </c>
      <c r="B220" s="248"/>
      <c r="C220" s="246" t="str">
        <f>C28</f>
        <v>GESTOR</v>
      </c>
      <c r="D220" s="247"/>
      <c r="E220" s="248"/>
      <c r="F220" s="246" t="str">
        <f>F28</f>
        <v>PROGRAMA</v>
      </c>
      <c r="G220" s="247"/>
      <c r="H220" s="247"/>
      <c r="I220" s="248"/>
      <c r="J220" s="246" t="str">
        <f>J28</f>
        <v>AÇÃO / MODALIDADE</v>
      </c>
      <c r="K220" s="247"/>
      <c r="L220" s="247"/>
      <c r="M220" s="247"/>
      <c r="N220" s="247"/>
      <c r="O220" s="248"/>
      <c r="P220" s="246" t="str">
        <f>P28</f>
        <v>OBJETO</v>
      </c>
      <c r="Q220" s="247"/>
      <c r="R220" s="247"/>
      <c r="S220" s="247"/>
      <c r="T220" s="247"/>
      <c r="U220" s="247"/>
      <c r="V220" s="247"/>
      <c r="W220" s="247"/>
      <c r="X220" s="248"/>
    </row>
    <row r="221" spans="1:24" ht="12.75" customHeight="1" x14ac:dyDescent="0.2">
      <c r="A221" s="282">
        <f>IF(A29="","",A29)</f>
        <v>1</v>
      </c>
      <c r="B221" s="284"/>
      <c r="C221" s="282" t="str">
        <f>IF(C29="","",C29)</f>
        <v>PREFEITURA MUNICIPAL</v>
      </c>
      <c r="D221" s="283"/>
      <c r="E221" s="284"/>
      <c r="F221" s="282" t="str">
        <f>IF(F29="","",F29)</f>
        <v>EDUCAÇÃO</v>
      </c>
      <c r="G221" s="283"/>
      <c r="H221" s="283"/>
      <c r="I221" s="284"/>
      <c r="J221" s="282" t="str">
        <f>IF(J29="","",J29)</f>
        <v>REFORMA</v>
      </c>
      <c r="K221" s="283"/>
      <c r="L221" s="283" t="e">
        <f>IF(#REF!="","",#REF!)</f>
        <v>#REF!</v>
      </c>
      <c r="M221" s="283"/>
      <c r="N221" s="283" t="e">
        <f>IF(#REF!="","",#REF!)</f>
        <v>#REF!</v>
      </c>
      <c r="O221" s="284"/>
      <c r="P221" s="282" t="str">
        <f>IF(P29="","",P29)</f>
        <v>REFORMA ESCOLA AMANDIO ARAUJO</v>
      </c>
      <c r="Q221" s="283"/>
      <c r="R221" s="283"/>
      <c r="S221" s="283"/>
      <c r="T221" s="283"/>
      <c r="U221" s="283"/>
      <c r="V221" s="283"/>
      <c r="W221" s="283"/>
      <c r="X221" s="284"/>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46" t="str">
        <f>A31</f>
        <v>PROPONENTE / TOMADOR</v>
      </c>
      <c r="B223" s="247"/>
      <c r="C223" s="247"/>
      <c r="D223" s="247"/>
      <c r="E223" s="247"/>
      <c r="F223" s="247"/>
      <c r="G223" s="246" t="str">
        <f>G31</f>
        <v>MUNICÍPIO / UF</v>
      </c>
      <c r="H223" s="247"/>
      <c r="I223" s="247"/>
      <c r="J223" s="248"/>
      <c r="K223" s="246" t="str">
        <f>K31</f>
        <v>LOCALIDADE / ENDEREÇO</v>
      </c>
      <c r="L223" s="247"/>
      <c r="M223" s="247"/>
      <c r="N223" s="247"/>
      <c r="O223" s="247"/>
      <c r="P223" s="248"/>
      <c r="Q223" s="246" t="str">
        <f>Q31</f>
        <v>APELIDO DO EMPREENDIMENTO</v>
      </c>
      <c r="R223" s="247"/>
      <c r="S223" s="247"/>
      <c r="T223" s="247"/>
      <c r="U223" s="247"/>
      <c r="V223" s="247"/>
      <c r="W223" s="247"/>
      <c r="X223" s="248"/>
    </row>
    <row r="224" spans="1:24" ht="12.75" customHeight="1" x14ac:dyDescent="0.2">
      <c r="A224" s="280" t="str">
        <f>IF(A32="","",A32)</f>
        <v>PREFEITURA MUNICIPAL</v>
      </c>
      <c r="B224" s="281"/>
      <c r="C224" s="281"/>
      <c r="D224" s="281"/>
      <c r="E224" s="281"/>
      <c r="F224" s="281"/>
      <c r="G224" s="282" t="str">
        <f>IF(G32="","",G32)</f>
        <v>CONSTANTINA - RS</v>
      </c>
      <c r="H224" s="283" t="str">
        <f>IF(I32="","",I32)</f>
        <v/>
      </c>
      <c r="I224" s="283"/>
      <c r="J224" s="284" t="e">
        <f>IF(#REF!="","",#REF!)</f>
        <v>#REF!</v>
      </c>
      <c r="K224" s="282" t="str">
        <f>IF(K32="","",K32)</f>
        <v>AV. AMÂNDIO ARAÚJO</v>
      </c>
      <c r="L224" s="283"/>
      <c r="M224" s="283"/>
      <c r="N224" s="283"/>
      <c r="O224" s="283"/>
      <c r="P224" s="284"/>
      <c r="Q224" s="282" t="str">
        <f>IF(Q32="","",Q32)</f>
        <v>REFORMA ESCOLA AMANDIO ARAÚJO</v>
      </c>
      <c r="R224" s="283"/>
      <c r="S224" s="283"/>
      <c r="T224" s="283"/>
      <c r="U224" s="283"/>
      <c r="V224" s="283"/>
      <c r="W224" s="283"/>
      <c r="X224" s="284"/>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46" t="str">
        <f>A37</f>
        <v>DATA BASE</v>
      </c>
      <c r="B226" s="248"/>
      <c r="C226" s="135" t="str">
        <f>C37</f>
        <v>DESON.</v>
      </c>
      <c r="D226" s="246" t="str">
        <f>D37</f>
        <v>LOCALIDADE DO SINAPI</v>
      </c>
      <c r="E226" s="247"/>
      <c r="F226" s="248"/>
      <c r="G226" s="246" t="str">
        <f>G37</f>
        <v>DESCRIÇÃO DO LOTE</v>
      </c>
      <c r="H226" s="247"/>
      <c r="I226" s="247"/>
      <c r="J226" s="247"/>
      <c r="K226" s="247"/>
      <c r="L226" s="247"/>
      <c r="M226" s="247"/>
      <c r="N226" s="247"/>
      <c r="O226" s="247"/>
      <c r="P226" s="247"/>
      <c r="Q226" s="247"/>
      <c r="R226" s="247"/>
      <c r="S226" s="248"/>
      <c r="T226" s="136" t="str">
        <f>T37</f>
        <v>BDI 1</v>
      </c>
      <c r="U226" s="136" t="str">
        <f>U37</f>
        <v>BDI 2</v>
      </c>
      <c r="V226" s="136" t="str">
        <f>V37</f>
        <v>BDI 3</v>
      </c>
      <c r="W226" s="136" t="str">
        <f>W37</f>
        <v>BDI 4</v>
      </c>
      <c r="X226" s="136" t="str">
        <f>X37</f>
        <v>BDI 5</v>
      </c>
    </row>
    <row r="227" spans="1:24" ht="12.75" hidden="1" customHeight="1" x14ac:dyDescent="0.2">
      <c r="A227" s="287">
        <f>IF(A38="","",A38)</f>
        <v>45200</v>
      </c>
      <c r="B227" s="288"/>
      <c r="C227" s="137" t="str">
        <f t="shared" ref="C227:X227" si="0">IF(C38="","",C38)</f>
        <v>Não</v>
      </c>
      <c r="D227" s="289" t="str">
        <f t="shared" si="0"/>
        <v>Porto Alegre / RS</v>
      </c>
      <c r="E227" s="290" t="str">
        <f t="shared" si="0"/>
        <v/>
      </c>
      <c r="F227" s="291" t="str">
        <f t="shared" si="0"/>
        <v/>
      </c>
      <c r="G227" s="289" t="str">
        <f t="shared" si="0"/>
        <v>REFORMA</v>
      </c>
      <c r="H227" s="290" t="str">
        <f t="shared" si="0"/>
        <v/>
      </c>
      <c r="I227" s="290" t="str">
        <f t="shared" si="0"/>
        <v/>
      </c>
      <c r="J227" s="290" t="str">
        <f t="shared" si="0"/>
        <v/>
      </c>
      <c r="K227" s="290" t="str">
        <f t="shared" si="0"/>
        <v/>
      </c>
      <c r="L227" s="290" t="str">
        <f t="shared" si="0"/>
        <v/>
      </c>
      <c r="M227" s="290" t="str">
        <f t="shared" si="0"/>
        <v/>
      </c>
      <c r="N227" s="290" t="str">
        <f t="shared" si="0"/>
        <v/>
      </c>
      <c r="O227" s="290" t="str">
        <f t="shared" si="0"/>
        <v/>
      </c>
      <c r="P227" s="290" t="str">
        <f t="shared" si="0"/>
        <v/>
      </c>
      <c r="Q227" s="290" t="str">
        <f t="shared" si="0"/>
        <v/>
      </c>
      <c r="R227" s="290" t="str">
        <f t="shared" si="0"/>
        <v/>
      </c>
      <c r="S227" s="291" t="str">
        <f t="shared" si="0"/>
        <v/>
      </c>
      <c r="T227" s="139">
        <f t="shared" ca="1" si="0"/>
        <v>0.2303</v>
      </c>
      <c r="U227" s="96" t="str">
        <f t="shared" ca="1" si="0"/>
        <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46" t="s">
        <v>87</v>
      </c>
      <c r="B229" s="248"/>
      <c r="C229" s="246" t="s">
        <v>163</v>
      </c>
      <c r="D229" s="247"/>
      <c r="E229" s="247"/>
      <c r="F229" s="247"/>
      <c r="G229" s="247"/>
      <c r="H229" s="246" t="s">
        <v>16</v>
      </c>
      <c r="I229" s="247"/>
      <c r="J229" s="134" t="s">
        <v>91</v>
      </c>
      <c r="K229" s="246" t="s">
        <v>88</v>
      </c>
      <c r="L229" s="247"/>
      <c r="M229" s="248"/>
      <c r="N229" s="134" t="s">
        <v>92</v>
      </c>
      <c r="O229" s="246" t="s">
        <v>93</v>
      </c>
      <c r="P229" s="247"/>
      <c r="Q229" s="247"/>
      <c r="R229" s="247"/>
      <c r="S229" s="247"/>
      <c r="T229" s="248"/>
      <c r="U229" s="285" t="s">
        <v>89</v>
      </c>
      <c r="V229" s="286"/>
      <c r="W229" s="285" t="s">
        <v>90</v>
      </c>
      <c r="X229" s="286"/>
    </row>
    <row r="230" spans="1:24" s="21" customFormat="1" ht="12.75" customHeight="1" x14ac:dyDescent="0.2">
      <c r="A230" s="289" t="str">
        <f>IF(A43="","",A43)</f>
        <v/>
      </c>
      <c r="B230" s="291"/>
      <c r="C230" s="289" t="str">
        <f>IF(C43="","",C43)</f>
        <v/>
      </c>
      <c r="D230" s="290"/>
      <c r="E230" s="290" t="str">
        <f>IF(E43="","",E43)</f>
        <v/>
      </c>
      <c r="F230" s="290"/>
      <c r="G230" s="290" t="str">
        <f>IF(G43="","",G43)</f>
        <v/>
      </c>
      <c r="H230" s="306" t="str">
        <f>IF(H43="","",H43)</f>
        <v/>
      </c>
      <c r="I230" s="307" t="str">
        <f>IF(I43="","",I43)</f>
        <v/>
      </c>
      <c r="J230" s="138" t="str">
        <f>IF(J43="","",J43)</f>
        <v/>
      </c>
      <c r="K230" s="298" t="str">
        <f>IF(K43="","",K43)</f>
        <v/>
      </c>
      <c r="L230" s="300"/>
      <c r="M230" s="301" t="str">
        <f>IF(M43="","",M43)</f>
        <v/>
      </c>
      <c r="N230" s="140" t="str">
        <f>IF(N43="","",N43)</f>
        <v/>
      </c>
      <c r="O230" s="298" t="str">
        <f>IF(O43="","",O43)</f>
        <v/>
      </c>
      <c r="P230" s="299"/>
      <c r="Q230" s="299" t="str">
        <f>IF(Q43="","",Q43)</f>
        <v/>
      </c>
      <c r="R230" s="300"/>
      <c r="S230" s="300" t="str">
        <f>IF(S43="","",S43)</f>
        <v/>
      </c>
      <c r="T230" s="301"/>
      <c r="U230" s="304" t="str">
        <f>IF(U43="","",U43)</f>
        <v/>
      </c>
      <c r="V230" s="305"/>
      <c r="W230" s="302" t="str">
        <f>IF(W43="","",W43)</f>
        <v/>
      </c>
      <c r="X230" s="303"/>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1" customFormat="1" ht="12.75" hidden="1" customHeight="1" x14ac:dyDescent="0.2"/>
    <row r="242" s="1" customFormat="1" ht="12.75" hidden="1" customHeight="1" x14ac:dyDescent="0.2"/>
    <row r="243" s="1" customFormat="1" ht="12.75" hidden="1" customHeight="1" x14ac:dyDescent="0.2"/>
    <row r="244" s="1" customFormat="1" ht="12.75" customHeight="1" x14ac:dyDescent="0.2"/>
    <row r="245" s="1" customFormat="1" ht="6" customHeight="1" x14ac:dyDescent="0.2"/>
    <row r="246" s="1" customFormat="1" ht="12.75" customHeight="1" x14ac:dyDescent="0.2"/>
    <row r="247" s="1" customFormat="1" ht="12.75" customHeight="1" x14ac:dyDescent="0.2"/>
    <row r="248" s="1" customFormat="1" ht="12.75" customHeight="1" x14ac:dyDescent="0.2"/>
    <row r="249" s="1" customFormat="1" ht="12.75" customHeight="1" x14ac:dyDescent="0.2"/>
    <row r="250" s="1" customFormat="1" ht="6" customHeight="1" x14ac:dyDescent="0.2"/>
    <row r="251" s="1" customFormat="1" x14ac:dyDescent="0.2"/>
    <row r="252" s="1" customFormat="1" x14ac:dyDescent="0.2"/>
    <row r="253" s="1" customFormat="1" x14ac:dyDescent="0.2"/>
    <row r="254" s="1" customFormat="1" x14ac:dyDescent="0.2"/>
    <row r="255" s="1" customFormat="1" x14ac:dyDescent="0.2"/>
    <row r="256" s="1" customFormat="1" x14ac:dyDescent="0.2"/>
    <row r="257" s="1" customFormat="1" x14ac:dyDescent="0.2"/>
  </sheetData>
  <sheetProtection algorithmName="SHA-512" hashValue="4r9Hx3FKaSsiPG2ZS250kbLLMOKI17KHpbeYiQCxbmQjjdzHPX9YB6R4OtF9qifbLJq8q9qqLeWAluPA0ujlZA==" saltValue="a8p2FMAvu7NROszCU3Q6Ag=="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657" priority="42" stopIfTrue="1">
      <formula>$B54&lt;&gt;""</formula>
    </cfRule>
  </conditionalFormatting>
  <conditionalFormatting sqref="A48 H54:K54 H55:H56 H57:K57 A29:C29 J29 F29 A32 P29 G32 K32">
    <cfRule type="expression" dxfId="656" priority="48" stopIfTrue="1">
      <formula>A29&lt;&gt;""</formula>
    </cfRule>
  </conditionalFormatting>
  <conditionalFormatting sqref="G53:K54 G55:H56 G57:K57">
    <cfRule type="expression" dxfId="655" priority="43" stopIfTrue="1">
      <formula>$K$52&lt;&gt;"SIM"</formula>
    </cfRule>
  </conditionalFormatting>
  <conditionalFormatting sqref="A40:X43">
    <cfRule type="expression" dxfId="654" priority="56" stopIfTrue="1">
      <formula>OR(TipoOrçamento="BASE",TipoOrçamento="REPROGRAMADONPL")</formula>
    </cfRule>
    <cfRule type="expression" dxfId="653" priority="57" stopIfTrue="1">
      <formula>A40&lt;&gt;""</formula>
    </cfRule>
  </conditionalFormatting>
  <conditionalFormatting sqref="A35:X38">
    <cfRule type="expression" dxfId="652" priority="58" stopIfTrue="1">
      <formula>OR(TipoOrçamento="LICITADO",TipoOrçamento="REPROGRAMADOAC")</formula>
    </cfRule>
    <cfRule type="expression" dxfId="651" priority="59" stopIfTrue="1">
      <formula>A35&lt;&gt;""</formula>
    </cfRule>
  </conditionalFormatting>
  <conditionalFormatting sqref="Q32">
    <cfRule type="expression" dxfId="650"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Normal="100" zoomScaleSheetLayoutView="100" zoomScalePageLayoutView="70" workbookViewId="0">
      <selection activeCell="N23" sqref="N23"/>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38" t="s">
        <v>150</v>
      </c>
      <c r="J4" s="249"/>
      <c r="K4" s="238" t="s">
        <v>173</v>
      </c>
      <c r="L4" s="239"/>
      <c r="M4" s="239"/>
      <c r="N4" s="239"/>
      <c r="O4" s="239"/>
      <c r="P4" s="239"/>
      <c r="Q4" s="239"/>
      <c r="R4" s="249"/>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3">
        <f>DADOS!A29</f>
        <v>1</v>
      </c>
      <c r="J5" s="344"/>
      <c r="K5" s="345" t="str">
        <f>DADOS!A32</f>
        <v>PREFEITURA MUNICIPAL</v>
      </c>
      <c r="L5" s="346"/>
      <c r="M5" s="346"/>
      <c r="N5" s="346"/>
      <c r="O5" s="346"/>
      <c r="P5" s="346"/>
      <c r="Q5" s="346"/>
      <c r="R5" s="347"/>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38" t="s">
        <v>0</v>
      </c>
      <c r="J7" s="239"/>
      <c r="K7" s="239"/>
      <c r="L7" s="239"/>
      <c r="M7" s="239"/>
      <c r="N7" s="239"/>
      <c r="O7" s="239"/>
      <c r="P7" s="239"/>
      <c r="Q7" s="239"/>
      <c r="R7" s="249"/>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8" t="str">
        <f>DADOS!P29</f>
        <v>REFORMA ESCOLA AMANDIO ARAUJO</v>
      </c>
      <c r="J8" s="348"/>
      <c r="K8" s="348"/>
      <c r="L8" s="348"/>
      <c r="M8" s="348"/>
      <c r="N8" s="348"/>
      <c r="O8" s="348"/>
      <c r="P8" s="348"/>
      <c r="Q8" s="348"/>
      <c r="R8" s="348"/>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8" t="s">
        <v>35</v>
      </c>
      <c r="J10" s="239"/>
      <c r="K10" s="239"/>
      <c r="L10" s="239"/>
      <c r="M10" s="239"/>
      <c r="N10" s="239"/>
      <c r="O10" s="239"/>
      <c r="P10" s="239"/>
      <c r="Q10" s="238" t="s">
        <v>13</v>
      </c>
      <c r="R10" s="249"/>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38" t="s">
        <v>28</v>
      </c>
      <c r="J11" s="339"/>
      <c r="K11" s="339"/>
      <c r="L11" s="339"/>
      <c r="M11" s="339"/>
      <c r="N11" s="339"/>
      <c r="O11" s="339"/>
      <c r="P11" s="340"/>
      <c r="Q11" s="341" t="str">
        <f>DADOS!$C$38</f>
        <v>Não</v>
      </c>
      <c r="R11" s="342"/>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3" t="s">
        <v>36</v>
      </c>
      <c r="J13" s="353"/>
      <c r="K13" s="353"/>
      <c r="L13" s="353"/>
      <c r="M13" s="353"/>
      <c r="N13" s="353"/>
      <c r="O13" s="353"/>
      <c r="P13" s="353"/>
      <c r="Q13" s="350">
        <v>1</v>
      </c>
      <c r="R13" s="350"/>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1" t="s">
        <v>38</v>
      </c>
      <c r="J14" s="351"/>
      <c r="K14" s="351"/>
      <c r="L14" s="351"/>
      <c r="M14" s="351"/>
      <c r="N14" s="351"/>
      <c r="O14" s="351"/>
      <c r="P14" s="351"/>
      <c r="Q14" s="350">
        <v>0.02</v>
      </c>
      <c r="R14" s="350"/>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2" t="s">
        <v>39</v>
      </c>
      <c r="J16" s="352"/>
      <c r="K16" s="352"/>
      <c r="L16" s="352"/>
      <c r="M16" s="352" t="s">
        <v>40</v>
      </c>
      <c r="N16" s="355" t="s">
        <v>41</v>
      </c>
      <c r="O16" s="355" t="s">
        <v>42</v>
      </c>
      <c r="P16" s="354" t="s">
        <v>43</v>
      </c>
      <c r="Q16" s="354" t="s">
        <v>44</v>
      </c>
      <c r="R16" s="332" t="s">
        <v>45</v>
      </c>
      <c r="T16" s="329" t="str">
        <f>IF(V27,"Para BDI fora do intervalo estatístico, deve ser apresentado Relatório Técnico Circunstanciado justificando a adoção do percentual de cada parcela do BDI.","")</f>
        <v/>
      </c>
      <c r="U16" s="329"/>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2"/>
      <c r="J17" s="352"/>
      <c r="K17" s="352"/>
      <c r="L17" s="352"/>
      <c r="M17" s="352"/>
      <c r="N17" s="355"/>
      <c r="O17" s="355"/>
      <c r="P17" s="354"/>
      <c r="Q17" s="354"/>
      <c r="R17" s="332"/>
      <c r="T17" s="329"/>
      <c r="U17" s="329"/>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7" t="str">
        <f>IF($I$11=$A$59,"Encargos Sociais incidentes sobre a mão de obra","Administração Central")</f>
        <v>Administração Central</v>
      </c>
      <c r="J18" s="317"/>
      <c r="K18" s="317"/>
      <c r="L18" s="317"/>
      <c r="M18" s="60" t="str">
        <f>IF($I$11=$A$59,"K1","AC")</f>
        <v>AC</v>
      </c>
      <c r="N18" s="61">
        <v>4.5999999999999999E-2</v>
      </c>
      <c r="O18" s="62" t="s">
        <v>46</v>
      </c>
      <c r="P18" s="63">
        <f>VLOOKUP(CONCATENATE(I$11,"-",M18),$C$2:$G$49,3,FALSE)</f>
        <v>0.03</v>
      </c>
      <c r="Q18" s="63">
        <f>VLOOKUP(CONCATENATE(I$11,"-",M18),$C$2:$G$49,4,FALSE)</f>
        <v>0.04</v>
      </c>
      <c r="R18" s="63">
        <f>VLOOKUP(CONCATENATE(I$11,"-",M18),$C$2:$G$49,5,FALSE)</f>
        <v>5.5E-2</v>
      </c>
      <c r="T18" s="329"/>
      <c r="U18" s="329"/>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7" t="str">
        <f>IF($I$11=$A$59,"Administração Central da empresa ou consultoria - overhead","Seguro e Garantia")</f>
        <v>Seguro e Garantia</v>
      </c>
      <c r="J19" s="317"/>
      <c r="K19" s="317"/>
      <c r="L19" s="317"/>
      <c r="M19" s="60" t="str">
        <f>IF($I$11=$A$59,"K2","SG")</f>
        <v>SG</v>
      </c>
      <c r="N19" s="61">
        <v>8.0000000000000002E-3</v>
      </c>
      <c r="O19" s="62" t="s">
        <v>46</v>
      </c>
      <c r="P19" s="63">
        <f>VLOOKUP(CONCATENATE(I$11,"-",M19),$C$2:$G$49,3,FALSE)</f>
        <v>8.0000000000000002E-3</v>
      </c>
      <c r="Q19" s="63">
        <f>VLOOKUP(CONCATENATE(I$11,"-",M19),$C$2:$G$49,4,FALSE)</f>
        <v>8.0000000000000002E-3</v>
      </c>
      <c r="R19" s="63">
        <f>VLOOKUP(CONCATENATE(I$11,"-",M19),$C$2:$G$49,5,FALSE)</f>
        <v>0.01</v>
      </c>
      <c r="T19" s="329"/>
      <c r="U19" s="329"/>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7" t="str">
        <f>IF($I$11=$A$59,"","Risco")</f>
        <v>Risco</v>
      </c>
      <c r="J20" s="317"/>
      <c r="K20" s="317"/>
      <c r="L20" s="317"/>
      <c r="M20" s="60" t="str">
        <f>IF($I$11=$A$59,"","R")</f>
        <v>R</v>
      </c>
      <c r="N20" s="61">
        <v>1.2699999999999999E-2</v>
      </c>
      <c r="O20" s="62" t="s">
        <v>46</v>
      </c>
      <c r="P20" s="63">
        <f>VLOOKUP(CONCATENATE(I$11,"-",M20),$C$2:$G$49,3,FALSE)</f>
        <v>9.7000000000000003E-3</v>
      </c>
      <c r="Q20" s="63">
        <f>VLOOKUP(CONCATENATE(I$11,"-",M20),$C$2:$G$49,4,FALSE)</f>
        <v>1.2699999999999999E-2</v>
      </c>
      <c r="R20" s="63">
        <f>VLOOKUP(CONCATENATE(I$11,"-",M20),$C$2:$G$49,5,FALSE)</f>
        <v>1.2699999999999999E-2</v>
      </c>
      <c r="T20" s="329"/>
      <c r="U20" s="329"/>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7" t="str">
        <f>IF($I$11=$A$59,"","Despesas Financeiras")</f>
        <v>Despesas Financeiras</v>
      </c>
      <c r="J21" s="317"/>
      <c r="K21" s="317"/>
      <c r="L21" s="317"/>
      <c r="M21" s="60" t="str">
        <f>IF($I$11=$A$59,"","DF")</f>
        <v>DF</v>
      </c>
      <c r="N21" s="61">
        <v>1.23E-2</v>
      </c>
      <c r="O21" s="62" t="s">
        <v>46</v>
      </c>
      <c r="P21" s="63">
        <f>VLOOKUP(CONCATENATE(I$11,"-",M21),$C$2:$G$49,3,FALSE)</f>
        <v>5.8999999999999999E-3</v>
      </c>
      <c r="Q21" s="63">
        <f>VLOOKUP(CONCATENATE(I$11,"-",M21),$C$2:$G$49,4,FALSE)</f>
        <v>1.23E-2</v>
      </c>
      <c r="R21" s="63">
        <f>VLOOKUP(CONCATENATE(I$11,"-",M21),$C$2:$G$49,5,FALSE)</f>
        <v>1.3899999999999999E-2</v>
      </c>
      <c r="T21" s="329"/>
      <c r="U21" s="329"/>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7" t="str">
        <f>IF($I$11=$A$59,"Margem bruta da empresa de consultoria","Lucro")</f>
        <v>Lucro</v>
      </c>
      <c r="J22" s="317"/>
      <c r="K22" s="317"/>
      <c r="L22" s="317"/>
      <c r="M22" s="60" t="str">
        <f>IF($I$11=$A$59,"K3","L")</f>
        <v>L</v>
      </c>
      <c r="N22" s="61">
        <v>7.4999999999999997E-2</v>
      </c>
      <c r="O22" s="62" t="s">
        <v>46</v>
      </c>
      <c r="P22" s="63">
        <f>VLOOKUP(CONCATENATE(I$11,"-",M22),$C$2:$G$49,3,FALSE)</f>
        <v>6.1600000000000002E-2</v>
      </c>
      <c r="Q22" s="63">
        <f>VLOOKUP(CONCATENATE(I$11,"-",M22),$C$2:$G$49,4,FALSE)</f>
        <v>7.400000000000001E-2</v>
      </c>
      <c r="R22" s="63">
        <f>VLOOKUP(CONCATENATE(I$11,"-",M22),$C$2:$G$49,5,FALSE)</f>
        <v>8.9600000000000013E-2</v>
      </c>
      <c r="T22" s="329"/>
      <c r="U22" s="329"/>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1" t="s">
        <v>48</v>
      </c>
      <c r="J23" s="331"/>
      <c r="K23" s="331"/>
      <c r="L23" s="331"/>
      <c r="M23" s="60" t="s">
        <v>49</v>
      </c>
      <c r="N23" s="61">
        <v>3.6499999999999998E-2</v>
      </c>
      <c r="O23" s="62" t="s">
        <v>46</v>
      </c>
      <c r="P23" s="63">
        <v>3.6499999999999998E-2</v>
      </c>
      <c r="Q23" s="63">
        <v>3.6499999999999998E-2</v>
      </c>
      <c r="R23" s="63">
        <v>3.6499999999999998E-2</v>
      </c>
      <c r="T23" s="329"/>
      <c r="U23" s="329"/>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7" t="s">
        <v>50</v>
      </c>
      <c r="J24" s="317"/>
      <c r="K24" s="317"/>
      <c r="L24" s="317"/>
      <c r="M24" s="60" t="s">
        <v>51</v>
      </c>
      <c r="N24" s="63">
        <f>IF($I$11&lt;&gt;$A$58,Q14*Q13,0)</f>
        <v>0.02</v>
      </c>
      <c r="O24" s="62" t="s">
        <v>46</v>
      </c>
      <c r="P24" s="63">
        <v>0</v>
      </c>
      <c r="Q24" s="63">
        <v>2.5000000000000001E-2</v>
      </c>
      <c r="R24" s="63">
        <v>0.05</v>
      </c>
      <c r="T24" s="329"/>
      <c r="U24" s="329"/>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7" t="s">
        <v>116</v>
      </c>
      <c r="J25" s="317"/>
      <c r="K25" s="317"/>
      <c r="L25" s="317"/>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7" t="s">
        <v>53</v>
      </c>
      <c r="J26" s="317"/>
      <c r="K26" s="317"/>
      <c r="L26" s="317"/>
      <c r="M26" s="65" t="s">
        <v>33</v>
      </c>
      <c r="N26" s="63">
        <f>IF($I$11=$A$58,0,ROUND((((1+N18+N19+N20)*(1+N21)*(1+N22)/(1-(N23+N24)))-1),4))</f>
        <v>0.2303</v>
      </c>
      <c r="O26" s="106" t="str">
        <f>IF(OR($I$11=$A$59,$I$11=$A$58,AND(N26&gt;=P26, N26&lt;=R26)), "OK", "FORA DO INTERVALO")</f>
        <v>OK</v>
      </c>
      <c r="P26" s="63">
        <f>IF($I$11=$A$58,0,VLOOKUP(CONCATENATE($I$11,"-",$M26),$C$2:$G$49,3,FALSE))</f>
        <v>0.2034</v>
      </c>
      <c r="Q26" s="63">
        <f>IF($I$11=$A$58,0,VLOOKUP(CONCATENATE($I$11,"-",$M26),$C$2:$G$49,4,FALSE))</f>
        <v>0.22120000000000001</v>
      </c>
      <c r="R26" s="63">
        <f>IF($I$11=$A$58,0,VLOOKUP(CONCATENATE($I$11,"-",$M26),$C$2:$G$49,5,FALSE))</f>
        <v>0.25</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18" t="s">
        <v>55</v>
      </c>
      <c r="J27" s="318"/>
      <c r="K27" s="318"/>
      <c r="L27" s="318"/>
      <c r="M27" s="66" t="s">
        <v>56</v>
      </c>
      <c r="N27" s="67">
        <f>IF($I$11=$A$58,0,ROUND((((1+N18+N19+N20)*(1+N21)*(1+N22)/(1-(N23+N24+N25)))-1),4))</f>
        <v>0.2303</v>
      </c>
      <c r="O27" s="110" t="str">
        <f>IF(Q11&lt;&gt;"Sim","",O26)</f>
        <v/>
      </c>
      <c r="P27" s="319"/>
      <c r="Q27" s="319"/>
      <c r="R27" s="319"/>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6" t="s">
        <v>117</v>
      </c>
      <c r="K29" s="316"/>
      <c r="L29" s="316"/>
      <c r="M29" s="316"/>
      <c r="N29" s="316"/>
      <c r="O29" s="316"/>
      <c r="P29" s="316"/>
      <c r="Q29" s="316"/>
      <c r="R29" s="316"/>
      <c r="V29" s="111" t="b">
        <v>0</v>
      </c>
      <c r="W29" s="52" t="s">
        <v>119</v>
      </c>
    </row>
    <row r="30" spans="1:31" ht="7.5" customHeight="1" x14ac:dyDescent="0.2">
      <c r="B30" s="54"/>
      <c r="E30" s="55"/>
      <c r="F30" s="55"/>
      <c r="G30" s="55"/>
      <c r="V30" s="111"/>
    </row>
    <row r="31" spans="1:31" ht="18.75" customHeight="1" x14ac:dyDescent="0.2">
      <c r="B31" s="54"/>
      <c r="E31" s="55"/>
      <c r="F31" s="55"/>
      <c r="G31" s="55"/>
      <c r="I31" s="321" t="s">
        <v>61</v>
      </c>
      <c r="J31" s="321"/>
      <c r="K31" s="321"/>
      <c r="L31" s="321"/>
      <c r="M31" s="321"/>
      <c r="N31" s="321"/>
      <c r="O31" s="321"/>
      <c r="P31" s="321"/>
      <c r="Q31" s="321"/>
      <c r="R31" s="321"/>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7" t="str">
        <f>IF(Q11="Sim","BDI.DES =","BDI.PAD =")</f>
        <v>BDI.PAD =</v>
      </c>
      <c r="M32" s="335" t="str">
        <f>IF($I$11=$A$59,"(1+K1+K2)*(1+K3)","(1+AC + S + R + G)*(1 + DF)*(1+L)")</f>
        <v>(1+AC + S + R + G)*(1 + DF)*(1+L)</v>
      </c>
      <c r="N32" s="335"/>
      <c r="O32" s="335"/>
      <c r="P32" s="333"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7"/>
      <c r="M33" s="336" t="str">
        <f>IF(Q11="Sim","(1-CP-ISS-CRPB)","(1-CP-ISS)")</f>
        <v>(1-CP-ISS)</v>
      </c>
      <c r="N33" s="336"/>
      <c r="O33" s="336"/>
      <c r="P33" s="334"/>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2"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2%.</v>
      </c>
      <c r="J35" s="322"/>
      <c r="K35" s="322"/>
      <c r="L35" s="322"/>
      <c r="M35" s="322"/>
      <c r="N35" s="322"/>
      <c r="O35" s="322"/>
      <c r="P35" s="322"/>
      <c r="Q35" s="322"/>
      <c r="R35" s="322"/>
    </row>
    <row r="36" spans="1:18" ht="11.25" customHeight="1" x14ac:dyDescent="0.2">
      <c r="B36" s="59"/>
      <c r="E36" s="55"/>
      <c r="F36" s="55"/>
      <c r="G36" s="55"/>
    </row>
    <row r="37" spans="1:18" ht="52.5" customHeight="1" x14ac:dyDescent="0.2">
      <c r="B37" s="59"/>
      <c r="E37" s="55"/>
      <c r="F37" s="55"/>
      <c r="G37" s="55"/>
      <c r="I37" s="322"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2"/>
      <c r="K37" s="322"/>
      <c r="L37" s="322"/>
      <c r="M37" s="322"/>
      <c r="N37" s="322"/>
      <c r="O37" s="322"/>
      <c r="P37" s="322"/>
      <c r="Q37" s="322"/>
      <c r="R37" s="322"/>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4"/>
      <c r="J40" s="325"/>
      <c r="K40" s="325"/>
      <c r="L40" s="325"/>
      <c r="M40" s="325"/>
      <c r="N40" s="325"/>
      <c r="O40" s="325"/>
      <c r="P40" s="325"/>
      <c r="Q40" s="325"/>
      <c r="R40" s="326"/>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0" t="str">
        <f>PO!K122</f>
        <v>CONSTANTINA - RS</v>
      </c>
      <c r="J42" s="330"/>
      <c r="K42" s="330"/>
      <c r="L42" s="330"/>
      <c r="O42" s="323">
        <f ca="1">PO!K125</f>
        <v>45275</v>
      </c>
      <c r="P42" s="323"/>
      <c r="Q42" s="323"/>
      <c r="R42" s="323"/>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49" t="s">
        <v>120</v>
      </c>
      <c r="J43" s="349"/>
      <c r="K43" s="349"/>
      <c r="L43" s="349"/>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20"/>
      <c r="J45" s="320"/>
      <c r="K45" s="320"/>
      <c r="L45" s="320"/>
      <c r="M45" s="69"/>
      <c r="N45" s="69"/>
      <c r="O45" s="320"/>
      <c r="P45" s="320"/>
      <c r="Q45" s="320"/>
      <c r="R45" s="320"/>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7" t="s">
        <v>57</v>
      </c>
      <c r="J46" s="327"/>
      <c r="K46" s="327"/>
      <c r="L46" s="327"/>
      <c r="M46" s="70"/>
      <c r="N46" s="70"/>
      <c r="O46" s="327" t="s">
        <v>58</v>
      </c>
      <c r="P46" s="327"/>
      <c r="Q46" s="327"/>
      <c r="R46" s="327"/>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5">
        <f>DADOS!B54</f>
        <v>0</v>
      </c>
      <c r="K47" s="315"/>
      <c r="L47" s="315"/>
      <c r="M47" s="71"/>
      <c r="N47" s="71"/>
      <c r="O47" s="29" t="s">
        <v>140</v>
      </c>
      <c r="P47" s="328"/>
      <c r="Q47" s="328"/>
      <c r="R47" s="328"/>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5">
        <f>DADOS!B55</f>
        <v>0</v>
      </c>
      <c r="K48" s="315"/>
      <c r="L48" s="315"/>
      <c r="M48" s="71"/>
      <c r="N48" s="71"/>
      <c r="O48" s="29" t="s">
        <v>60</v>
      </c>
      <c r="P48" s="328"/>
      <c r="Q48" s="328"/>
      <c r="R48" s="328"/>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5">
        <f>DADOS!B56</f>
        <v>0</v>
      </c>
      <c r="K49" s="315"/>
      <c r="L49" s="315"/>
      <c r="M49" s="71"/>
      <c r="N49" s="71"/>
      <c r="O49" s="71"/>
      <c r="P49" s="71"/>
      <c r="Q49" s="71"/>
      <c r="R49" s="71"/>
    </row>
    <row r="50" spans="1:18" x14ac:dyDescent="0.2">
      <c r="I50" s="29" t="str">
        <f>DADOS!A57</f>
        <v>CNPJ:</v>
      </c>
      <c r="J50" s="315">
        <f>DADOS!B57</f>
        <v>0</v>
      </c>
      <c r="K50" s="315"/>
      <c r="L50" s="315"/>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649" priority="6" stopIfTrue="1">
      <formula>$O$42=""</formula>
    </cfRule>
  </conditionalFormatting>
  <conditionalFormatting sqref="O18:O27">
    <cfRule type="expression" dxfId="648" priority="11" stopIfTrue="1">
      <formula>AND(O18&lt;&gt;"OK",O18&lt;&gt;"-",O18&lt;&gt;"")</formula>
    </cfRule>
    <cfRule type="cellIs" dxfId="647" priority="12" stopIfTrue="1" operator="equal">
      <formula>"OK"</formula>
    </cfRule>
  </conditionalFormatting>
  <conditionalFormatting sqref="I26:N26">
    <cfRule type="expression" dxfId="646" priority="10" stopIfTrue="1">
      <formula>$Q$11="Não"</formula>
    </cfRule>
  </conditionalFormatting>
  <conditionalFormatting sqref="I27:N27">
    <cfRule type="expression" dxfId="645" priority="9" stopIfTrue="1">
      <formula>$Q$11="sim"</formula>
    </cfRule>
  </conditionalFormatting>
  <conditionalFormatting sqref="P27:R27">
    <cfRule type="expression" dxfId="644" priority="8" stopIfTrue="1">
      <formula>$Q$11="sim"</formula>
    </cfRule>
  </conditionalFormatting>
  <conditionalFormatting sqref="P47:R48">
    <cfRule type="expression" dxfId="643" priority="7" stopIfTrue="1">
      <formula>P47=""</formula>
    </cfRule>
  </conditionalFormatting>
  <conditionalFormatting sqref="I29:R29">
    <cfRule type="expression" dxfId="642" priority="3" stopIfTrue="1">
      <formula>AND(NOT($V$27),NOT($V$29))</formula>
    </cfRule>
  </conditionalFormatting>
  <conditionalFormatting sqref="P18:R26">
    <cfRule type="expression" dxfId="641"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6"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126"/>
  <sheetViews>
    <sheetView showGridLines="0" tabSelected="1" topLeftCell="J1" zoomScale="62" zoomScaleNormal="62" zoomScaleSheetLayoutView="100" workbookViewId="0">
      <pane ySplit="12" topLeftCell="A25" activePane="bottomLeft" state="frozen"/>
      <selection pane="bottomLeft" activeCell="Y13" sqref="Y13:Y110"/>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6" t="s">
        <v>181</v>
      </c>
      <c r="X2" s="356"/>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5" customHeight="1" x14ac:dyDescent="0.2">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5" customHeight="1" x14ac:dyDescent="0.2">
      <c r="A5" s="9">
        <f>MAX($A$12:$A$111)</f>
        <v>2</v>
      </c>
      <c r="B5" s="4"/>
      <c r="D5" s="117"/>
      <c r="F5" s="5"/>
      <c r="G5" s="4"/>
      <c r="H5" s="4"/>
      <c r="I5" s="4"/>
      <c r="J5" s="4"/>
      <c r="K5" s="4"/>
      <c r="L5" s="4"/>
      <c r="M5" s="4"/>
      <c r="N5" s="4"/>
      <c r="O5" s="4"/>
      <c r="P5" s="4"/>
      <c r="Q5" s="4"/>
      <c r="R5" s="4"/>
      <c r="S5" s="4"/>
      <c r="T5" s="4"/>
      <c r="U5" s="119" t="str">
        <f ca="1">IF(COUNTIF($U$12:OFFSET($U$111,-1,0),"DESCRIÇÃO")+COUNTIF($U$12:OFFSET($U$111,-1,0),"UNIDADE")+COUNTIF($U$12:OFFSET($U$111,-1,0),"SEM VALOR")&gt;0,"NÃO OK","OK")</f>
        <v>NÃO OK</v>
      </c>
      <c r="V5" s="212" t="s">
        <v>106</v>
      </c>
      <c r="W5" s="211" t="s">
        <v>183</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184</v>
      </c>
      <c r="X6" s="214" t="b">
        <v>1</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IF(OR($A11="S",$A11=0),0,MATCH(0,OFFSET($B11,1,$A11,ROW($A$111)-ROW($A11)),0))</f>
        <v>0</v>
      </c>
      <c r="I11">
        <f ca="1">IF(OR($A11="S",$A11=0),0,MATCH(OFFSET($B11,0,$A11)+1,OFFSET($B11,1,$A11,ROW($A$111)-ROW($A11)),0))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0.2303</v>
      </c>
      <c r="AA11" s="4"/>
    </row>
    <row r="12" spans="1:27" x14ac:dyDescent="0.2">
      <c r="A12">
        <v>0</v>
      </c>
      <c r="B12">
        <f ca="1">COUNTA(OFFSET(B12,1,0):B$111)</f>
        <v>98</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SUMIF(OFFSET($J12,1,0,ROW(T111)-ROW(T12)-1),"Serviço",OFFSET(T12,1,0,ROW(T111)-ROW(T12)-1))</f>
        <v>0</v>
      </c>
      <c r="U12" s="13" t="str">
        <f>IF($N12=0,"DESCRIÇÃO","")</f>
        <v>DESCRIÇÃO</v>
      </c>
      <c r="V12" s="4">
        <v>0</v>
      </c>
      <c r="W12" s="4"/>
      <c r="X12" s="4"/>
      <c r="Y12" s="11"/>
      <c r="Z12" s="133"/>
      <c r="AA12" s="4"/>
    </row>
    <row r="13" spans="1:27" x14ac:dyDescent="0.2">
      <c r="A13">
        <f t="shared" ref="A13:A101" si="0">CHOOSE(1+LOG(1+2*(J13="Meta")+4*(J13="Nível 2")+8*(J13="Nível 3")+16*(J13="Nível 4")+32*(J13="Serviço"),2),0,1,2,3,4,"S")</f>
        <v>1</v>
      </c>
      <c r="B13">
        <f t="shared" ref="B13:B101" ca="1" si="1">IF(OR(A13="S",A13=0),0,IF(ISERROR(I13),H13,SMALL(H13:I13,1)))</f>
        <v>1</v>
      </c>
      <c r="C13">
        <f t="shared" ref="C13:C101" ca="1" si="2">IF($A13=1,OFFSET(C13,-1,0)+1,OFFSET(C13,-1,0))</f>
        <v>1</v>
      </c>
      <c r="D13">
        <f t="shared" ref="D13:D101" ca="1" si="3">IF($A13=1,0,IF($A13=2,OFFSET(D13,-1,0)+1,OFFSET(D13,-1,0)))</f>
        <v>0</v>
      </c>
      <c r="E13">
        <f t="shared" ref="E13:E101" ca="1" si="4">IF(AND($A13&lt;=2,$A13&lt;&gt;0),0,IF($A13=3,OFFSET(E13,-1,0)+1,OFFSET(E13,-1,0)))</f>
        <v>0</v>
      </c>
      <c r="F13">
        <f t="shared" ref="F13:F101" ca="1" si="5">IF(AND($A13&lt;=3,$A13&lt;&gt;0),0,IF($A13=4,OFFSET(F13,-1,0)+1,OFFSET(F13,-1,0)))</f>
        <v>0</v>
      </c>
      <c r="G13">
        <f t="shared" ref="G13:G101" ca="1" si="6">IF(AND($A13&lt;=4,$A13&lt;&gt;0),0,IF($A13="S",OFFSET(G13,-1,0)+1,OFFSET(G13,-1,0)))</f>
        <v>0</v>
      </c>
      <c r="H13">
        <f ca="1">IF(OR($A13="S",$A13=0),0,MATCH(0,OFFSET($B13,1,$A13,ROW($A$111)-ROW($A13)),0))</f>
        <v>98</v>
      </c>
      <c r="I13">
        <f ca="1">IF(OR($A13="S",$A13=0),0,MATCH(OFFSET($B13,0,$A13)+1,OFFSET($B13,1,$A13,ROW($A$111)-ROW($A13)),0))</f>
        <v>1</v>
      </c>
      <c r="J13" s="164" t="s">
        <v>99</v>
      </c>
      <c r="K13" s="162" t="str">
        <f t="shared" ref="K13:K101" ca="1" si="7">IF($A13=0,"-",CONCATENATE(C13&amp;".",IF(AND($A$5&gt;=2,$A13&gt;=2),D13&amp;".",""),IF(AND($A$5&gt;=3,$A13&gt;=3),E13&amp;".",""),IF(AND($A$5&gt;=4,$A13&gt;=4),F13&amp;".",""),IF($A13="S",G13&amp;".","")))</f>
        <v>1.</v>
      </c>
      <c r="L13" s="395"/>
      <c r="M13" s="395"/>
      <c r="N13" s="397" t="s">
        <v>272</v>
      </c>
      <c r="O13" s="398" t="s">
        <v>106</v>
      </c>
      <c r="P13" s="399">
        <v>0</v>
      </c>
      <c r="Q13" s="228"/>
      <c r="R13" s="231" t="s">
        <v>7</v>
      </c>
      <c r="S13" s="121">
        <f t="shared" ref="S13:S101" si="8">IF($A13="S",IF($Q$10="Preço Unitário (R$)",PO.CustoUnitario,ROUND(PO.CustoUnitario*(1+$Z13),15-13*$X$6)),0)</f>
        <v>0</v>
      </c>
      <c r="T13" s="98">
        <f t="shared" ref="T13:T101" ca="1" si="9">IF($A13="S",VTOTAL1,IF($A13=0,0,ROUND(SomaAgrup,15-13*$X$7)))</f>
        <v>0</v>
      </c>
      <c r="U13" s="13" t="str">
        <f t="shared" ref="U13:U101" ca="1" si="10">IF($J13="","",IF($N13="","DESCRIÇÃO",IF(AND($J13="Serviço",$O13=""),"UNIDADE",IF($T13&lt;=0,"SEM VALOR",IF(AND($Y13&lt;&gt;"",$Q13&gt;$Y13),"ACIMA REF.","")))))</f>
        <v>SEM VALOR</v>
      </c>
      <c r="V13" s="4">
        <f ca="1">IF(OR($A13=0,$A13="S",$A13&gt;CFF!$A$9),"",MAX(V$12:OFFSET(V13,-1,0))+1)</f>
        <v>1</v>
      </c>
      <c r="W13" s="9" t="b">
        <f t="shared" ref="W13:W101" si="11">IF(AND($J13="Serviço",$M13&lt;&gt;""),IF($L13="",$M13,CONCATENATE($L13,"-",$M13)))</f>
        <v>0</v>
      </c>
      <c r="X13" s="4" t="str">
        <f t="shared" ref="X13:X101" ca="1" si="12">IF(AND(Fonte&lt;&gt;"",Código&lt;&gt;""),MATCH(Fonte&amp;" "&amp;IF(Fonte="sinapi",SUBSTITUTE(SUBSTITUTE(Código,"/00","/"),"/0","/"),Código),INDIRECT("'[Referência "&amp;_xlnm.Database&amp;".xls]Banco'!$a:$a"),0),"X")</f>
        <v>X</v>
      </c>
      <c r="Y13" s="121">
        <v>0</v>
      </c>
      <c r="Z13" s="132">
        <f ca="1">ROUND(IF(ISNUMBER(R13),R13,IF(LEFT(R13,3)="BDI",HLOOKUP(R13,DADOS!$T$37:$X$38,2,FALSE),0)),15-11*$X$5)</f>
        <v>0.2303</v>
      </c>
      <c r="AA13" s="4"/>
    </row>
    <row r="14" spans="1:27" x14ac:dyDescent="0.2">
      <c r="A14">
        <f t="shared" si="0"/>
        <v>1</v>
      </c>
      <c r="B14">
        <f t="shared" ca="1" si="1"/>
        <v>13</v>
      </c>
      <c r="C14">
        <f t="shared" ca="1" si="2"/>
        <v>2</v>
      </c>
      <c r="D14">
        <f t="shared" ca="1" si="3"/>
        <v>0</v>
      </c>
      <c r="E14">
        <f t="shared" ca="1" si="4"/>
        <v>0</v>
      </c>
      <c r="F14">
        <f t="shared" ca="1" si="5"/>
        <v>0</v>
      </c>
      <c r="G14">
        <f t="shared" ca="1" si="6"/>
        <v>0</v>
      </c>
      <c r="H14">
        <f ca="1">IF(OR($A14="S",$A14=0),0,MATCH(0,OFFSET($B14,1,$A14,ROW($A$111)-ROW($A14)),0))</f>
        <v>97</v>
      </c>
      <c r="I14">
        <f ca="1">IF(OR($A14="S",$A14=0),0,MATCH(OFFSET($B14,0,$A14)+1,OFFSET($B14,1,$A14,ROW($A$111)-ROW($A14)),0))</f>
        <v>13</v>
      </c>
      <c r="J14" s="394" t="s">
        <v>99</v>
      </c>
      <c r="K14" s="162" t="str">
        <f t="shared" ca="1" si="7"/>
        <v>2.</v>
      </c>
      <c r="L14" s="395"/>
      <c r="M14" s="395"/>
      <c r="N14" s="397" t="s">
        <v>243</v>
      </c>
      <c r="O14" s="398" t="s">
        <v>106</v>
      </c>
      <c r="P14" s="399"/>
      <c r="Q14" s="228"/>
      <c r="R14" s="231" t="s">
        <v>7</v>
      </c>
      <c r="S14" s="121">
        <f t="shared" si="8"/>
        <v>0</v>
      </c>
      <c r="T14" s="98">
        <f t="shared" ca="1" si="9"/>
        <v>0</v>
      </c>
      <c r="U14" s="13" t="str">
        <f t="shared" ca="1" si="10"/>
        <v>SEM VALOR</v>
      </c>
      <c r="V14" s="4">
        <f ca="1">IF(OR($A14=0,$A14="S",$A14&gt;CFF!$A$9),"",MAX(V$12:OFFSET(V14,-1,0))+1)</f>
        <v>2</v>
      </c>
      <c r="W14" s="9" t="b">
        <f t="shared" si="11"/>
        <v>0</v>
      </c>
      <c r="X14" s="4" t="str">
        <f t="shared" ca="1" si="12"/>
        <v>X</v>
      </c>
      <c r="Y14" s="121">
        <v>0</v>
      </c>
      <c r="Z14" s="132">
        <f ca="1">ROUND(IF(ISNUMBER(R14),R14,IF(LEFT(R14,3)="BDI",HLOOKUP(R14,DADOS!$T$37:$X$38,2,FALSE),0)),15-11*$X$5)</f>
        <v>0.2303</v>
      </c>
      <c r="AA14" s="4"/>
    </row>
    <row r="15" spans="1:27" x14ac:dyDescent="0.2">
      <c r="A15">
        <f>CHOOSE(1+LOG(1+2*(J15="Meta")+4*(J15="Nível 2")+8*(J15="Nível 3")+16*(J15="Nível 4")+32*(J15="Serviço"),2),0,1,2,3,4,"S")</f>
        <v>2</v>
      </c>
      <c r="B15">
        <f ca="1">IF(OR(A15="S",A15=0),0,IF(ISERROR(I15),H15,SMALL(H15:I15,1)))</f>
        <v>4</v>
      </c>
      <c r="C15">
        <f ca="1">IF($A15=1,OFFSET(C15,-1,0)+1,OFFSET(C15,-1,0))</f>
        <v>2</v>
      </c>
      <c r="D15">
        <f ca="1">IF($A15=1,0,IF($A15=2,OFFSET(D15,-1,0)+1,OFFSET(D15,-1,0)))</f>
        <v>1</v>
      </c>
      <c r="E15">
        <f ca="1">IF(AND($A15&lt;=2,$A15&lt;&gt;0),0,IF($A15=3,OFFSET(E15,-1,0)+1,OFFSET(E15,-1,0)))</f>
        <v>0</v>
      </c>
      <c r="F15">
        <f ca="1">IF(AND($A15&lt;=3,$A15&lt;&gt;0),0,IF($A15=4,OFFSET(F15,-1,0)+1,OFFSET(F15,-1,0)))</f>
        <v>0</v>
      </c>
      <c r="G15">
        <f ca="1">IF(AND($A15&lt;=4,$A15&lt;&gt;0),0,IF($A15="S",OFFSET(G15,-1,0)+1,OFFSET(G15,-1,0)))</f>
        <v>0</v>
      </c>
      <c r="H15">
        <f ca="1">IF(OR($A15="S",$A15=0),0,MATCH(0,OFFSET($B15,1,$A15,ROW($A$111)-ROW($A15)),0))</f>
        <v>12</v>
      </c>
      <c r="I15">
        <f ca="1">IF(OR($A15="S",$A15=0),0,MATCH(OFFSET($B15,0,$A15)+1,OFFSET($B15,1,$A15,ROW($A$111)-ROW($A15)),0))</f>
        <v>4</v>
      </c>
      <c r="J15" s="394" t="s">
        <v>100</v>
      </c>
      <c r="K15" s="162" t="str">
        <f ca="1">IF($A15=0,"-",CONCATENATE(C15&amp;".",IF(AND($A$5&gt;=2,$A15&gt;=2),D15&amp;".",""),IF(AND($A$5&gt;=3,$A15&gt;=3),E15&amp;".",""),IF(AND($A$5&gt;=4,$A15&gt;=4),F15&amp;".",""),IF($A15="S",G15&amp;".","")))</f>
        <v>2.1.</v>
      </c>
      <c r="L15" s="395"/>
      <c r="M15" s="395"/>
      <c r="N15" s="397" t="s">
        <v>241</v>
      </c>
      <c r="O15" s="398" t="s">
        <v>106</v>
      </c>
      <c r="P15" s="399"/>
      <c r="Q15" s="228"/>
      <c r="R15" s="231" t="s">
        <v>7</v>
      </c>
      <c r="S15" s="121">
        <f>IF($A15="S",IF($Q$10="Preço Unitário (R$)",PO.CustoUnitario,ROUND(PO.CustoUnitario*(1+$Z15),15-13*$X$6)),0)</f>
        <v>0</v>
      </c>
      <c r="T15" s="98">
        <f ca="1">IF($A15="S",VTOTAL1,IF($A15=0,0,ROUND(SomaAgrup,15-13*$X$7)))</f>
        <v>0</v>
      </c>
      <c r="U15" s="13" t="str">
        <f ca="1">IF($J15="","",IF($N15="","DESCRIÇÃO",IF(AND($J15="Serviço",$O15=""),"UNIDADE",IF($T15&lt;=0,"SEM VALOR",IF(AND($Y15&lt;&gt;"",$Q15&gt;$Y15),"ACIMA REF.","")))))</f>
        <v>SEM VALOR</v>
      </c>
      <c r="V15" s="4">
        <f ca="1">IF(OR($A15=0,$A15="S",$A15&gt;CFF!$A$9),"",MAX(V$12:OFFSET(V15,-1,0))+1)</f>
        <v>3</v>
      </c>
      <c r="W15" s="9" t="b">
        <f>IF(AND($J15="Serviço",$M15&lt;&gt;""),IF($L15="",$M15,CONCATENATE($L15,"-",$M15)))</f>
        <v>0</v>
      </c>
      <c r="X15" s="4" t="str">
        <f ca="1">IF(AND(Fonte&lt;&gt;"",Código&lt;&gt;""),MATCH(Fonte&amp;" "&amp;IF(Fonte="sinapi",SUBSTITUTE(SUBSTITUTE(Código,"/00","/"),"/0","/"),Código),INDIRECT("'[Referência "&amp;_xlnm.Database&amp;".xls]Banco'!$a:$a"),0),"X")</f>
        <v>X</v>
      </c>
      <c r="Y15" s="121">
        <v>0</v>
      </c>
      <c r="Z15" s="132">
        <f ca="1">ROUND(IF(ISNUMBER(R15),R15,IF(LEFT(R15,3)="BDI",HLOOKUP(R15,DADOS!$T$37:$X$38,2,FALSE),0)),15-11*$X$5)</f>
        <v>0.2303</v>
      </c>
      <c r="AA15" s="4"/>
    </row>
    <row r="16" spans="1:27" x14ac:dyDescent="0.2">
      <c r="A16" t="str">
        <f t="shared" si="0"/>
        <v>S</v>
      </c>
      <c r="B16">
        <f t="shared" si="1"/>
        <v>0</v>
      </c>
      <c r="C16">
        <f t="shared" ca="1" si="2"/>
        <v>2</v>
      </c>
      <c r="D16">
        <f t="shared" ca="1" si="3"/>
        <v>1</v>
      </c>
      <c r="E16">
        <f t="shared" ca="1" si="4"/>
        <v>0</v>
      </c>
      <c r="F16">
        <f t="shared" ca="1" si="5"/>
        <v>0</v>
      </c>
      <c r="G16">
        <f t="shared" ca="1" si="6"/>
        <v>1</v>
      </c>
      <c r="H16">
        <f ca="1">IF(OR($A16="S",$A16=0),0,MATCH(0,OFFSET($B16,1,$A16,ROW($A$111)-ROW($A16)),0))</f>
        <v>0</v>
      </c>
      <c r="I16">
        <f ca="1">IF(OR($A16="S",$A16=0),0,MATCH(OFFSET($B16,0,$A16)+1,OFFSET($B16,1,$A16,ROW($A$111)-ROW($A16)),0))</f>
        <v>0</v>
      </c>
      <c r="J16" s="394" t="s">
        <v>103</v>
      </c>
      <c r="K16" s="162" t="str">
        <f t="shared" ca="1" si="7"/>
        <v>2.1.1.</v>
      </c>
      <c r="L16" s="395" t="s">
        <v>236</v>
      </c>
      <c r="M16" s="395" t="s">
        <v>274</v>
      </c>
      <c r="N16" s="397" t="s">
        <v>106</v>
      </c>
      <c r="O16" s="398" t="s">
        <v>106</v>
      </c>
      <c r="P16" s="399">
        <v>103.41</v>
      </c>
      <c r="Q16" s="228"/>
      <c r="R16" s="231" t="s">
        <v>7</v>
      </c>
      <c r="S16" s="121">
        <f t="shared" si="8"/>
        <v>0</v>
      </c>
      <c r="T16" s="98">
        <f t="shared" si="9"/>
        <v>0</v>
      </c>
      <c r="U16" s="13" t="str">
        <f t="shared" si="10"/>
        <v>DESCRIÇÃO</v>
      </c>
      <c r="V16" s="4" t="str">
        <f ca="1">IF(OR($A16=0,$A16="S",$A16&gt;CFF!$A$9),"",MAX(V$12:OFFSET(V16,-1,0))+1)</f>
        <v/>
      </c>
      <c r="W16" s="9" t="str">
        <f t="shared" si="11"/>
        <v>SINAPI-97640</v>
      </c>
      <c r="X16" s="4" t="e">
        <f t="shared" ca="1" si="12"/>
        <v>#REF!</v>
      </c>
      <c r="Y16" s="121">
        <v>0</v>
      </c>
      <c r="Z16" s="132">
        <f ca="1">ROUND(IF(ISNUMBER(R16),R16,IF(LEFT(R16,3)="BDI",HLOOKUP(R16,DADOS!$T$37:$X$38,2,FALSE),0)),15-11*$X$5)</f>
        <v>0.2303</v>
      </c>
      <c r="AA16" s="4"/>
    </row>
    <row r="17" spans="1:27" x14ac:dyDescent="0.2">
      <c r="A17" t="str">
        <f t="shared" si="0"/>
        <v>S</v>
      </c>
      <c r="B17">
        <f t="shared" si="1"/>
        <v>0</v>
      </c>
      <c r="C17">
        <f t="shared" ca="1" si="2"/>
        <v>2</v>
      </c>
      <c r="D17">
        <f t="shared" ca="1" si="3"/>
        <v>1</v>
      </c>
      <c r="E17">
        <f t="shared" ca="1" si="4"/>
        <v>0</v>
      </c>
      <c r="F17">
        <f t="shared" ca="1" si="5"/>
        <v>0</v>
      </c>
      <c r="G17">
        <f t="shared" ca="1" si="6"/>
        <v>2</v>
      </c>
      <c r="H17">
        <f ca="1">IF(OR($A17="S",$A17=0),0,MATCH(0,OFFSET($B17,1,$A17,ROW($A$111)-ROW($A17)),0))</f>
        <v>0</v>
      </c>
      <c r="I17">
        <f ca="1">IF(OR($A17="S",$A17=0),0,MATCH(OFFSET($B17,0,$A17)+1,OFFSET($B17,1,$A17,ROW($A$111)-ROW($A17)),0))</f>
        <v>0</v>
      </c>
      <c r="J17" s="394" t="s">
        <v>103</v>
      </c>
      <c r="K17" s="162" t="str">
        <f t="shared" ca="1" si="7"/>
        <v>2.1.2.</v>
      </c>
      <c r="L17" s="395" t="s">
        <v>236</v>
      </c>
      <c r="M17" s="395" t="s">
        <v>250</v>
      </c>
      <c r="N17" s="397" t="s">
        <v>106</v>
      </c>
      <c r="O17" s="398" t="s">
        <v>106</v>
      </c>
      <c r="P17" s="399">
        <v>103.41</v>
      </c>
      <c r="Q17" s="228"/>
      <c r="R17" s="231" t="s">
        <v>7</v>
      </c>
      <c r="S17" s="121">
        <f t="shared" si="8"/>
        <v>0</v>
      </c>
      <c r="T17" s="98">
        <f t="shared" si="9"/>
        <v>0</v>
      </c>
      <c r="U17" s="13" t="str">
        <f t="shared" si="10"/>
        <v>DESCRIÇÃO</v>
      </c>
      <c r="V17" s="4" t="str">
        <f ca="1">IF(OR($A17=0,$A17="S",$A17&gt;CFF!$A$9),"",MAX(V$12:OFFSET(V17,-1,0))+1)</f>
        <v/>
      </c>
      <c r="W17" s="9" t="str">
        <f t="shared" si="11"/>
        <v>SINAPI-96111</v>
      </c>
      <c r="X17" s="4" t="e">
        <f t="shared" ca="1" si="12"/>
        <v>#REF!</v>
      </c>
      <c r="Y17" s="121">
        <v>0</v>
      </c>
      <c r="Z17" s="132">
        <f ca="1">ROUND(IF(ISNUMBER(R17),R17,IF(LEFT(R17,3)="BDI",HLOOKUP(R17,DADOS!$T$37:$X$38,2,FALSE),0)),15-11*$X$5)</f>
        <v>0.2303</v>
      </c>
      <c r="AA17" s="4"/>
    </row>
    <row r="18" spans="1:27" x14ac:dyDescent="0.2">
      <c r="A18" t="str">
        <f t="shared" si="0"/>
        <v>S</v>
      </c>
      <c r="B18">
        <f t="shared" si="1"/>
        <v>0</v>
      </c>
      <c r="C18">
        <f t="shared" ca="1" si="2"/>
        <v>2</v>
      </c>
      <c r="D18">
        <f t="shared" ca="1" si="3"/>
        <v>1</v>
      </c>
      <c r="E18">
        <f t="shared" ca="1" si="4"/>
        <v>0</v>
      </c>
      <c r="F18">
        <f t="shared" ca="1" si="5"/>
        <v>0</v>
      </c>
      <c r="G18">
        <f t="shared" ca="1" si="6"/>
        <v>3</v>
      </c>
      <c r="H18">
        <f ca="1">IF(OR($A18="S",$A18=0),0,MATCH(0,OFFSET($B18,1,$A18,ROW($A$111)-ROW($A18)),0))</f>
        <v>0</v>
      </c>
      <c r="I18">
        <f ca="1">IF(OR($A18="S",$A18=0),0,MATCH(OFFSET($B18,0,$A18)+1,OFFSET($B18,1,$A18,ROW($A$111)-ROW($A18)),0))</f>
        <v>0</v>
      </c>
      <c r="J18" s="394" t="s">
        <v>103</v>
      </c>
      <c r="K18" s="162" t="str">
        <f t="shared" ca="1" si="7"/>
        <v>2.1.3.</v>
      </c>
      <c r="L18" s="395" t="s">
        <v>252</v>
      </c>
      <c r="M18" s="395" t="s">
        <v>251</v>
      </c>
      <c r="N18" s="397" t="s">
        <v>106</v>
      </c>
      <c r="O18" s="398" t="s">
        <v>106</v>
      </c>
      <c r="P18" s="399">
        <v>85.4</v>
      </c>
      <c r="Q18" s="228"/>
      <c r="R18" s="231" t="s">
        <v>7</v>
      </c>
      <c r="S18" s="121">
        <f t="shared" si="8"/>
        <v>0</v>
      </c>
      <c r="T18" s="98">
        <f t="shared" si="9"/>
        <v>0</v>
      </c>
      <c r="U18" s="13" t="str">
        <f t="shared" si="10"/>
        <v>DESCRIÇÃO</v>
      </c>
      <c r="V18" s="4" t="str">
        <f ca="1">IF(OR($A18=0,$A18="S",$A18&gt;CFF!$A$9),"",MAX(V$12:OFFSET(V18,-1,0))+1)</f>
        <v/>
      </c>
      <c r="W18" s="9" t="str">
        <f t="shared" si="11"/>
        <v>SINAPI-I-36250</v>
      </c>
      <c r="X18" s="4" t="e">
        <f t="shared" ca="1" si="12"/>
        <v>#REF!</v>
      </c>
      <c r="Y18" s="121">
        <v>0</v>
      </c>
      <c r="Z18" s="132">
        <f ca="1">ROUND(IF(ISNUMBER(R18),R18,IF(LEFT(R18,3)="BDI",HLOOKUP(R18,DADOS!$T$37:$X$38,2,FALSE),0)),15-11*$X$5)</f>
        <v>0.2303</v>
      </c>
      <c r="AA18" s="4"/>
    </row>
    <row r="19" spans="1:27" x14ac:dyDescent="0.2">
      <c r="A19">
        <f t="shared" si="0"/>
        <v>2</v>
      </c>
      <c r="B19">
        <f t="shared" ca="1" si="1"/>
        <v>2</v>
      </c>
      <c r="C19">
        <f t="shared" ca="1" si="2"/>
        <v>2</v>
      </c>
      <c r="D19">
        <f t="shared" ca="1" si="3"/>
        <v>2</v>
      </c>
      <c r="E19">
        <f t="shared" ca="1" si="4"/>
        <v>0</v>
      </c>
      <c r="F19">
        <f t="shared" ca="1" si="5"/>
        <v>0</v>
      </c>
      <c r="G19">
        <f t="shared" ca="1" si="6"/>
        <v>0</v>
      </c>
      <c r="H19">
        <f ca="1">IF(OR($A19="S",$A19=0),0,MATCH(0,OFFSET($B19,1,$A19,ROW($A$111)-ROW($A19)),0))</f>
        <v>8</v>
      </c>
      <c r="I19">
        <f ca="1">IF(OR($A19="S",$A19=0),0,MATCH(OFFSET($B19,0,$A19)+1,OFFSET($B19,1,$A19,ROW($A$111)-ROW($A19)),0))</f>
        <v>2</v>
      </c>
      <c r="J19" s="394" t="s">
        <v>100</v>
      </c>
      <c r="K19" s="162" t="str">
        <f t="shared" ca="1" si="7"/>
        <v>2.2.</v>
      </c>
      <c r="L19" s="395"/>
      <c r="M19" s="395"/>
      <c r="N19" s="397" t="s">
        <v>301</v>
      </c>
      <c r="O19" s="398" t="s">
        <v>106</v>
      </c>
      <c r="P19" s="399"/>
      <c r="Q19" s="228"/>
      <c r="R19" s="231" t="s">
        <v>7</v>
      </c>
      <c r="S19" s="121">
        <f t="shared" si="8"/>
        <v>0</v>
      </c>
      <c r="T19" s="98">
        <f t="shared" ca="1" si="9"/>
        <v>0</v>
      </c>
      <c r="U19" s="13" t="str">
        <f t="shared" ca="1" si="10"/>
        <v>SEM VALOR</v>
      </c>
      <c r="V19" s="4">
        <f ca="1">IF(OR($A19=0,$A19="S",$A19&gt;CFF!$A$9),"",MAX(V$12:OFFSET(V19,-1,0))+1)</f>
        <v>4</v>
      </c>
      <c r="W19" s="9" t="b">
        <f t="shared" si="11"/>
        <v>0</v>
      </c>
      <c r="X19" s="4" t="str">
        <f t="shared" ca="1" si="12"/>
        <v>X</v>
      </c>
      <c r="Y19" s="121">
        <v>0</v>
      </c>
      <c r="Z19" s="132">
        <f ca="1">ROUND(IF(ISNUMBER(R19),R19,IF(LEFT(R19,3)="BDI",HLOOKUP(R19,DADOS!$T$37:$X$38,2,FALSE),0)),15-11*$X$5)</f>
        <v>0.2303</v>
      </c>
      <c r="AA19" s="4"/>
    </row>
    <row r="20" spans="1:27" x14ac:dyDescent="0.2">
      <c r="A20" t="str">
        <f t="shared" si="0"/>
        <v>S</v>
      </c>
      <c r="B20">
        <f t="shared" si="1"/>
        <v>0</v>
      </c>
      <c r="C20">
        <f t="shared" ca="1" si="2"/>
        <v>2</v>
      </c>
      <c r="D20">
        <f t="shared" ca="1" si="3"/>
        <v>2</v>
      </c>
      <c r="E20">
        <f t="shared" ca="1" si="4"/>
        <v>0</v>
      </c>
      <c r="F20">
        <f t="shared" ca="1" si="5"/>
        <v>0</v>
      </c>
      <c r="G20">
        <f t="shared" ca="1" si="6"/>
        <v>1</v>
      </c>
      <c r="H20">
        <f ca="1">IF(OR($A20="S",$A20=0),0,MATCH(0,OFFSET($B20,1,$A20,ROW($A$111)-ROW($A20)),0))</f>
        <v>0</v>
      </c>
      <c r="I20">
        <f ca="1">IF(OR($A20="S",$A20=0),0,MATCH(OFFSET($B20,0,$A20)+1,OFFSET($B20,1,$A20,ROW($A$111)-ROW($A20)),0))</f>
        <v>0</v>
      </c>
      <c r="J20" s="394" t="s">
        <v>103</v>
      </c>
      <c r="K20" s="162" t="str">
        <f t="shared" ca="1" si="7"/>
        <v>2.2.1.</v>
      </c>
      <c r="L20" s="395" t="s">
        <v>236</v>
      </c>
      <c r="M20" s="395" t="s">
        <v>300</v>
      </c>
      <c r="N20" s="397" t="s">
        <v>106</v>
      </c>
      <c r="O20" s="398" t="s">
        <v>106</v>
      </c>
      <c r="P20" s="399">
        <v>258</v>
      </c>
      <c r="Q20" s="228"/>
      <c r="R20" s="231" t="s">
        <v>7</v>
      </c>
      <c r="S20" s="121">
        <f t="shared" si="8"/>
        <v>0</v>
      </c>
      <c r="T20" s="98">
        <f t="shared" si="9"/>
        <v>0</v>
      </c>
      <c r="U20" s="13" t="str">
        <f t="shared" si="10"/>
        <v>DESCRIÇÃO</v>
      </c>
      <c r="V20" s="4" t="str">
        <f ca="1">IF(OR($A20=0,$A20="S",$A20&gt;CFF!$A$9),"",MAX(V$12:OFFSET(V20,-1,0))+1)</f>
        <v/>
      </c>
      <c r="W20" s="9" t="str">
        <f t="shared" si="11"/>
        <v>SINAPI-96374</v>
      </c>
      <c r="X20" s="4" t="e">
        <f t="shared" ca="1" si="12"/>
        <v>#REF!</v>
      </c>
      <c r="Y20" s="121">
        <v>0</v>
      </c>
      <c r="Z20" s="132">
        <f ca="1">ROUND(IF(ISNUMBER(R20),R20,IF(LEFT(R20,3)="BDI",HLOOKUP(R20,DADOS!$T$37:$X$38,2,FALSE),0)),15-11*$X$5)</f>
        <v>0.2303</v>
      </c>
      <c r="AA20" s="4"/>
    </row>
    <row r="21" spans="1:27" x14ac:dyDescent="0.2">
      <c r="A21">
        <f t="shared" si="0"/>
        <v>2</v>
      </c>
      <c r="B21">
        <f t="shared" ca="1" si="1"/>
        <v>3</v>
      </c>
      <c r="C21">
        <f t="shared" ca="1" si="2"/>
        <v>2</v>
      </c>
      <c r="D21">
        <f t="shared" ca="1" si="3"/>
        <v>3</v>
      </c>
      <c r="E21">
        <f t="shared" ca="1" si="4"/>
        <v>0</v>
      </c>
      <c r="F21">
        <f t="shared" ca="1" si="5"/>
        <v>0</v>
      </c>
      <c r="G21">
        <f t="shared" ca="1" si="6"/>
        <v>0</v>
      </c>
      <c r="H21">
        <f ca="1">IF(OR($A21="S",$A21=0),0,MATCH(0,OFFSET($B21,1,$A21,ROW($A$111)-ROW($A21)),0))</f>
        <v>6</v>
      </c>
      <c r="I21">
        <f ca="1">IF(OR($A21="S",$A21=0),0,MATCH(OFFSET($B21,0,$A21)+1,OFFSET($B21,1,$A21,ROW($A$111)-ROW($A21)),0))</f>
        <v>3</v>
      </c>
      <c r="J21" s="394" t="s">
        <v>100</v>
      </c>
      <c r="K21" s="162" t="str">
        <f t="shared" ca="1" si="7"/>
        <v>2.3.</v>
      </c>
      <c r="L21" s="395"/>
      <c r="M21" s="395"/>
      <c r="N21" s="397" t="s">
        <v>280</v>
      </c>
      <c r="O21" s="398" t="s">
        <v>106</v>
      </c>
      <c r="P21" s="399"/>
      <c r="Q21" s="228"/>
      <c r="R21" s="231" t="s">
        <v>7</v>
      </c>
      <c r="S21" s="121">
        <f t="shared" si="8"/>
        <v>0</v>
      </c>
      <c r="T21" s="98">
        <f t="shared" ca="1" si="9"/>
        <v>0</v>
      </c>
      <c r="U21" s="13" t="str">
        <f t="shared" ca="1" si="10"/>
        <v>SEM VALOR</v>
      </c>
      <c r="V21" s="4">
        <f ca="1">IF(OR($A21=0,$A21="S",$A21&gt;CFF!$A$9),"",MAX(V$12:OFFSET(V21,-1,0))+1)</f>
        <v>5</v>
      </c>
      <c r="W21" s="9" t="b">
        <f t="shared" si="11"/>
        <v>0</v>
      </c>
      <c r="X21" s="4" t="str">
        <f t="shared" ca="1" si="12"/>
        <v>X</v>
      </c>
      <c r="Y21" s="121">
        <v>0</v>
      </c>
      <c r="Z21" s="132">
        <f ca="1">ROUND(IF(ISNUMBER(R21),R21,IF(LEFT(R21,3)="BDI",HLOOKUP(R21,DADOS!$T$37:$X$38,2,FALSE),0)),15-11*$X$5)</f>
        <v>0.2303</v>
      </c>
      <c r="AA21" s="4"/>
    </row>
    <row r="22" spans="1:27" x14ac:dyDescent="0.2">
      <c r="A22" t="str">
        <f t="shared" si="0"/>
        <v>S</v>
      </c>
      <c r="B22">
        <f t="shared" si="1"/>
        <v>0</v>
      </c>
      <c r="C22">
        <f t="shared" ca="1" si="2"/>
        <v>2</v>
      </c>
      <c r="D22">
        <f t="shared" ca="1" si="3"/>
        <v>3</v>
      </c>
      <c r="E22">
        <f t="shared" ca="1" si="4"/>
        <v>0</v>
      </c>
      <c r="F22">
        <f t="shared" ca="1" si="5"/>
        <v>0</v>
      </c>
      <c r="G22">
        <f t="shared" ca="1" si="6"/>
        <v>1</v>
      </c>
      <c r="H22">
        <f ca="1">IF(OR($A22="S",$A22=0),0,MATCH(0,OFFSET($B22,1,$A22,ROW($A$111)-ROW($A22)),0))</f>
        <v>0</v>
      </c>
      <c r="I22">
        <f ca="1">IF(OR($A22="S",$A22=0),0,MATCH(OFFSET($B22,0,$A22)+1,OFFSET($B22,1,$A22,ROW($A$111)-ROW($A22)),0))</f>
        <v>0</v>
      </c>
      <c r="J22" s="394" t="s">
        <v>103</v>
      </c>
      <c r="K22" s="162" t="str">
        <f t="shared" ca="1" si="7"/>
        <v>2.3.1.</v>
      </c>
      <c r="L22" s="395" t="s">
        <v>236</v>
      </c>
      <c r="M22" s="395" t="s">
        <v>295</v>
      </c>
      <c r="N22" s="397" t="s">
        <v>106</v>
      </c>
      <c r="O22" s="398" t="s">
        <v>106</v>
      </c>
      <c r="P22" s="399">
        <v>29.44</v>
      </c>
      <c r="Q22" s="228"/>
      <c r="R22" s="231" t="s">
        <v>7</v>
      </c>
      <c r="S22" s="121">
        <f t="shared" si="8"/>
        <v>0</v>
      </c>
      <c r="T22" s="98">
        <f t="shared" si="9"/>
        <v>0</v>
      </c>
      <c r="U22" s="13" t="str">
        <f t="shared" si="10"/>
        <v>DESCRIÇÃO</v>
      </c>
      <c r="V22" s="4" t="str">
        <f ca="1">IF(OR($A22=0,$A22="S",$A22&gt;CFF!$A$9),"",MAX(V$12:OFFSET(V22,-1,0))+1)</f>
        <v/>
      </c>
      <c r="W22" s="9" t="str">
        <f t="shared" si="11"/>
        <v>SINAPI-97633</v>
      </c>
      <c r="X22" s="4" t="e">
        <f t="shared" ca="1" si="12"/>
        <v>#REF!</v>
      </c>
      <c r="Y22" s="121">
        <v>0</v>
      </c>
      <c r="Z22" s="132">
        <f ca="1">ROUND(IF(ISNUMBER(R22),R22,IF(LEFT(R22,3)="BDI",HLOOKUP(R22,DADOS!$T$37:$X$38,2,FALSE),0)),15-11*$X$5)</f>
        <v>0.2303</v>
      </c>
      <c r="AA22" s="4"/>
    </row>
    <row r="23" spans="1:27" x14ac:dyDescent="0.2">
      <c r="A23" t="str">
        <f t="shared" si="0"/>
        <v>S</v>
      </c>
      <c r="B23">
        <f t="shared" si="1"/>
        <v>0</v>
      </c>
      <c r="C23">
        <f t="shared" ca="1" si="2"/>
        <v>2</v>
      </c>
      <c r="D23">
        <f t="shared" ca="1" si="3"/>
        <v>3</v>
      </c>
      <c r="E23">
        <f t="shared" ca="1" si="4"/>
        <v>0</v>
      </c>
      <c r="F23">
        <f t="shared" ca="1" si="5"/>
        <v>0</v>
      </c>
      <c r="G23">
        <f t="shared" ca="1" si="6"/>
        <v>2</v>
      </c>
      <c r="H23">
        <f ca="1">IF(OR($A23="S",$A23=0),0,MATCH(0,OFFSET($B23,1,$A23,ROW($A$111)-ROW($A23)),0))</f>
        <v>0</v>
      </c>
      <c r="I23">
        <f ca="1">IF(OR($A23="S",$A23=0),0,MATCH(OFFSET($B23,0,$A23)+1,OFFSET($B23,1,$A23,ROW($A$111)-ROW($A23)),0))</f>
        <v>0</v>
      </c>
      <c r="J23" s="394" t="s">
        <v>103</v>
      </c>
      <c r="K23" s="162" t="str">
        <f t="shared" ca="1" si="7"/>
        <v>2.3.2.</v>
      </c>
      <c r="L23" s="395" t="s">
        <v>285</v>
      </c>
      <c r="M23" s="395" t="s">
        <v>262</v>
      </c>
      <c r="N23" s="397" t="s">
        <v>106</v>
      </c>
      <c r="O23" s="398" t="s">
        <v>106</v>
      </c>
      <c r="P23" s="399">
        <v>29.44</v>
      </c>
      <c r="Q23" s="228"/>
      <c r="R23" s="231" t="s">
        <v>7</v>
      </c>
      <c r="S23" s="121">
        <f t="shared" si="8"/>
        <v>0</v>
      </c>
      <c r="T23" s="98">
        <f t="shared" si="9"/>
        <v>0</v>
      </c>
      <c r="U23" s="13" t="str">
        <f t="shared" si="10"/>
        <v>DESCRIÇÃO</v>
      </c>
      <c r="V23" s="4" t="str">
        <f ca="1">IF(OR($A23=0,$A23="S",$A23&gt;CFF!$A$9),"",MAX(V$12:OFFSET(V23,-1,0))+1)</f>
        <v/>
      </c>
      <c r="W23" s="9" t="str">
        <f t="shared" si="11"/>
        <v>COMPOSIÇÃO-02</v>
      </c>
      <c r="X23" s="4" t="e">
        <f t="shared" ca="1" si="12"/>
        <v>#REF!</v>
      </c>
      <c r="Y23" s="121">
        <v>0</v>
      </c>
      <c r="Z23" s="132">
        <f ca="1">ROUND(IF(ISNUMBER(R23),R23,IF(LEFT(R23,3)="BDI",HLOOKUP(R23,DADOS!$T$37:$X$38,2,FALSE),0)),15-11*$X$5)</f>
        <v>0.2303</v>
      </c>
      <c r="AA23" s="4"/>
    </row>
    <row r="24" spans="1:27" x14ac:dyDescent="0.2">
      <c r="A24">
        <f t="shared" si="0"/>
        <v>2</v>
      </c>
      <c r="B24">
        <f t="shared" ca="1" si="1"/>
        <v>3</v>
      </c>
      <c r="C24">
        <f t="shared" ca="1" si="2"/>
        <v>2</v>
      </c>
      <c r="D24">
        <f t="shared" ca="1" si="3"/>
        <v>4</v>
      </c>
      <c r="E24">
        <f t="shared" ca="1" si="4"/>
        <v>0</v>
      </c>
      <c r="F24">
        <f t="shared" ca="1" si="5"/>
        <v>0</v>
      </c>
      <c r="G24">
        <f t="shared" ca="1" si="6"/>
        <v>0</v>
      </c>
      <c r="H24">
        <f ca="1">IF(OR($A24="S",$A24=0),0,MATCH(0,OFFSET($B24,1,$A24,ROW($A$111)-ROW($A24)),0))</f>
        <v>3</v>
      </c>
      <c r="I24">
        <f ca="1">IF(OR($A24="S",$A24=0),0,MATCH(OFFSET($B24,0,$A24)+1,OFFSET($B24,1,$A24,ROW($A$111)-ROW($A24)),0))</f>
        <v>20</v>
      </c>
      <c r="J24" s="394" t="s">
        <v>100</v>
      </c>
      <c r="K24" s="162" t="str">
        <f t="shared" ca="1" si="7"/>
        <v>2.4.</v>
      </c>
      <c r="L24" s="395"/>
      <c r="M24" s="395"/>
      <c r="N24" s="397" t="s">
        <v>281</v>
      </c>
      <c r="O24" s="398" t="s">
        <v>106</v>
      </c>
      <c r="P24" s="399"/>
      <c r="Q24" s="228"/>
      <c r="R24" s="231" t="s">
        <v>7</v>
      </c>
      <c r="S24" s="121">
        <f t="shared" si="8"/>
        <v>0</v>
      </c>
      <c r="T24" s="98">
        <f t="shared" ca="1" si="9"/>
        <v>0</v>
      </c>
      <c r="U24" s="13" t="str">
        <f t="shared" ca="1" si="10"/>
        <v>SEM VALOR</v>
      </c>
      <c r="V24" s="4">
        <f ca="1">IF(OR($A24=0,$A24="S",$A24&gt;CFF!$A$9),"",MAX(V$12:OFFSET(V24,-1,0))+1)</f>
        <v>6</v>
      </c>
      <c r="W24" s="9" t="b">
        <f t="shared" si="11"/>
        <v>0</v>
      </c>
      <c r="X24" s="4" t="str">
        <f t="shared" ca="1" si="12"/>
        <v>X</v>
      </c>
      <c r="Y24" s="121">
        <v>0</v>
      </c>
      <c r="Z24" s="132">
        <f ca="1">ROUND(IF(ISNUMBER(R24),R24,IF(LEFT(R24,3)="BDI",HLOOKUP(R24,DADOS!$T$37:$X$38,2,FALSE),0)),15-11*$X$5)</f>
        <v>0.2303</v>
      </c>
      <c r="AA24" s="4"/>
    </row>
    <row r="25" spans="1:27" x14ac:dyDescent="0.2">
      <c r="A25" t="str">
        <f t="shared" si="0"/>
        <v>S</v>
      </c>
      <c r="B25">
        <f t="shared" si="1"/>
        <v>0</v>
      </c>
      <c r="C25">
        <f t="shared" ca="1" si="2"/>
        <v>2</v>
      </c>
      <c r="D25">
        <f t="shared" ca="1" si="3"/>
        <v>4</v>
      </c>
      <c r="E25">
        <f t="shared" ca="1" si="4"/>
        <v>0</v>
      </c>
      <c r="F25">
        <f t="shared" ca="1" si="5"/>
        <v>0</v>
      </c>
      <c r="G25">
        <f t="shared" ca="1" si="6"/>
        <v>1</v>
      </c>
      <c r="H25">
        <f ca="1">IF(OR($A25="S",$A25=0),0,MATCH(0,OFFSET($B25,1,$A25,ROW($A$111)-ROW($A25)),0))</f>
        <v>0</v>
      </c>
      <c r="I25">
        <f ca="1">IF(OR($A25="S",$A25=0),0,MATCH(OFFSET($B25,0,$A25)+1,OFFSET($B25,1,$A25,ROW($A$111)-ROW($A25)),0))</f>
        <v>0</v>
      </c>
      <c r="J25" s="394" t="s">
        <v>103</v>
      </c>
      <c r="K25" s="162" t="str">
        <f t="shared" ca="1" si="7"/>
        <v>2.4.1.</v>
      </c>
      <c r="L25" s="395" t="s">
        <v>236</v>
      </c>
      <c r="M25" s="395" t="s">
        <v>298</v>
      </c>
      <c r="N25" s="397" t="s">
        <v>106</v>
      </c>
      <c r="O25" s="398" t="s">
        <v>106</v>
      </c>
      <c r="P25" s="399">
        <v>22.96</v>
      </c>
      <c r="Q25" s="228"/>
      <c r="R25" s="231" t="s">
        <v>7</v>
      </c>
      <c r="S25" s="121">
        <f t="shared" si="8"/>
        <v>0</v>
      </c>
      <c r="T25" s="98">
        <f t="shared" si="9"/>
        <v>0</v>
      </c>
      <c r="U25" s="13" t="str">
        <f t="shared" si="10"/>
        <v>DESCRIÇÃO</v>
      </c>
      <c r="V25" s="4" t="str">
        <f ca="1">IF(OR($A25=0,$A25="S",$A25&gt;CFF!$A$9),"",MAX(V$12:OFFSET(V25,-1,0))+1)</f>
        <v/>
      </c>
      <c r="W25" s="9" t="str">
        <f t="shared" si="11"/>
        <v>SINAPI-102491</v>
      </c>
      <c r="X25" s="4" t="e">
        <f t="shared" ca="1" si="12"/>
        <v>#REF!</v>
      </c>
      <c r="Y25" s="121">
        <v>0</v>
      </c>
      <c r="Z25" s="132">
        <f ca="1">ROUND(IF(ISNUMBER(R25),R25,IF(LEFT(R25,3)="BDI",HLOOKUP(R25,DADOS!$T$37:$X$38,2,FALSE),0)),15-11*$X$5)</f>
        <v>0.2303</v>
      </c>
      <c r="AA25" s="4"/>
    </row>
    <row r="26" spans="1:27" x14ac:dyDescent="0.2">
      <c r="A26" t="str">
        <f t="shared" si="0"/>
        <v>S</v>
      </c>
      <c r="B26">
        <f t="shared" si="1"/>
        <v>0</v>
      </c>
      <c r="C26">
        <f t="shared" ca="1" si="2"/>
        <v>2</v>
      </c>
      <c r="D26">
        <f t="shared" ca="1" si="3"/>
        <v>4</v>
      </c>
      <c r="E26">
        <f t="shared" ca="1" si="4"/>
        <v>0</v>
      </c>
      <c r="F26">
        <f t="shared" ca="1" si="5"/>
        <v>0</v>
      </c>
      <c r="G26">
        <f t="shared" ca="1" si="6"/>
        <v>2</v>
      </c>
      <c r="H26">
        <f ca="1">IF(OR($A26="S",$A26=0),0,MATCH(0,OFFSET($B26,1,$A26,ROW($A$111)-ROW($A26)),0))</f>
        <v>0</v>
      </c>
      <c r="I26">
        <f ca="1">IF(OR($A26="S",$A26=0),0,MATCH(OFFSET($B26,0,$A26)+1,OFFSET($B26,1,$A26,ROW($A$111)-ROW($A26)),0))</f>
        <v>0</v>
      </c>
      <c r="J26" s="394" t="s">
        <v>103</v>
      </c>
      <c r="K26" s="162" t="str">
        <f t="shared" ca="1" si="7"/>
        <v>2.4.2.</v>
      </c>
      <c r="L26" s="395"/>
      <c r="M26" s="395"/>
      <c r="N26" s="397" t="s">
        <v>106</v>
      </c>
      <c r="O26" s="398" t="s">
        <v>106</v>
      </c>
      <c r="P26" s="399"/>
      <c r="Q26" s="228"/>
      <c r="R26" s="231" t="s">
        <v>7</v>
      </c>
      <c r="S26" s="121">
        <f t="shared" si="8"/>
        <v>0</v>
      </c>
      <c r="T26" s="98">
        <f t="shared" si="9"/>
        <v>0</v>
      </c>
      <c r="U26" s="13" t="str">
        <f t="shared" si="10"/>
        <v>DESCRIÇÃO</v>
      </c>
      <c r="V26" s="4" t="str">
        <f ca="1">IF(OR($A26=0,$A26="S",$A26&gt;CFF!$A$9),"",MAX(V$12:OFFSET(V26,-1,0))+1)</f>
        <v/>
      </c>
      <c r="W26" s="9" t="b">
        <f t="shared" si="11"/>
        <v>0</v>
      </c>
      <c r="X26" s="4" t="str">
        <f t="shared" ca="1" si="12"/>
        <v>X</v>
      </c>
      <c r="Y26" s="121">
        <v>0</v>
      </c>
      <c r="Z26" s="132">
        <f ca="1">ROUND(IF(ISNUMBER(R26),R26,IF(LEFT(R26,3)="BDI",HLOOKUP(R26,DADOS!$T$37:$X$38,2,FALSE),0)),15-11*$X$5)</f>
        <v>0.2303</v>
      </c>
      <c r="AA26" s="4"/>
    </row>
    <row r="27" spans="1:27" x14ac:dyDescent="0.2">
      <c r="A27">
        <f>CHOOSE(1+LOG(1+2*(J27="Meta")+4*(J27="Nível 2")+8*(J27="Nível 3")+16*(J27="Nível 4")+32*(J27="Serviço"),2),0,1,2,3,4,"S")</f>
        <v>1</v>
      </c>
      <c r="B27">
        <f ca="1">IF(OR(A27="S",A27=0),0,IF(ISERROR(I27),H27,SMALL(H27:I27,1)))</f>
        <v>41</v>
      </c>
      <c r="C27">
        <f ca="1">IF($A27=1,OFFSET(C27,-1,0)+1,OFFSET(C27,-1,0))</f>
        <v>3</v>
      </c>
      <c r="D27">
        <f ca="1">IF($A27=1,0,IF($A27=2,OFFSET(D27,-1,0)+1,OFFSET(D27,-1,0)))</f>
        <v>0</v>
      </c>
      <c r="E27">
        <f ca="1">IF(AND($A27&lt;=2,$A27&lt;&gt;0),0,IF($A27=3,OFFSET(E27,-1,0)+1,OFFSET(E27,-1,0)))</f>
        <v>0</v>
      </c>
      <c r="F27">
        <f ca="1">IF(AND($A27&lt;=3,$A27&lt;&gt;0),0,IF($A27=4,OFFSET(F27,-1,0)+1,OFFSET(F27,-1,0)))</f>
        <v>0</v>
      </c>
      <c r="G27">
        <f ca="1">IF(AND($A27&lt;=4,$A27&lt;&gt;0),0,IF($A27="S",OFFSET(G27,-1,0)+1,OFFSET(G27,-1,0)))</f>
        <v>0</v>
      </c>
      <c r="H27">
        <f ca="1">IF(OR($A27="S",$A27=0),0,MATCH(0,OFFSET($B27,1,$A27,ROW($A$111)-ROW($A27)),0))</f>
        <v>84</v>
      </c>
      <c r="I27">
        <f ca="1">IF(OR($A27="S",$A27=0),0,MATCH(OFFSET($B27,0,$A27)+1,OFFSET($B27,1,$A27,ROW($A$111)-ROW($A27)),0))</f>
        <v>41</v>
      </c>
      <c r="J27" s="394" t="s">
        <v>99</v>
      </c>
      <c r="K27" s="162" t="str">
        <f ca="1">IF($A27=0,"-",CONCATENATE(C27&amp;".",IF(AND($A$5&gt;=2,$A27&gt;=2),D27&amp;".",""),IF(AND($A$5&gt;=3,$A27&gt;=3),E27&amp;".",""),IF(AND($A$5&gt;=4,$A27&gt;=4),F27&amp;".",""),IF($A27="S",G27&amp;".","")))</f>
        <v>3.</v>
      </c>
      <c r="L27" s="395"/>
      <c r="M27" s="395"/>
      <c r="N27" s="397" t="s">
        <v>270</v>
      </c>
      <c r="O27" s="398" t="s">
        <v>106</v>
      </c>
      <c r="P27" s="399"/>
      <c r="Q27" s="228"/>
      <c r="R27" s="231" t="s">
        <v>7</v>
      </c>
      <c r="S27" s="121">
        <f>IF($A27="S",IF($Q$10="Preço Unitário (R$)",PO.CustoUnitario,ROUND(PO.CustoUnitario*(1+$Z27),15-13*$X$6)),0)</f>
        <v>0</v>
      </c>
      <c r="T27" s="98">
        <f ca="1">IF($A27="S",VTOTAL1,IF($A27=0,0,ROUND(SomaAgrup,15-13*$X$7)))</f>
        <v>0</v>
      </c>
      <c r="U27" s="13" t="str">
        <f ca="1">IF($J27="","",IF($N27="","DESCRIÇÃO",IF(AND($J27="Serviço",$O27=""),"UNIDADE",IF($T27&lt;=0,"SEM VALOR",IF(AND($Y27&lt;&gt;"",$Q27&gt;$Y27),"ACIMA REF.","")))))</f>
        <v>SEM VALOR</v>
      </c>
      <c r="V27" s="4">
        <f ca="1">IF(OR($A27=0,$A27="S",$A27&gt;CFF!$A$9),"",MAX(V$12:OFFSET(V27,-1,0))+1)</f>
        <v>7</v>
      </c>
      <c r="W27" s="9" t="b">
        <f>IF(AND($J27="Serviço",$M27&lt;&gt;""),IF($L27="",$M27,CONCATENATE($L27,"-",$M27)))</f>
        <v>0</v>
      </c>
      <c r="X27" s="4" t="str">
        <f ca="1">IF(AND(Fonte&lt;&gt;"",Código&lt;&gt;""),MATCH(Fonte&amp;" "&amp;IF(Fonte="sinapi",SUBSTITUTE(SUBSTITUTE(Código,"/00","/"),"/0","/"),Código),INDIRECT("'[Referência "&amp;_xlnm.Database&amp;".xls]Banco'!$a:$a"),0),"X")</f>
        <v>X</v>
      </c>
      <c r="Y27" s="121">
        <v>0</v>
      </c>
      <c r="Z27" s="132">
        <f ca="1">ROUND(IF(ISNUMBER(R27),R27,IF(LEFT(R27,3)="BDI",HLOOKUP(R27,DADOS!$T$37:$X$38,2,FALSE),0)),15-11*$X$5)</f>
        <v>0.2303</v>
      </c>
      <c r="AA27" s="4"/>
    </row>
    <row r="28" spans="1:27" x14ac:dyDescent="0.2">
      <c r="A28">
        <f t="shared" si="0"/>
        <v>2</v>
      </c>
      <c r="B28">
        <f t="shared" ca="1" si="1"/>
        <v>7</v>
      </c>
      <c r="C28">
        <f t="shared" ca="1" si="2"/>
        <v>3</v>
      </c>
      <c r="D28">
        <f t="shared" ca="1" si="3"/>
        <v>1</v>
      </c>
      <c r="E28">
        <f t="shared" ca="1" si="4"/>
        <v>0</v>
      </c>
      <c r="F28">
        <f t="shared" ca="1" si="5"/>
        <v>0</v>
      </c>
      <c r="G28">
        <f t="shared" ca="1" si="6"/>
        <v>0</v>
      </c>
      <c r="H28">
        <f ca="1">IF(OR($A28="S",$A28=0),0,MATCH(0,OFFSET($B28,1,$A28,ROW($A$111)-ROW($A28)),0))</f>
        <v>40</v>
      </c>
      <c r="I28">
        <f ca="1">IF(OR($A28="S",$A28=0),0,MATCH(OFFSET($B28,0,$A28)+1,OFFSET($B28,1,$A28,ROW($A$111)-ROW($A28)),0))</f>
        <v>7</v>
      </c>
      <c r="J28" s="394" t="s">
        <v>100</v>
      </c>
      <c r="K28" s="162" t="str">
        <f t="shared" ca="1" si="7"/>
        <v>3.1.</v>
      </c>
      <c r="L28" s="395"/>
      <c r="M28" s="395"/>
      <c r="N28" s="397" t="s">
        <v>239</v>
      </c>
      <c r="O28" s="398" t="s">
        <v>106</v>
      </c>
      <c r="P28" s="399">
        <v>0</v>
      </c>
      <c r="Q28" s="228"/>
      <c r="R28" s="231" t="s">
        <v>7</v>
      </c>
      <c r="S28" s="121">
        <f t="shared" si="8"/>
        <v>0</v>
      </c>
      <c r="T28" s="98">
        <f t="shared" ca="1" si="9"/>
        <v>0</v>
      </c>
      <c r="U28" s="13" t="str">
        <f t="shared" ca="1" si="10"/>
        <v>SEM VALOR</v>
      </c>
      <c r="V28" s="4">
        <f ca="1">IF(OR($A28=0,$A28="S",$A28&gt;CFF!$A$9),"",MAX(V$12:OFFSET(V28,-1,0))+1)</f>
        <v>8</v>
      </c>
      <c r="W28" s="9" t="b">
        <f t="shared" si="11"/>
        <v>0</v>
      </c>
      <c r="X28" s="4" t="str">
        <f t="shared" ca="1" si="12"/>
        <v>X</v>
      </c>
      <c r="Y28" s="121">
        <v>0</v>
      </c>
      <c r="Z28" s="132">
        <f ca="1">ROUND(IF(ISNUMBER(R28),R28,IF(LEFT(R28,3)="BDI",HLOOKUP(R28,DADOS!$T$37:$X$38,2,FALSE),0)),15-11*$X$5)</f>
        <v>0.2303</v>
      </c>
      <c r="AA28" s="4"/>
    </row>
    <row r="29" spans="1:27" x14ac:dyDescent="0.2">
      <c r="A29" t="str">
        <f t="shared" si="0"/>
        <v>S</v>
      </c>
      <c r="B29">
        <f t="shared" si="1"/>
        <v>0</v>
      </c>
      <c r="C29">
        <f t="shared" ca="1" si="2"/>
        <v>3</v>
      </c>
      <c r="D29">
        <f t="shared" ca="1" si="3"/>
        <v>1</v>
      </c>
      <c r="E29">
        <f t="shared" ca="1" si="4"/>
        <v>0</v>
      </c>
      <c r="F29">
        <f t="shared" ca="1" si="5"/>
        <v>0</v>
      </c>
      <c r="G29">
        <f t="shared" ca="1" si="6"/>
        <v>1</v>
      </c>
      <c r="H29">
        <f ca="1">IF(OR($A29="S",$A29=0),0,MATCH(0,OFFSET($B29,1,$A29,ROW($A$111)-ROW($A29)),0))</f>
        <v>0</v>
      </c>
      <c r="I29">
        <f ca="1">IF(OR($A29="S",$A29=0),0,MATCH(OFFSET($B29,0,$A29)+1,OFFSET($B29,1,$A29,ROW($A$111)-ROW($A29)),0))</f>
        <v>0</v>
      </c>
      <c r="J29" s="394" t="s">
        <v>103</v>
      </c>
      <c r="K29" s="162" t="str">
        <f t="shared" ca="1" si="7"/>
        <v>3.1.1.</v>
      </c>
      <c r="L29" s="395" t="s">
        <v>236</v>
      </c>
      <c r="M29" s="395" t="s">
        <v>248</v>
      </c>
      <c r="N29" s="397" t="s">
        <v>106</v>
      </c>
      <c r="O29" s="398" t="s">
        <v>106</v>
      </c>
      <c r="P29" s="399">
        <v>22</v>
      </c>
      <c r="Q29" s="228"/>
      <c r="R29" s="231" t="s">
        <v>7</v>
      </c>
      <c r="S29" s="121">
        <f t="shared" si="8"/>
        <v>0</v>
      </c>
      <c r="T29" s="98">
        <f t="shared" si="9"/>
        <v>0</v>
      </c>
      <c r="U29" s="13" t="str">
        <f t="shared" si="10"/>
        <v>DESCRIÇÃO</v>
      </c>
      <c r="V29" s="4" t="str">
        <f ca="1">IF(OR($A29=0,$A29="S",$A29&gt;CFF!$A$9),"",MAX(V$12:OFFSET(V29,-1,0))+1)</f>
        <v/>
      </c>
      <c r="W29" s="9" t="str">
        <f t="shared" si="11"/>
        <v>SINAPI-97652</v>
      </c>
      <c r="X29" s="4" t="e">
        <f t="shared" ca="1" si="12"/>
        <v>#REF!</v>
      </c>
      <c r="Y29" s="121">
        <v>0</v>
      </c>
      <c r="Z29" s="132">
        <f ca="1">ROUND(IF(ISNUMBER(R29),R29,IF(LEFT(R29,3)="BDI",HLOOKUP(R29,DADOS!$T$37:$X$38,2,FALSE),0)),15-11*$X$5)</f>
        <v>0.2303</v>
      </c>
      <c r="AA29" s="4"/>
    </row>
    <row r="30" spans="1:27" x14ac:dyDescent="0.2">
      <c r="A30" t="str">
        <f t="shared" si="0"/>
        <v>S</v>
      </c>
      <c r="B30">
        <f t="shared" si="1"/>
        <v>0</v>
      </c>
      <c r="C30">
        <f t="shared" ca="1" si="2"/>
        <v>3</v>
      </c>
      <c r="D30">
        <f t="shared" ca="1" si="3"/>
        <v>1</v>
      </c>
      <c r="E30">
        <f t="shared" ca="1" si="4"/>
        <v>0</v>
      </c>
      <c r="F30">
        <f t="shared" ca="1" si="5"/>
        <v>0</v>
      </c>
      <c r="G30">
        <f t="shared" ca="1" si="6"/>
        <v>2</v>
      </c>
      <c r="H30">
        <f ca="1">IF(OR($A30="S",$A30=0),0,MATCH(0,OFFSET($B30,1,$A30,ROW($A$111)-ROW($A30)),0))</f>
        <v>0</v>
      </c>
      <c r="I30">
        <f ca="1">IF(OR($A30="S",$A30=0),0,MATCH(OFFSET($B30,0,$A30)+1,OFFSET($B30,1,$A30,ROW($A$111)-ROW($A30)),0))</f>
        <v>0</v>
      </c>
      <c r="J30" s="394" t="s">
        <v>103</v>
      </c>
      <c r="K30" s="162" t="str">
        <f t="shared" ca="1" si="7"/>
        <v>3.1.2.</v>
      </c>
      <c r="L30" s="395" t="s">
        <v>236</v>
      </c>
      <c r="M30" s="395" t="s">
        <v>253</v>
      </c>
      <c r="N30" s="397" t="s">
        <v>106</v>
      </c>
      <c r="O30" s="398" t="s">
        <v>106</v>
      </c>
      <c r="P30" s="399">
        <v>336.89</v>
      </c>
      <c r="Q30" s="228"/>
      <c r="R30" s="231" t="s">
        <v>7</v>
      </c>
      <c r="S30" s="121">
        <f t="shared" si="8"/>
        <v>0</v>
      </c>
      <c r="T30" s="98">
        <f t="shared" si="9"/>
        <v>0</v>
      </c>
      <c r="U30" s="13" t="str">
        <f t="shared" si="10"/>
        <v>DESCRIÇÃO</v>
      </c>
      <c r="V30" s="4" t="str">
        <f ca="1">IF(OR($A30=0,$A30="S",$A30&gt;CFF!$A$9),"",MAX(V$12:OFFSET(V30,-1,0))+1)</f>
        <v/>
      </c>
      <c r="W30" s="9" t="str">
        <f t="shared" si="11"/>
        <v>SINAPI-97647</v>
      </c>
      <c r="X30" s="4" t="e">
        <f t="shared" ca="1" si="12"/>
        <v>#REF!</v>
      </c>
      <c r="Y30" s="121">
        <v>0</v>
      </c>
      <c r="Z30" s="132">
        <f ca="1">ROUND(IF(ISNUMBER(R30),R30,IF(LEFT(R30,3)="BDI",HLOOKUP(R30,DADOS!$T$37:$X$38,2,FALSE),0)),15-11*$X$5)</f>
        <v>0.2303</v>
      </c>
      <c r="AA30" s="4"/>
    </row>
    <row r="31" spans="1:27" x14ac:dyDescent="0.2">
      <c r="A31" t="str">
        <f t="shared" si="0"/>
        <v>S</v>
      </c>
      <c r="B31">
        <f t="shared" si="1"/>
        <v>0</v>
      </c>
      <c r="C31">
        <f t="shared" ca="1" si="2"/>
        <v>3</v>
      </c>
      <c r="D31">
        <f t="shared" ca="1" si="3"/>
        <v>1</v>
      </c>
      <c r="E31">
        <f t="shared" ca="1" si="4"/>
        <v>0</v>
      </c>
      <c r="F31">
        <f t="shared" ca="1" si="5"/>
        <v>0</v>
      </c>
      <c r="G31">
        <f t="shared" ca="1" si="6"/>
        <v>3</v>
      </c>
      <c r="H31">
        <f ca="1">IF(OR($A31="S",$A31=0),0,MATCH(0,OFFSET($B31,1,$A31,ROW($A$111)-ROW($A31)),0))</f>
        <v>0</v>
      </c>
      <c r="I31">
        <f ca="1">IF(OR($A31="S",$A31=0),0,MATCH(OFFSET($B31,0,$A31)+1,OFFSET($B31,1,$A31,ROW($A$111)-ROW($A31)),0))</f>
        <v>0</v>
      </c>
      <c r="J31" s="394" t="s">
        <v>103</v>
      </c>
      <c r="K31" s="162" t="str">
        <f t="shared" ca="1" si="7"/>
        <v>3.1.3.</v>
      </c>
      <c r="L31" s="395" t="s">
        <v>236</v>
      </c>
      <c r="M31" s="395" t="s">
        <v>258</v>
      </c>
      <c r="N31" s="397" t="s">
        <v>106</v>
      </c>
      <c r="O31" s="398" t="s">
        <v>106</v>
      </c>
      <c r="P31" s="399">
        <v>350</v>
      </c>
      <c r="Q31" s="228"/>
      <c r="R31" s="231" t="s">
        <v>7</v>
      </c>
      <c r="S31" s="121">
        <f t="shared" si="8"/>
        <v>0</v>
      </c>
      <c r="T31" s="98">
        <f t="shared" si="9"/>
        <v>0</v>
      </c>
      <c r="U31" s="13" t="str">
        <f t="shared" si="10"/>
        <v>DESCRIÇÃO</v>
      </c>
      <c r="V31" s="4" t="str">
        <f ca="1">IF(OR($A31=0,$A31="S",$A31&gt;CFF!$A$9),"",MAX(V$12:OFFSET(V31,-1,0))+1)</f>
        <v/>
      </c>
      <c r="W31" s="9" t="str">
        <f t="shared" si="11"/>
        <v>SINAPI-97661</v>
      </c>
      <c r="X31" s="4" t="e">
        <f t="shared" ca="1" si="12"/>
        <v>#REF!</v>
      </c>
      <c r="Y31" s="121">
        <v>0</v>
      </c>
      <c r="Z31" s="132">
        <f ca="1">ROUND(IF(ISNUMBER(R31),R31,IF(LEFT(R31,3)="BDI",HLOOKUP(R31,DADOS!$T$37:$X$38,2,FALSE),0)),15-11*$X$5)</f>
        <v>0.2303</v>
      </c>
      <c r="AA31" s="4"/>
    </row>
    <row r="32" spans="1:27" x14ac:dyDescent="0.2">
      <c r="A32" t="str">
        <f t="shared" si="0"/>
        <v>S</v>
      </c>
      <c r="B32">
        <f t="shared" si="1"/>
        <v>0</v>
      </c>
      <c r="C32">
        <f t="shared" ca="1" si="2"/>
        <v>3</v>
      </c>
      <c r="D32">
        <f t="shared" ca="1" si="3"/>
        <v>1</v>
      </c>
      <c r="E32">
        <f t="shared" ca="1" si="4"/>
        <v>0</v>
      </c>
      <c r="F32">
        <f t="shared" ca="1" si="5"/>
        <v>0</v>
      </c>
      <c r="G32">
        <f t="shared" ca="1" si="6"/>
        <v>4</v>
      </c>
      <c r="H32">
        <f ca="1">IF(OR($A32="S",$A32=0),0,MATCH(0,OFFSET($B32,1,$A32,ROW($A$111)-ROW($A32)),0))</f>
        <v>0</v>
      </c>
      <c r="I32">
        <f ca="1">IF(OR($A32="S",$A32=0),0,MATCH(OFFSET($B32,0,$A32)+1,OFFSET($B32,1,$A32,ROW($A$111)-ROW($A32)),0))</f>
        <v>0</v>
      </c>
      <c r="J32" s="394" t="s">
        <v>103</v>
      </c>
      <c r="K32" s="162" t="str">
        <f t="shared" ca="1" si="7"/>
        <v>3.1.4.</v>
      </c>
      <c r="L32" s="395" t="s">
        <v>260</v>
      </c>
      <c r="M32" s="395" t="s">
        <v>261</v>
      </c>
      <c r="N32" s="397" t="s">
        <v>106</v>
      </c>
      <c r="O32" s="398" t="s">
        <v>106</v>
      </c>
      <c r="P32" s="399">
        <v>54.1</v>
      </c>
      <c r="Q32" s="228"/>
      <c r="R32" s="231" t="s">
        <v>7</v>
      </c>
      <c r="S32" s="121">
        <f t="shared" si="8"/>
        <v>0</v>
      </c>
      <c r="T32" s="98">
        <f t="shared" si="9"/>
        <v>0</v>
      </c>
      <c r="U32" s="13" t="str">
        <f t="shared" si="10"/>
        <v>DESCRIÇÃO</v>
      </c>
      <c r="V32" s="4" t="str">
        <f ca="1">IF(OR($A32=0,$A32="S",$A32&gt;CFF!$A$9),"",MAX(V$12:OFFSET(V32,-1,0))+1)</f>
        <v/>
      </c>
      <c r="W32" s="9" t="str">
        <f t="shared" si="11"/>
        <v>COTAÇÃO-01</v>
      </c>
      <c r="X32" s="4" t="e">
        <f t="shared" ca="1" si="12"/>
        <v>#REF!</v>
      </c>
      <c r="Y32" s="121">
        <v>0</v>
      </c>
      <c r="Z32" s="132">
        <f ca="1">ROUND(IF(ISNUMBER(R32),R32,IF(LEFT(R32,3)="BDI",HLOOKUP(R32,DADOS!$T$37:$X$38,2,FALSE),0)),15-11*$X$5)</f>
        <v>0.2303</v>
      </c>
      <c r="AA32" s="4"/>
    </row>
    <row r="33" spans="1:27" x14ac:dyDescent="0.2">
      <c r="A33" t="str">
        <f>CHOOSE(1+LOG(1+2*(J33="Meta")+4*(J33="Nível 2")+8*(J33="Nível 3")+16*(J33="Nível 4")+32*(J33="Serviço"),2),0,1,2,3,4,"S")</f>
        <v>S</v>
      </c>
      <c r="B33">
        <f>IF(OR(A33="S",A33=0),0,IF(ISERROR(I33),H33,SMALL(H33:I33,1)))</f>
        <v>0</v>
      </c>
      <c r="C33">
        <f ca="1">IF($A33=1,OFFSET(C33,-1,0)+1,OFFSET(C33,-1,0))</f>
        <v>3</v>
      </c>
      <c r="D33">
        <f ca="1">IF($A33=1,0,IF($A33=2,OFFSET(D33,-1,0)+1,OFFSET(D33,-1,0)))</f>
        <v>1</v>
      </c>
      <c r="E33">
        <f ca="1">IF(AND($A33&lt;=2,$A33&lt;&gt;0),0,IF($A33=3,OFFSET(E33,-1,0)+1,OFFSET(E33,-1,0)))</f>
        <v>0</v>
      </c>
      <c r="F33">
        <f ca="1">IF(AND($A33&lt;=3,$A33&lt;&gt;0),0,IF($A33=4,OFFSET(F33,-1,0)+1,OFFSET(F33,-1,0)))</f>
        <v>0</v>
      </c>
      <c r="G33">
        <f ca="1">IF(AND($A33&lt;=4,$A33&lt;&gt;0),0,IF($A33="S",OFFSET(G33,-1,0)+1,OFFSET(G33,-1,0)))</f>
        <v>5</v>
      </c>
      <c r="H33">
        <f ca="1">IF(OR($A33="S",$A33=0),0,MATCH(0,OFFSET($B33,1,$A33,ROW($A$111)-ROW($A33)),0))</f>
        <v>0</v>
      </c>
      <c r="I33">
        <f ca="1">IF(OR($A33="S",$A33=0),0,MATCH(OFFSET($B33,0,$A33)+1,OFFSET($B33,1,$A33,ROW($A$111)-ROW($A33)),0))</f>
        <v>0</v>
      </c>
      <c r="J33" s="394" t="s">
        <v>103</v>
      </c>
      <c r="K33" s="162" t="str">
        <f ca="1">IF($A33=0,"-",CONCATENATE(C33&amp;".",IF(AND($A$5&gt;=2,$A33&gt;=2),D33&amp;".",""),IF(AND($A$5&gt;=3,$A33&gt;=3),E33&amp;".",""),IF(AND($A$5&gt;=4,$A33&gt;=4),F33&amp;".",""),IF($A33="S",G33&amp;".","")))</f>
        <v>3.1.5.</v>
      </c>
      <c r="L33" s="395" t="s">
        <v>236</v>
      </c>
      <c r="M33" s="395" t="s">
        <v>274</v>
      </c>
      <c r="N33" s="397" t="s">
        <v>106</v>
      </c>
      <c r="O33" s="398" t="s">
        <v>106</v>
      </c>
      <c r="P33" s="399">
        <v>336.89</v>
      </c>
      <c r="Q33" s="228"/>
      <c r="R33" s="231" t="s">
        <v>7</v>
      </c>
      <c r="S33" s="121">
        <f t="shared" ref="S33:S40" si="13">IF($A33="S",IF($Q$10="Preço Unitário (R$)",PO.CustoUnitario,ROUND(PO.CustoUnitario*(1+$Z33),15-13*$X$6)),0)</f>
        <v>0</v>
      </c>
      <c r="T33" s="98">
        <f t="shared" ref="T33:T40" si="14">IF($A33="S",VTOTAL1,IF($A33=0,0,ROUND(SomaAgrup,15-13*$X$7)))</f>
        <v>0</v>
      </c>
      <c r="U33" s="13" t="str">
        <f>IF($J33="","",IF($N33="","DESCRIÇÃO",IF(AND($J33="Serviço",$O33=""),"UNIDADE",IF($T33&lt;=0,"SEM VALOR",IF(AND($Y33&lt;&gt;"",$Q33&gt;$Y33),"ACIMA REF.","")))))</f>
        <v>DESCRIÇÃO</v>
      </c>
      <c r="V33" s="4" t="str">
        <f ca="1">IF(OR($A33=0,$A33="S",$A33&gt;CFF!$A$9),"",MAX(V$12:OFFSET(V33,-1,0))+1)</f>
        <v/>
      </c>
      <c r="W33" s="9" t="str">
        <f>IF(AND($J33="Serviço",$M33&lt;&gt;""),IF($L33="",$M33,CONCATENATE($L33,"-",$M33)))</f>
        <v>SINAPI-97640</v>
      </c>
      <c r="X33" s="4" t="e">
        <f t="shared" ref="X33:X40" ca="1" si="15">IF(AND(Fonte&lt;&gt;"",Código&lt;&gt;""),MATCH(Fonte&amp;" "&amp;IF(Fonte="sinapi",SUBSTITUTE(SUBSTITUTE(Código,"/00","/"),"/0","/"),Código),INDIRECT("'[Referência "&amp;_xlnm.Database&amp;".xls]Banco'!$a:$a"),0),"X")</f>
        <v>#REF!</v>
      </c>
      <c r="Y33" s="121">
        <v>0</v>
      </c>
      <c r="Z33" s="132">
        <f ca="1">ROUND(IF(ISNUMBER(R33),R33,IF(LEFT(R33,3)="BDI",HLOOKUP(R33,DADOS!$T$37:$X$38,2,FALSE),0)),15-11*$X$5)</f>
        <v>0.2303</v>
      </c>
      <c r="AA33" s="4"/>
    </row>
    <row r="34" spans="1:27" x14ac:dyDescent="0.2">
      <c r="A34" t="str">
        <f>CHOOSE(1+LOG(1+2*(J34="Meta")+4*(J34="Nível 2")+8*(J34="Nível 3")+16*(J34="Nível 4")+32*(J34="Serviço"),2),0,1,2,3,4,"S")</f>
        <v>S</v>
      </c>
      <c r="B34">
        <f>IF(OR(A34="S",A34=0),0,IF(ISERROR(I34),H34,SMALL(H34:I34,1)))</f>
        <v>0</v>
      </c>
      <c r="C34">
        <f ca="1">IF($A34=1,OFFSET(C34,-1,0)+1,OFFSET(C34,-1,0))</f>
        <v>3</v>
      </c>
      <c r="D34">
        <f ca="1">IF($A34=1,0,IF($A34=2,OFFSET(D34,-1,0)+1,OFFSET(D34,-1,0)))</f>
        <v>1</v>
      </c>
      <c r="E34">
        <f ca="1">IF(AND($A34&lt;=2,$A34&lt;&gt;0),0,IF($A34=3,OFFSET(E34,-1,0)+1,OFFSET(E34,-1,0)))</f>
        <v>0</v>
      </c>
      <c r="F34">
        <f ca="1">IF(AND($A34&lt;=3,$A34&lt;&gt;0),0,IF($A34=4,OFFSET(F34,-1,0)+1,OFFSET(F34,-1,0)))</f>
        <v>0</v>
      </c>
      <c r="G34">
        <f ca="1">IF(AND($A34&lt;=4,$A34&lt;&gt;0),0,IF($A34="S",OFFSET(G34,-1,0)+1,OFFSET(G34,-1,0)))</f>
        <v>6</v>
      </c>
      <c r="H34">
        <f ca="1">IF(OR($A34="S",$A34=0),0,MATCH(0,OFFSET($B34,1,$A34,ROW($A$111)-ROW($A34)),0))</f>
        <v>0</v>
      </c>
      <c r="I34">
        <f ca="1">IF(OR($A34="S",$A34=0),0,MATCH(OFFSET($B34,0,$A34)+1,OFFSET($B34,1,$A34,ROW($A$111)-ROW($A34)),0))</f>
        <v>0</v>
      </c>
      <c r="J34" s="394" t="s">
        <v>103</v>
      </c>
      <c r="K34" s="162" t="str">
        <f ca="1">IF($A34=0,"-",CONCATENATE(C34&amp;".",IF(AND($A$5&gt;=2,$A34&gt;=2),D34&amp;".",""),IF(AND($A$5&gt;=3,$A34&gt;=3),E34&amp;".",""),IF(AND($A$5&gt;=4,$A34&gt;=4),F34&amp;".",""),IF($A34="S",G34&amp;".","")))</f>
        <v>3.1.6.</v>
      </c>
      <c r="L34" s="395" t="s">
        <v>236</v>
      </c>
      <c r="M34" s="395" t="s">
        <v>271</v>
      </c>
      <c r="N34" s="397" t="s">
        <v>106</v>
      </c>
      <c r="O34" s="398" t="s">
        <v>106</v>
      </c>
      <c r="P34" s="399">
        <v>303.2</v>
      </c>
      <c r="Q34" s="228"/>
      <c r="R34" s="231" t="s">
        <v>7</v>
      </c>
      <c r="S34" s="121">
        <f t="shared" si="13"/>
        <v>0</v>
      </c>
      <c r="T34" s="98">
        <f t="shared" si="14"/>
        <v>0</v>
      </c>
      <c r="U34" s="13" t="str">
        <f>IF($J34="","",IF($N34="","DESCRIÇÃO",IF(AND($J34="Serviço",$O34=""),"UNIDADE",IF($T34&lt;=0,"SEM VALOR",IF(AND($Y34&lt;&gt;"",$Q34&gt;$Y34),"ACIMA REF.","")))))</f>
        <v>DESCRIÇÃO</v>
      </c>
      <c r="V34" s="4" t="str">
        <f ca="1">IF(OR($A34=0,$A34="S",$A34&gt;CFF!$A$9),"",MAX(V$12:OFFSET(V34,-1,0))+1)</f>
        <v/>
      </c>
      <c r="W34" s="9" t="str">
        <f>IF(AND($J34="Serviço",$M34&lt;&gt;""),IF($L34="",$M34,CONCATENATE($L34,"-",$M34)))</f>
        <v>SINAPI-93590</v>
      </c>
      <c r="X34" s="4" t="e">
        <f t="shared" ca="1" si="15"/>
        <v>#REF!</v>
      </c>
      <c r="Y34" s="121">
        <v>0</v>
      </c>
      <c r="Z34" s="132">
        <f ca="1">ROUND(IF(ISNUMBER(R34),R34,IF(LEFT(R34,3)="BDI",HLOOKUP(R34,DADOS!$T$37:$X$38,2,FALSE),0)),15-11*$X$5)</f>
        <v>0.2303</v>
      </c>
      <c r="AA34" s="4"/>
    </row>
    <row r="35" spans="1:27" x14ac:dyDescent="0.2">
      <c r="A35">
        <f t="shared" ref="A35:A40" si="16">CHOOSE(1+LOG(1+2*(J35="Meta")+4*(J35="Nível 2")+8*(J35="Nível 3")+16*(J35="Nível 4")+32*(J35="Serviço"),2),0,1,2,3,4,"S")</f>
        <v>2</v>
      </c>
      <c r="B35">
        <f t="shared" ref="B35:B40" ca="1" si="17">IF(OR(A35="S",A35=0),0,IF(ISERROR(I35),H35,SMALL(H35:I35,1)))</f>
        <v>4</v>
      </c>
      <c r="C35">
        <f t="shared" ref="C35:C40" ca="1" si="18">IF($A35=1,OFFSET(C35,-1,0)+1,OFFSET(C35,-1,0))</f>
        <v>3</v>
      </c>
      <c r="D35">
        <f t="shared" ref="D35:D40" ca="1" si="19">IF($A35=1,0,IF($A35=2,OFFSET(D35,-1,0)+1,OFFSET(D35,-1,0)))</f>
        <v>2</v>
      </c>
      <c r="E35">
        <f t="shared" ref="E35:E40" ca="1" si="20">IF(AND($A35&lt;=2,$A35&lt;&gt;0),0,IF($A35=3,OFFSET(E35,-1,0)+1,OFFSET(E35,-1,0)))</f>
        <v>0</v>
      </c>
      <c r="F35">
        <f t="shared" ref="F35:F40" ca="1" si="21">IF(AND($A35&lt;=3,$A35&lt;&gt;0),0,IF($A35=4,OFFSET(F35,-1,0)+1,OFFSET(F35,-1,0)))</f>
        <v>0</v>
      </c>
      <c r="G35">
        <f t="shared" ref="G35:G40" ca="1" si="22">IF(AND($A35&lt;=4,$A35&lt;&gt;0),0,IF($A35="S",OFFSET(G35,-1,0)+1,OFFSET(G35,-1,0)))</f>
        <v>0</v>
      </c>
      <c r="H35">
        <f ca="1">IF(OR($A35="S",$A35=0),0,MATCH(0,OFFSET($B35,1,$A35,ROW($A$111)-ROW($A35)),0))</f>
        <v>33</v>
      </c>
      <c r="I35">
        <f ca="1">IF(OR($A35="S",$A35=0),0,MATCH(OFFSET($B35,0,$A35)+1,OFFSET($B35,1,$A35,ROW($A$111)-ROW($A35)),0))</f>
        <v>4</v>
      </c>
      <c r="J35" s="394" t="s">
        <v>100</v>
      </c>
      <c r="K35" s="162" t="str">
        <f t="shared" ref="K35:K40" ca="1" si="23">IF($A35=0,"-",CONCATENATE(C35&amp;".",IF(AND($A$5&gt;=2,$A35&gt;=2),D35&amp;".",""),IF(AND($A$5&gt;=3,$A35&gt;=3),E35&amp;".",""),IF(AND($A$5&gt;=4,$A35&gt;=4),F35&amp;".",""),IF($A35="S",G35&amp;".","")))</f>
        <v>3.2.</v>
      </c>
      <c r="L35" s="395"/>
      <c r="M35" s="395"/>
      <c r="N35" s="397" t="s">
        <v>273</v>
      </c>
      <c r="O35" s="398" t="s">
        <v>106</v>
      </c>
      <c r="P35" s="399"/>
      <c r="Q35" s="228"/>
      <c r="R35" s="231" t="s">
        <v>7</v>
      </c>
      <c r="S35" s="121">
        <f t="shared" si="13"/>
        <v>0</v>
      </c>
      <c r="T35" s="98">
        <f t="shared" ca="1" si="14"/>
        <v>0</v>
      </c>
      <c r="U35" s="13" t="str">
        <f t="shared" ref="U35:U40" ca="1" si="24">IF($J35="","",IF($N35="","DESCRIÇÃO",IF(AND($J35="Serviço",$O35=""),"UNIDADE",IF($T35&lt;=0,"SEM VALOR",IF(AND($Y35&lt;&gt;"",$Q35&gt;$Y35),"ACIMA REF.","")))))</f>
        <v>SEM VALOR</v>
      </c>
      <c r="V35" s="4">
        <f ca="1">IF(OR($A35=0,$A35="S",$A35&gt;CFF!$A$9),"",MAX(V$12:OFFSET(V35,-1,0))+1)</f>
        <v>9</v>
      </c>
      <c r="W35" s="9" t="b">
        <f t="shared" ref="W35:W40" si="25">IF(AND($J35="Serviço",$M35&lt;&gt;""),IF($L35="",$M35,CONCATENATE($L35,"-",$M35)))</f>
        <v>0</v>
      </c>
      <c r="X35" s="4" t="str">
        <f t="shared" ca="1" si="15"/>
        <v>X</v>
      </c>
      <c r="Y35" s="121">
        <v>0</v>
      </c>
      <c r="Z35" s="132">
        <f ca="1">ROUND(IF(ISNUMBER(R35),R35,IF(LEFT(R35,3)="BDI",HLOOKUP(R35,DADOS!$T$37:$X$38,2,FALSE),0)),15-11*$X$5)</f>
        <v>0.2303</v>
      </c>
      <c r="AA35" s="4"/>
    </row>
    <row r="36" spans="1:27" x14ac:dyDescent="0.2">
      <c r="A36" t="str">
        <f t="shared" si="16"/>
        <v>S</v>
      </c>
      <c r="B36">
        <f t="shared" si="17"/>
        <v>0</v>
      </c>
      <c r="C36">
        <f t="shared" ca="1" si="18"/>
        <v>3</v>
      </c>
      <c r="D36">
        <f t="shared" ca="1" si="19"/>
        <v>2</v>
      </c>
      <c r="E36">
        <f t="shared" ca="1" si="20"/>
        <v>0</v>
      </c>
      <c r="F36">
        <f t="shared" ca="1" si="21"/>
        <v>0</v>
      </c>
      <c r="G36">
        <f t="shared" ca="1" si="22"/>
        <v>1</v>
      </c>
      <c r="H36">
        <f ca="1">IF(OR($A36="S",$A36=0),0,MATCH(0,OFFSET($B36,1,$A36,ROW($A$111)-ROW($A36)),0))</f>
        <v>0</v>
      </c>
      <c r="I36">
        <f ca="1">IF(OR($A36="S",$A36=0),0,MATCH(OFFSET($B36,0,$A36)+1,OFFSET($B36,1,$A36,ROW($A$111)-ROW($A36)),0))</f>
        <v>0</v>
      </c>
      <c r="J36" s="394" t="s">
        <v>103</v>
      </c>
      <c r="K36" s="162" t="str">
        <f t="shared" ca="1" si="23"/>
        <v>3.2.1.</v>
      </c>
      <c r="L36" s="395" t="s">
        <v>236</v>
      </c>
      <c r="M36" s="395" t="s">
        <v>275</v>
      </c>
      <c r="N36" s="397" t="s">
        <v>106</v>
      </c>
      <c r="O36" s="398" t="s">
        <v>106</v>
      </c>
      <c r="P36" s="399">
        <v>4.9000000000000004</v>
      </c>
      <c r="Q36" s="228"/>
      <c r="R36" s="231" t="s">
        <v>7</v>
      </c>
      <c r="S36" s="121">
        <f t="shared" si="13"/>
        <v>0</v>
      </c>
      <c r="T36" s="98">
        <f t="shared" si="14"/>
        <v>0</v>
      </c>
      <c r="U36" s="13" t="str">
        <f t="shared" si="24"/>
        <v>DESCRIÇÃO</v>
      </c>
      <c r="V36" s="4" t="str">
        <f ca="1">IF(OR($A36=0,$A36="S",$A36&gt;CFF!$A$9),"",MAX(V$12:OFFSET(V36,-1,0))+1)</f>
        <v/>
      </c>
      <c r="W36" s="9" t="str">
        <f t="shared" si="25"/>
        <v>SINAPI-96546</v>
      </c>
      <c r="X36" s="4" t="e">
        <f t="shared" ca="1" si="15"/>
        <v>#REF!</v>
      </c>
      <c r="Y36" s="121">
        <v>0</v>
      </c>
      <c r="Z36" s="132">
        <f ca="1">ROUND(IF(ISNUMBER(R36),R36,IF(LEFT(R36,3)="BDI",HLOOKUP(R36,DADOS!$T$37:$X$38,2,FALSE),0)),15-11*$X$5)</f>
        <v>0.2303</v>
      </c>
      <c r="AA36" s="4"/>
    </row>
    <row r="37" spans="1:27" x14ac:dyDescent="0.2">
      <c r="A37" t="str">
        <f t="shared" si="16"/>
        <v>S</v>
      </c>
      <c r="B37">
        <f t="shared" si="17"/>
        <v>0</v>
      </c>
      <c r="C37">
        <f t="shared" ca="1" si="18"/>
        <v>3</v>
      </c>
      <c r="D37">
        <f t="shared" ca="1" si="19"/>
        <v>2</v>
      </c>
      <c r="E37">
        <f t="shared" ca="1" si="20"/>
        <v>0</v>
      </c>
      <c r="F37">
        <f t="shared" ca="1" si="21"/>
        <v>0</v>
      </c>
      <c r="G37">
        <f t="shared" ca="1" si="22"/>
        <v>2</v>
      </c>
      <c r="H37">
        <f ca="1">IF(OR($A37="S",$A37=0),0,MATCH(0,OFFSET($B37,1,$A37,ROW($A$111)-ROW($A37)),0))</f>
        <v>0</v>
      </c>
      <c r="I37">
        <f ca="1">IF(OR($A37="S",$A37=0),0,MATCH(OFFSET($B37,0,$A37)+1,OFFSET($B37,1,$A37,ROW($A$111)-ROW($A37)),0))</f>
        <v>0</v>
      </c>
      <c r="J37" s="394" t="s">
        <v>103</v>
      </c>
      <c r="K37" s="162" t="str">
        <f t="shared" ca="1" si="23"/>
        <v>3.2.2.</v>
      </c>
      <c r="L37" s="395" t="s">
        <v>236</v>
      </c>
      <c r="M37" s="395" t="s">
        <v>276</v>
      </c>
      <c r="N37" s="397" t="s">
        <v>106</v>
      </c>
      <c r="O37" s="398" t="s">
        <v>106</v>
      </c>
      <c r="P37" s="399">
        <v>2.4E-2</v>
      </c>
      <c r="Q37" s="228"/>
      <c r="R37" s="231" t="s">
        <v>7</v>
      </c>
      <c r="S37" s="121">
        <f t="shared" si="13"/>
        <v>0</v>
      </c>
      <c r="T37" s="98">
        <f t="shared" si="14"/>
        <v>0</v>
      </c>
      <c r="U37" s="13" t="str">
        <f t="shared" si="24"/>
        <v>DESCRIÇÃO</v>
      </c>
      <c r="V37" s="4" t="str">
        <f ca="1">IF(OR($A37=0,$A37="S",$A37&gt;CFF!$A$9),"",MAX(V$12:OFFSET(V37,-1,0))+1)</f>
        <v/>
      </c>
      <c r="W37" s="9" t="str">
        <f t="shared" si="25"/>
        <v>SINAPI-96617</v>
      </c>
      <c r="X37" s="4" t="e">
        <f t="shared" ca="1" si="15"/>
        <v>#REF!</v>
      </c>
      <c r="Y37" s="121">
        <v>0</v>
      </c>
      <c r="Z37" s="132">
        <f ca="1">ROUND(IF(ISNUMBER(R37),R37,IF(LEFT(R37,3)="BDI",HLOOKUP(R37,DADOS!$T$37:$X$38,2,FALSE),0)),15-11*$X$5)</f>
        <v>0.2303</v>
      </c>
      <c r="AA37" s="4"/>
    </row>
    <row r="38" spans="1:27" x14ac:dyDescent="0.2">
      <c r="A38" t="str">
        <f t="shared" si="16"/>
        <v>S</v>
      </c>
      <c r="B38">
        <f t="shared" si="17"/>
        <v>0</v>
      </c>
      <c r="C38">
        <f t="shared" ca="1" si="18"/>
        <v>3</v>
      </c>
      <c r="D38">
        <f t="shared" ca="1" si="19"/>
        <v>2</v>
      </c>
      <c r="E38">
        <f t="shared" ca="1" si="20"/>
        <v>0</v>
      </c>
      <c r="F38">
        <f t="shared" ca="1" si="21"/>
        <v>0</v>
      </c>
      <c r="G38">
        <f t="shared" ca="1" si="22"/>
        <v>3</v>
      </c>
      <c r="H38">
        <f ca="1">IF(OR($A38="S",$A38=0),0,MATCH(0,OFFSET($B38,1,$A38,ROW($A$111)-ROW($A38)),0))</f>
        <v>0</v>
      </c>
      <c r="I38">
        <f ca="1">IF(OR($A38="S",$A38=0),0,MATCH(OFFSET($B38,0,$A38)+1,OFFSET($B38,1,$A38,ROW($A$111)-ROW($A38)),0))</f>
        <v>0</v>
      </c>
      <c r="J38" s="394" t="s">
        <v>103</v>
      </c>
      <c r="K38" s="162" t="str">
        <f t="shared" ca="1" si="23"/>
        <v>3.2.3.</v>
      </c>
      <c r="L38" s="395" t="s">
        <v>236</v>
      </c>
      <c r="M38" s="395" t="s">
        <v>277</v>
      </c>
      <c r="N38" s="397" t="s">
        <v>106</v>
      </c>
      <c r="O38" s="398" t="s">
        <v>106</v>
      </c>
      <c r="P38" s="399">
        <v>0.56000000000000005</v>
      </c>
      <c r="Q38" s="228"/>
      <c r="R38" s="231" t="s">
        <v>7</v>
      </c>
      <c r="S38" s="121">
        <f t="shared" si="13"/>
        <v>0</v>
      </c>
      <c r="T38" s="98">
        <f t="shared" si="14"/>
        <v>0</v>
      </c>
      <c r="U38" s="13" t="str">
        <f t="shared" si="24"/>
        <v>DESCRIÇÃO</v>
      </c>
      <c r="V38" s="4" t="str">
        <f ca="1">IF(OR($A38=0,$A38="S",$A38&gt;CFF!$A$9),"",MAX(V$12:OFFSET(V38,-1,0))+1)</f>
        <v/>
      </c>
      <c r="W38" s="9" t="str">
        <f t="shared" si="25"/>
        <v>SINAPI-96556</v>
      </c>
      <c r="X38" s="4" t="e">
        <f t="shared" ca="1" si="15"/>
        <v>#REF!</v>
      </c>
      <c r="Y38" s="121">
        <v>0</v>
      </c>
      <c r="Z38" s="132">
        <f ca="1">ROUND(IF(ISNUMBER(R38),R38,IF(LEFT(R38,3)="BDI",HLOOKUP(R38,DADOS!$T$37:$X$38,2,FALSE),0)),15-11*$X$5)</f>
        <v>0.2303</v>
      </c>
      <c r="AA38" s="4"/>
    </row>
    <row r="39" spans="1:27" x14ac:dyDescent="0.2">
      <c r="A39">
        <f t="shared" si="16"/>
        <v>2</v>
      </c>
      <c r="B39">
        <f t="shared" ca="1" si="17"/>
        <v>2</v>
      </c>
      <c r="C39">
        <f t="shared" ca="1" si="18"/>
        <v>3</v>
      </c>
      <c r="D39">
        <f t="shared" ca="1" si="19"/>
        <v>3</v>
      </c>
      <c r="E39">
        <f t="shared" ca="1" si="20"/>
        <v>0</v>
      </c>
      <c r="F39">
        <f t="shared" ca="1" si="21"/>
        <v>0</v>
      </c>
      <c r="G39">
        <f t="shared" ca="1" si="22"/>
        <v>0</v>
      </c>
      <c r="H39">
        <f ca="1">IF(OR($A39="S",$A39=0),0,MATCH(0,OFFSET($B39,1,$A39,ROW($A$111)-ROW($A39)),0))</f>
        <v>29</v>
      </c>
      <c r="I39">
        <f ca="1">IF(OR($A39="S",$A39=0),0,MATCH(OFFSET($B39,0,$A39)+1,OFFSET($B39,1,$A39,ROW($A$111)-ROW($A39)),0))</f>
        <v>2</v>
      </c>
      <c r="J39" s="394" t="s">
        <v>100</v>
      </c>
      <c r="K39" s="162" t="str">
        <f t="shared" ca="1" si="23"/>
        <v>3.3.</v>
      </c>
      <c r="L39" s="395"/>
      <c r="M39" s="395"/>
      <c r="N39" s="397" t="s">
        <v>279</v>
      </c>
      <c r="O39" s="398" t="s">
        <v>106</v>
      </c>
      <c r="P39" s="399"/>
      <c r="Q39" s="228"/>
      <c r="R39" s="231" t="s">
        <v>7</v>
      </c>
      <c r="S39" s="121">
        <f t="shared" si="13"/>
        <v>0</v>
      </c>
      <c r="T39" s="98">
        <f t="shared" ca="1" si="14"/>
        <v>0</v>
      </c>
      <c r="U39" s="13" t="str">
        <f t="shared" ca="1" si="24"/>
        <v>SEM VALOR</v>
      </c>
      <c r="V39" s="4">
        <f ca="1">IF(OR($A39=0,$A39="S",$A39&gt;CFF!$A$9),"",MAX(V$12:OFFSET(V39,-1,0))+1)</f>
        <v>10</v>
      </c>
      <c r="W39" s="9" t="b">
        <f t="shared" si="25"/>
        <v>0</v>
      </c>
      <c r="X39" s="4" t="str">
        <f t="shared" ca="1" si="15"/>
        <v>X</v>
      </c>
      <c r="Y39" s="121">
        <v>0</v>
      </c>
      <c r="Z39" s="132">
        <f ca="1">ROUND(IF(ISNUMBER(R39),R39,IF(LEFT(R39,3)="BDI",HLOOKUP(R39,DADOS!$T$37:$X$38,2,FALSE),0)),15-11*$X$5)</f>
        <v>0.2303</v>
      </c>
      <c r="AA39" s="4"/>
    </row>
    <row r="40" spans="1:27" x14ac:dyDescent="0.2">
      <c r="A40" t="str">
        <f t="shared" si="16"/>
        <v>S</v>
      </c>
      <c r="B40">
        <f t="shared" si="17"/>
        <v>0</v>
      </c>
      <c r="C40">
        <f t="shared" ca="1" si="18"/>
        <v>3</v>
      </c>
      <c r="D40">
        <f t="shared" ca="1" si="19"/>
        <v>3</v>
      </c>
      <c r="E40">
        <f t="shared" ca="1" si="20"/>
        <v>0</v>
      </c>
      <c r="F40">
        <f t="shared" ca="1" si="21"/>
        <v>0</v>
      </c>
      <c r="G40">
        <f t="shared" ca="1" si="22"/>
        <v>1</v>
      </c>
      <c r="H40">
        <f ca="1">IF(OR($A40="S",$A40=0),0,MATCH(0,OFFSET($B40,1,$A40,ROW($A$111)-ROW($A40)),0))</f>
        <v>0</v>
      </c>
      <c r="I40">
        <f ca="1">IF(OR($A40="S",$A40=0),0,MATCH(OFFSET($B40,0,$A40)+1,OFFSET($B40,1,$A40,ROW($A$111)-ROW($A40)),0))</f>
        <v>0</v>
      </c>
      <c r="J40" s="394" t="s">
        <v>103</v>
      </c>
      <c r="K40" s="162" t="str">
        <f t="shared" ca="1" si="23"/>
        <v>3.3.1.</v>
      </c>
      <c r="L40" s="395" t="s">
        <v>236</v>
      </c>
      <c r="M40" s="395" t="s">
        <v>278</v>
      </c>
      <c r="N40" s="397" t="s">
        <v>106</v>
      </c>
      <c r="O40" s="398" t="s">
        <v>106</v>
      </c>
      <c r="P40" s="399">
        <v>40</v>
      </c>
      <c r="Q40" s="228"/>
      <c r="R40" s="231" t="s">
        <v>7</v>
      </c>
      <c r="S40" s="121">
        <f t="shared" si="13"/>
        <v>0</v>
      </c>
      <c r="T40" s="98">
        <f t="shared" si="14"/>
        <v>0</v>
      </c>
      <c r="U40" s="13" t="str">
        <f t="shared" si="24"/>
        <v>DESCRIÇÃO</v>
      </c>
      <c r="V40" s="4" t="str">
        <f ca="1">IF(OR($A40=0,$A40="S",$A40&gt;CFF!$A$9),"",MAX(V$12:OFFSET(V40,-1,0))+1)</f>
        <v/>
      </c>
      <c r="W40" s="9" t="str">
        <f t="shared" si="25"/>
        <v>SINAPI-100766</v>
      </c>
      <c r="X40" s="4" t="e">
        <f t="shared" ca="1" si="15"/>
        <v>#REF!</v>
      </c>
      <c r="Y40" s="121">
        <v>0</v>
      </c>
      <c r="Z40" s="132">
        <f ca="1">ROUND(IF(ISNUMBER(R40),R40,IF(LEFT(R40,3)="BDI",HLOOKUP(R40,DADOS!$T$37:$X$38,2,FALSE),0)),15-11*$X$5)</f>
        <v>0.2303</v>
      </c>
      <c r="AA40" s="4"/>
    </row>
    <row r="41" spans="1:27" x14ac:dyDescent="0.2">
      <c r="A41">
        <f t="shared" si="0"/>
        <v>2</v>
      </c>
      <c r="B41">
        <f t="shared" ca="1" si="1"/>
        <v>3</v>
      </c>
      <c r="C41">
        <f t="shared" ca="1" si="2"/>
        <v>3</v>
      </c>
      <c r="D41">
        <f t="shared" ca="1" si="3"/>
        <v>4</v>
      </c>
      <c r="E41">
        <f t="shared" ca="1" si="4"/>
        <v>0</v>
      </c>
      <c r="F41">
        <f t="shared" ca="1" si="5"/>
        <v>0</v>
      </c>
      <c r="G41">
        <f t="shared" ca="1" si="6"/>
        <v>0</v>
      </c>
      <c r="H41">
        <f ca="1">IF(OR($A41="S",$A41=0),0,MATCH(0,OFFSET($B41,1,$A41,ROW($A$111)-ROW($A41)),0))</f>
        <v>27</v>
      </c>
      <c r="I41">
        <f ca="1">IF(OR($A41="S",$A41=0),0,MATCH(OFFSET($B41,0,$A41)+1,OFFSET($B41,1,$A41,ROW($A$111)-ROW($A41)),0))</f>
        <v>3</v>
      </c>
      <c r="J41" s="394" t="s">
        <v>100</v>
      </c>
      <c r="K41" s="162" t="str">
        <f t="shared" ca="1" si="7"/>
        <v>3.4.</v>
      </c>
      <c r="L41" s="395"/>
      <c r="M41" s="395"/>
      <c r="N41" s="397" t="s">
        <v>259</v>
      </c>
      <c r="O41" s="398" t="s">
        <v>106</v>
      </c>
      <c r="P41" s="399">
        <v>0</v>
      </c>
      <c r="Q41" s="228"/>
      <c r="R41" s="231" t="s">
        <v>7</v>
      </c>
      <c r="S41" s="121">
        <f t="shared" si="8"/>
        <v>0</v>
      </c>
      <c r="T41" s="98">
        <f t="shared" ca="1" si="9"/>
        <v>0</v>
      </c>
      <c r="U41" s="13" t="str">
        <f t="shared" ca="1" si="10"/>
        <v>SEM VALOR</v>
      </c>
      <c r="V41" s="4">
        <f ca="1">IF(OR($A41=0,$A41="S",$A41&gt;CFF!$A$9),"",MAX(V$12:OFFSET(V41,-1,0))+1)</f>
        <v>11</v>
      </c>
      <c r="W41" s="9" t="b">
        <f t="shared" si="11"/>
        <v>0</v>
      </c>
      <c r="X41" s="4" t="str">
        <f t="shared" ca="1" si="12"/>
        <v>X</v>
      </c>
      <c r="Y41" s="121">
        <v>0</v>
      </c>
      <c r="Z41" s="132">
        <f ca="1">ROUND(IF(ISNUMBER(R41),R41,IF(LEFT(R41,3)="BDI",HLOOKUP(R41,DADOS!$T$37:$X$38,2,FALSE),0)),15-11*$X$5)</f>
        <v>0.2303</v>
      </c>
      <c r="AA41" s="4"/>
    </row>
    <row r="42" spans="1:27" x14ac:dyDescent="0.2">
      <c r="A42" t="str">
        <f t="shared" si="0"/>
        <v>S</v>
      </c>
      <c r="B42">
        <f t="shared" si="1"/>
        <v>0</v>
      </c>
      <c r="C42">
        <f t="shared" ca="1" si="2"/>
        <v>3</v>
      </c>
      <c r="D42">
        <f t="shared" ca="1" si="3"/>
        <v>4</v>
      </c>
      <c r="E42">
        <f t="shared" ca="1" si="4"/>
        <v>0</v>
      </c>
      <c r="F42">
        <f t="shared" ca="1" si="5"/>
        <v>0</v>
      </c>
      <c r="G42">
        <f t="shared" ca="1" si="6"/>
        <v>1</v>
      </c>
      <c r="H42">
        <f ca="1">IF(OR($A42="S",$A42=0),0,MATCH(0,OFFSET($B42,1,$A42,ROW($A$111)-ROW($A42)),0))</f>
        <v>0</v>
      </c>
      <c r="I42">
        <f ca="1">IF(OR($A42="S",$A42=0),0,MATCH(OFFSET($B42,0,$A42)+1,OFFSET($B42,1,$A42,ROW($A$111)-ROW($A42)),0))</f>
        <v>0</v>
      </c>
      <c r="J42" s="394" t="s">
        <v>103</v>
      </c>
      <c r="K42" s="162" t="str">
        <f t="shared" ca="1" si="7"/>
        <v>3.4.1.</v>
      </c>
      <c r="L42" s="395" t="s">
        <v>236</v>
      </c>
      <c r="M42" s="395" t="s">
        <v>247</v>
      </c>
      <c r="N42" s="397" t="s">
        <v>106</v>
      </c>
      <c r="O42" s="398" t="s">
        <v>106</v>
      </c>
      <c r="P42" s="399">
        <v>93.33</v>
      </c>
      <c r="Q42" s="228"/>
      <c r="R42" s="231" t="s">
        <v>7</v>
      </c>
      <c r="S42" s="121">
        <f t="shared" si="8"/>
        <v>0</v>
      </c>
      <c r="T42" s="98">
        <f t="shared" si="9"/>
        <v>0</v>
      </c>
      <c r="U42" s="13" t="str">
        <f t="shared" si="10"/>
        <v>DESCRIÇÃO</v>
      </c>
      <c r="V42" s="4" t="str">
        <f ca="1">IF(OR($A42=0,$A42="S",$A42&gt;CFF!$A$9),"",MAX(V$12:OFFSET(V42,-1,0))+1)</f>
        <v/>
      </c>
      <c r="W42" s="9" t="str">
        <f t="shared" si="11"/>
        <v>SINAPI-94228</v>
      </c>
      <c r="X42" s="4" t="e">
        <f t="shared" ca="1" si="12"/>
        <v>#REF!</v>
      </c>
      <c r="Y42" s="121">
        <v>0</v>
      </c>
      <c r="Z42" s="132">
        <f ca="1">ROUND(IF(ISNUMBER(R42),R42,IF(LEFT(R42,3)="BDI",HLOOKUP(R42,DADOS!$T$37:$X$38,2,FALSE),0)),15-11*$X$5)</f>
        <v>0.2303</v>
      </c>
      <c r="AA42" s="4"/>
    </row>
    <row r="43" spans="1:27" x14ac:dyDescent="0.2">
      <c r="A43" t="str">
        <f>CHOOSE(1+LOG(1+2*(J43="Meta")+4*(J43="Nível 2")+8*(J43="Nível 3")+16*(J43="Nível 4")+32*(J43="Serviço"),2),0,1,2,3,4,"S")</f>
        <v>S</v>
      </c>
      <c r="B43">
        <f>IF(OR(A43="S",A43=0),0,IF(ISERROR(I43),H43,SMALL(H43:I43,1)))</f>
        <v>0</v>
      </c>
      <c r="C43">
        <f ca="1">IF($A43=1,OFFSET(C43,-1,0)+1,OFFSET(C43,-1,0))</f>
        <v>3</v>
      </c>
      <c r="D43">
        <f ca="1">IF($A43=1,0,IF($A43=2,OFFSET(D43,-1,0)+1,OFFSET(D43,-1,0)))</f>
        <v>4</v>
      </c>
      <c r="E43">
        <f ca="1">IF(AND($A43&lt;=2,$A43&lt;&gt;0),0,IF($A43=3,OFFSET(E43,-1,0)+1,OFFSET(E43,-1,0)))</f>
        <v>0</v>
      </c>
      <c r="F43">
        <f ca="1">IF(AND($A43&lt;=3,$A43&lt;&gt;0),0,IF($A43=4,OFFSET(F43,-1,0)+1,OFFSET(F43,-1,0)))</f>
        <v>0</v>
      </c>
      <c r="G43">
        <f ca="1">IF(AND($A43&lt;=4,$A43&lt;&gt;0),0,IF($A43="S",OFFSET(G43,-1,0)+1,OFFSET(G43,-1,0)))</f>
        <v>2</v>
      </c>
      <c r="H43">
        <f ca="1">IF(OR($A43="S",$A43=0),0,MATCH(0,OFFSET($B43,1,$A43,ROW($A$111)-ROW($A43)),0))</f>
        <v>0</v>
      </c>
      <c r="I43">
        <f ca="1">IF(OR($A43="S",$A43=0),0,MATCH(OFFSET($B43,0,$A43)+1,OFFSET($B43,1,$A43,ROW($A$111)-ROW($A43)),0))</f>
        <v>0</v>
      </c>
      <c r="J43" s="394" t="s">
        <v>103</v>
      </c>
      <c r="K43" s="162" t="str">
        <f ca="1">IF($A43=0,"-",CONCATENATE(C43&amp;".",IF(AND($A$5&gt;=2,$A43&gt;=2),D43&amp;".",""),IF(AND($A$5&gt;=3,$A43&gt;=3),E43&amp;".",""),IF(AND($A$5&gt;=4,$A43&gt;=4),F43&amp;".",""),IF($A43="S",G43&amp;".","")))</f>
        <v>3.4.2.</v>
      </c>
      <c r="L43" s="395" t="s">
        <v>236</v>
      </c>
      <c r="M43" s="395" t="s">
        <v>283</v>
      </c>
      <c r="N43" s="397" t="s">
        <v>106</v>
      </c>
      <c r="O43" s="398" t="s">
        <v>106</v>
      </c>
      <c r="P43" s="399">
        <v>10.83</v>
      </c>
      <c r="Q43" s="228"/>
      <c r="R43" s="231" t="s">
        <v>7</v>
      </c>
      <c r="S43" s="121">
        <f>IF($A43="S",IF($Q$10="Preço Unitário (R$)",PO.CustoUnitario,ROUND(PO.CustoUnitario*(1+$Z43),15-13*$X$6)),0)</f>
        <v>0</v>
      </c>
      <c r="T43" s="98">
        <f>IF($A43="S",VTOTAL1,IF($A43=0,0,ROUND(SomaAgrup,15-13*$X$7)))</f>
        <v>0</v>
      </c>
      <c r="U43" s="13" t="str">
        <f>IF($J43="","",IF($N43="","DESCRIÇÃO",IF(AND($J43="Serviço",$O43=""),"UNIDADE",IF($T43&lt;=0,"SEM VALOR",IF(AND($Y43&lt;&gt;"",$Q43&gt;$Y43),"ACIMA REF.","")))))</f>
        <v>DESCRIÇÃO</v>
      </c>
      <c r="V43" s="4" t="str">
        <f ca="1">IF(OR($A43=0,$A43="S",$A43&gt;CFF!$A$9),"",MAX(V$12:OFFSET(V43,-1,0))+1)</f>
        <v/>
      </c>
      <c r="W43" s="9" t="str">
        <f>IF(AND($J43="Serviço",$M43&lt;&gt;""),IF($L43="",$M43,CONCATENATE($L43,"-",$M43)))</f>
        <v>SINAPI-89512</v>
      </c>
      <c r="X43" s="4" t="e">
        <f ca="1">IF(AND(Fonte&lt;&gt;"",Código&lt;&gt;""),MATCH(Fonte&amp;" "&amp;IF(Fonte="sinapi",SUBSTITUTE(SUBSTITUTE(Código,"/00","/"),"/0","/"),Código),INDIRECT("'[Referência "&amp;_xlnm.Database&amp;".xls]Banco'!$a:$a"),0),"X")</f>
        <v>#REF!</v>
      </c>
      <c r="Y43" s="121">
        <v>0</v>
      </c>
      <c r="Z43" s="132">
        <f ca="1">ROUND(IF(ISNUMBER(R43),R43,IF(LEFT(R43,3)="BDI",HLOOKUP(R43,DADOS!$T$37:$X$38,2,FALSE),0)),15-11*$X$5)</f>
        <v>0.2303</v>
      </c>
      <c r="AA43" s="4"/>
    </row>
    <row r="44" spans="1:27" x14ac:dyDescent="0.2">
      <c r="A44">
        <f>CHOOSE(1+LOG(1+2*(J44="Meta")+4*(J44="Nível 2")+8*(J44="Nível 3")+16*(J44="Nível 4")+32*(J44="Serviço"),2),0,1,2,3,4,"S")</f>
        <v>2</v>
      </c>
      <c r="B44">
        <f ca="1">IF(OR(A44="S",A44=0),0,IF(ISERROR(I44),H44,SMALL(H44:I44,1)))</f>
        <v>5</v>
      </c>
      <c r="C44">
        <f ca="1">IF($A44=1,OFFSET(C44,-1,0)+1,OFFSET(C44,-1,0))</f>
        <v>3</v>
      </c>
      <c r="D44">
        <f ca="1">IF($A44=1,0,IF($A44=2,OFFSET(D44,-1,0)+1,OFFSET(D44,-1,0)))</f>
        <v>5</v>
      </c>
      <c r="E44">
        <f ca="1">IF(AND($A44&lt;=2,$A44&lt;&gt;0),0,IF($A44=3,OFFSET(E44,-1,0)+1,OFFSET(E44,-1,0)))</f>
        <v>0</v>
      </c>
      <c r="F44">
        <f ca="1">IF(AND($A44&lt;=3,$A44&lt;&gt;0),0,IF($A44=4,OFFSET(F44,-1,0)+1,OFFSET(F44,-1,0)))</f>
        <v>0</v>
      </c>
      <c r="G44">
        <f ca="1">IF(AND($A44&lt;=4,$A44&lt;&gt;0),0,IF($A44="S",OFFSET(G44,-1,0)+1,OFFSET(G44,-1,0)))</f>
        <v>0</v>
      </c>
      <c r="H44">
        <f ca="1">IF(OR($A44="S",$A44=0),0,MATCH(0,OFFSET($B44,1,$A44,ROW($A$111)-ROW($A44)),0))</f>
        <v>24</v>
      </c>
      <c r="I44">
        <f ca="1">IF(OR($A44="S",$A44=0),0,MATCH(OFFSET($B44,0,$A44)+1,OFFSET($B44,1,$A44,ROW($A$111)-ROW($A44)),0))</f>
        <v>5</v>
      </c>
      <c r="J44" s="394" t="s">
        <v>100</v>
      </c>
      <c r="K44" s="162" t="str">
        <f ca="1">IF($A44=0,"-",CONCATENATE(C44&amp;".",IF(AND($A$5&gt;=2,$A44&gt;=2),D44&amp;".",""),IF(AND($A$5&gt;=3,$A44&gt;=3),E44&amp;".",""),IF(AND($A$5&gt;=4,$A44&gt;=4),F44&amp;".",""),IF($A44="S",G44&amp;".","")))</f>
        <v>3.5.</v>
      </c>
      <c r="L44" s="395"/>
      <c r="M44" s="395"/>
      <c r="N44" s="397" t="s">
        <v>240</v>
      </c>
      <c r="O44" s="398" t="s">
        <v>106</v>
      </c>
      <c r="P44" s="399"/>
      <c r="Q44" s="228"/>
      <c r="R44" s="231" t="s">
        <v>7</v>
      </c>
      <c r="S44" s="121">
        <f>IF($A44="S",IF($Q$10="Preço Unitário (R$)",PO.CustoUnitario,ROUND(PO.CustoUnitario*(1+$Z44),15-13*$X$6)),0)</f>
        <v>0</v>
      </c>
      <c r="T44" s="98">
        <f ca="1">IF($A44="S",VTOTAL1,IF($A44=0,0,ROUND(SomaAgrup,15-13*$X$7)))</f>
        <v>0</v>
      </c>
      <c r="U44" s="13" t="str">
        <f ca="1">IF($J44="","",IF($N44="","DESCRIÇÃO",IF(AND($J44="Serviço",$O44=""),"UNIDADE",IF($T44&lt;=0,"SEM VALOR",IF(AND($Y44&lt;&gt;"",$Q44&gt;$Y44),"ACIMA REF.","")))))</f>
        <v>SEM VALOR</v>
      </c>
      <c r="V44" s="4">
        <f ca="1">IF(OR($A44=0,$A44="S",$A44&gt;CFF!$A$9),"",MAX(V$12:OFFSET(V44,-1,0))+1)</f>
        <v>12</v>
      </c>
      <c r="W44" s="9" t="b">
        <f>IF(AND($J44="Serviço",$M44&lt;&gt;""),IF($L44="",$M44,CONCATENATE($L44,"-",$M44)))</f>
        <v>0</v>
      </c>
      <c r="X44" s="4" t="str">
        <f ca="1">IF(AND(Fonte&lt;&gt;"",Código&lt;&gt;""),MATCH(Fonte&amp;" "&amp;IF(Fonte="sinapi",SUBSTITUTE(SUBSTITUTE(Código,"/00","/"),"/0","/"),Código),INDIRECT("'[Referência "&amp;_xlnm.Database&amp;".xls]Banco'!$a:$a"),0),"X")</f>
        <v>X</v>
      </c>
      <c r="Y44" s="121">
        <v>0</v>
      </c>
      <c r="Z44" s="132">
        <f ca="1">ROUND(IF(ISNUMBER(R44),R44,IF(LEFT(R44,3)="BDI",HLOOKUP(R44,DADOS!$T$37:$X$38,2,FALSE),0)),15-11*$X$5)</f>
        <v>0.2303</v>
      </c>
      <c r="AA44" s="4"/>
    </row>
    <row r="45" spans="1:27" x14ac:dyDescent="0.2">
      <c r="A45" t="str">
        <f t="shared" si="0"/>
        <v>S</v>
      </c>
      <c r="B45">
        <f t="shared" si="1"/>
        <v>0</v>
      </c>
      <c r="C45">
        <f t="shared" ca="1" si="2"/>
        <v>3</v>
      </c>
      <c r="D45">
        <f t="shared" ca="1" si="3"/>
        <v>5</v>
      </c>
      <c r="E45">
        <f t="shared" ca="1" si="4"/>
        <v>0</v>
      </c>
      <c r="F45">
        <f t="shared" ca="1" si="5"/>
        <v>0</v>
      </c>
      <c r="G45">
        <f t="shared" ca="1" si="6"/>
        <v>1</v>
      </c>
      <c r="H45">
        <f ca="1">IF(OR($A45="S",$A45=0),0,MATCH(0,OFFSET($B45,1,$A45,ROW($A$111)-ROW($A45)),0))</f>
        <v>0</v>
      </c>
      <c r="I45">
        <f ca="1">IF(OR($A45="S",$A45=0),0,MATCH(OFFSET($B45,0,$A45)+1,OFFSET($B45,1,$A45,ROW($A$111)-ROW($A45)),0))</f>
        <v>0</v>
      </c>
      <c r="J45" s="394" t="s">
        <v>103</v>
      </c>
      <c r="K45" s="162" t="str">
        <f t="shared" ca="1" si="7"/>
        <v>3.5.1.</v>
      </c>
      <c r="L45" s="395" t="s">
        <v>236</v>
      </c>
      <c r="M45" s="395" t="s">
        <v>246</v>
      </c>
      <c r="N45" s="397" t="s">
        <v>106</v>
      </c>
      <c r="O45" s="398" t="s">
        <v>106</v>
      </c>
      <c r="P45" s="399">
        <v>336.89</v>
      </c>
      <c r="Q45" s="228"/>
      <c r="R45" s="231" t="s">
        <v>7</v>
      </c>
      <c r="S45" s="121">
        <f t="shared" si="8"/>
        <v>0</v>
      </c>
      <c r="T45" s="98">
        <f t="shared" si="9"/>
        <v>0</v>
      </c>
      <c r="U45" s="13" t="str">
        <f t="shared" si="10"/>
        <v>DESCRIÇÃO</v>
      </c>
      <c r="V45" s="4" t="str">
        <f ca="1">IF(OR($A45=0,$A45="S",$A45&gt;CFF!$A$9),"",MAX(V$12:OFFSET(V45,-1,0))+1)</f>
        <v/>
      </c>
      <c r="W45" s="9" t="str">
        <f t="shared" si="11"/>
        <v>SINAPI-92580</v>
      </c>
      <c r="X45" s="4" t="e">
        <f t="shared" ca="1" si="12"/>
        <v>#REF!</v>
      </c>
      <c r="Y45" s="121">
        <v>0</v>
      </c>
      <c r="Z45" s="132">
        <f ca="1">ROUND(IF(ISNUMBER(R45),R45,IF(LEFT(R45,3)="BDI",HLOOKUP(R45,DADOS!$T$37:$X$38,2,FALSE),0)),15-11*$X$5)</f>
        <v>0.2303</v>
      </c>
      <c r="AA45" s="4"/>
    </row>
    <row r="46" spans="1:27" x14ac:dyDescent="0.2">
      <c r="A46" t="str">
        <f t="shared" si="0"/>
        <v>S</v>
      </c>
      <c r="B46">
        <f t="shared" si="1"/>
        <v>0</v>
      </c>
      <c r="C46">
        <f t="shared" ca="1" si="2"/>
        <v>3</v>
      </c>
      <c r="D46">
        <f t="shared" ca="1" si="3"/>
        <v>5</v>
      </c>
      <c r="E46">
        <f t="shared" ca="1" si="4"/>
        <v>0</v>
      </c>
      <c r="F46">
        <f t="shared" ca="1" si="5"/>
        <v>0</v>
      </c>
      <c r="G46">
        <f t="shared" ca="1" si="6"/>
        <v>2</v>
      </c>
      <c r="H46">
        <f ca="1">IF(OR($A46="S",$A46=0),0,MATCH(0,OFFSET($B46,1,$A46,ROW($A$111)-ROW($A46)),0))</f>
        <v>0</v>
      </c>
      <c r="I46">
        <f ca="1">IF(OR($A46="S",$A46=0),0,MATCH(OFFSET($B46,0,$A46)+1,OFFSET($B46,1,$A46,ROW($A$111)-ROW($A46)),0))</f>
        <v>0</v>
      </c>
      <c r="J46" s="394" t="s">
        <v>103</v>
      </c>
      <c r="K46" s="162" t="str">
        <f t="shared" ca="1" si="7"/>
        <v>3.5.2.</v>
      </c>
      <c r="L46" s="395" t="s">
        <v>236</v>
      </c>
      <c r="M46" s="395" t="s">
        <v>249</v>
      </c>
      <c r="N46" s="397" t="s">
        <v>106</v>
      </c>
      <c r="O46" s="398" t="s">
        <v>106</v>
      </c>
      <c r="P46" s="399">
        <v>734.1</v>
      </c>
      <c r="Q46" s="228"/>
      <c r="R46" s="231" t="s">
        <v>7</v>
      </c>
      <c r="S46" s="121">
        <f t="shared" si="8"/>
        <v>0</v>
      </c>
      <c r="T46" s="98">
        <f t="shared" si="9"/>
        <v>0</v>
      </c>
      <c r="U46" s="13" t="str">
        <f t="shared" si="10"/>
        <v>DESCRIÇÃO</v>
      </c>
      <c r="V46" s="4" t="str">
        <f ca="1">IF(OR($A46=0,$A46="S",$A46&gt;CFF!$A$9),"",MAX(V$12:OFFSET(V46,-1,0))+1)</f>
        <v/>
      </c>
      <c r="W46" s="9" t="str">
        <f t="shared" si="11"/>
        <v>SINAPI-100378</v>
      </c>
      <c r="X46" s="4" t="e">
        <f t="shared" ca="1" si="12"/>
        <v>#REF!</v>
      </c>
      <c r="Y46" s="121">
        <v>0</v>
      </c>
      <c r="Z46" s="132">
        <f ca="1">ROUND(IF(ISNUMBER(R46),R46,IF(LEFT(R46,3)="BDI",HLOOKUP(R46,DADOS!$T$37:$X$38,2,FALSE),0)),15-11*$X$5)</f>
        <v>0.2303</v>
      </c>
      <c r="AA46" s="4"/>
    </row>
    <row r="47" spans="1:27" x14ac:dyDescent="0.2">
      <c r="A47" t="str">
        <f t="shared" si="0"/>
        <v>S</v>
      </c>
      <c r="B47">
        <f t="shared" si="1"/>
        <v>0</v>
      </c>
      <c r="C47">
        <f t="shared" ca="1" si="2"/>
        <v>3</v>
      </c>
      <c r="D47">
        <f t="shared" ca="1" si="3"/>
        <v>5</v>
      </c>
      <c r="E47">
        <f t="shared" ca="1" si="4"/>
        <v>0</v>
      </c>
      <c r="F47">
        <f t="shared" ca="1" si="5"/>
        <v>0</v>
      </c>
      <c r="G47">
        <f t="shared" ca="1" si="6"/>
        <v>3</v>
      </c>
      <c r="H47">
        <f ca="1">IF(OR($A47="S",$A47=0),0,MATCH(0,OFFSET($B47,1,$A47,ROW($A$111)-ROW($A47)),0))</f>
        <v>0</v>
      </c>
      <c r="I47">
        <f ca="1">IF(OR($A47="S",$A47=0),0,MATCH(OFFSET($B47,0,$A47)+1,OFFSET($B47,1,$A47,ROW($A$111)-ROW($A47)),0))</f>
        <v>0</v>
      </c>
      <c r="J47" s="394" t="s">
        <v>103</v>
      </c>
      <c r="K47" s="162" t="str">
        <f t="shared" ca="1" si="7"/>
        <v>3.5.3.</v>
      </c>
      <c r="L47" s="395" t="s">
        <v>236</v>
      </c>
      <c r="M47" s="395" t="s">
        <v>238</v>
      </c>
      <c r="N47" s="397" t="s">
        <v>106</v>
      </c>
      <c r="O47" s="398" t="s">
        <v>106</v>
      </c>
      <c r="P47" s="399">
        <v>336.89</v>
      </c>
      <c r="Q47" s="228"/>
      <c r="R47" s="231" t="s">
        <v>7</v>
      </c>
      <c r="S47" s="121">
        <f t="shared" si="8"/>
        <v>0</v>
      </c>
      <c r="T47" s="98">
        <f t="shared" si="9"/>
        <v>0</v>
      </c>
      <c r="U47" s="13" t="str">
        <f t="shared" si="10"/>
        <v>DESCRIÇÃO</v>
      </c>
      <c r="V47" s="4" t="str">
        <f ca="1">IF(OR($A47=0,$A47="S",$A47&gt;CFF!$A$9),"",MAX(V$12:OFFSET(V47,-1,0))+1)</f>
        <v/>
      </c>
      <c r="W47" s="9" t="str">
        <f t="shared" si="11"/>
        <v>SINAPI-94213</v>
      </c>
      <c r="X47" s="4" t="e">
        <f t="shared" ca="1" si="12"/>
        <v>#REF!</v>
      </c>
      <c r="Y47" s="121">
        <v>0</v>
      </c>
      <c r="Z47" s="132">
        <f ca="1">ROUND(IF(ISNUMBER(R47),R47,IF(LEFT(R47,3)="BDI",HLOOKUP(R47,DADOS!$T$37:$X$38,2,FALSE),0)),15-11*$X$5)</f>
        <v>0.2303</v>
      </c>
      <c r="AA47" s="4"/>
    </row>
    <row r="48" spans="1:27" x14ac:dyDescent="0.2">
      <c r="A48" t="str">
        <f t="shared" si="0"/>
        <v>S</v>
      </c>
      <c r="B48">
        <f t="shared" si="1"/>
        <v>0</v>
      </c>
      <c r="C48">
        <f t="shared" ca="1" si="2"/>
        <v>3</v>
      </c>
      <c r="D48">
        <f t="shared" ca="1" si="3"/>
        <v>5</v>
      </c>
      <c r="E48">
        <f t="shared" ca="1" si="4"/>
        <v>0</v>
      </c>
      <c r="F48">
        <f t="shared" ca="1" si="5"/>
        <v>0</v>
      </c>
      <c r="G48">
        <f t="shared" ca="1" si="6"/>
        <v>4</v>
      </c>
      <c r="H48">
        <f ca="1">IF(OR($A48="S",$A48=0),0,MATCH(0,OFFSET($B48,1,$A48,ROW($A$111)-ROW($A48)),0))</f>
        <v>0</v>
      </c>
      <c r="I48">
        <f ca="1">IF(OR($A48="S",$A48=0),0,MATCH(OFFSET($B48,0,$A48)+1,OFFSET($B48,1,$A48,ROW($A$111)-ROW($A48)),0))</f>
        <v>0</v>
      </c>
      <c r="J48" s="394" t="s">
        <v>103</v>
      </c>
      <c r="K48" s="162" t="str">
        <f t="shared" ca="1" si="7"/>
        <v>3.5.4.</v>
      </c>
      <c r="L48" s="395" t="s">
        <v>260</v>
      </c>
      <c r="M48" s="395" t="s">
        <v>282</v>
      </c>
      <c r="N48" s="397" t="s">
        <v>106</v>
      </c>
      <c r="O48" s="398" t="s">
        <v>106</v>
      </c>
      <c r="P48" s="399">
        <v>28.4</v>
      </c>
      <c r="Q48" s="228"/>
      <c r="R48" s="231" t="s">
        <v>7</v>
      </c>
      <c r="S48" s="121">
        <f t="shared" si="8"/>
        <v>0</v>
      </c>
      <c r="T48" s="98">
        <f t="shared" si="9"/>
        <v>0</v>
      </c>
      <c r="U48" s="13" t="str">
        <f t="shared" si="10"/>
        <v>DESCRIÇÃO</v>
      </c>
      <c r="V48" s="4" t="str">
        <f ca="1">IF(OR($A48=0,$A48="S",$A48&gt;CFF!$A$9),"",MAX(V$12:OFFSET(V48,-1,0))+1)</f>
        <v/>
      </c>
      <c r="W48" s="9" t="str">
        <f t="shared" si="11"/>
        <v>COTAÇÃO-03</v>
      </c>
      <c r="X48" s="4" t="e">
        <f t="shared" ca="1" si="12"/>
        <v>#REF!</v>
      </c>
      <c r="Y48" s="121">
        <v>0</v>
      </c>
      <c r="Z48" s="132">
        <f ca="1">ROUND(IF(ISNUMBER(R48),R48,IF(LEFT(R48,3)="BDI",HLOOKUP(R48,DADOS!$T$37:$X$38,2,FALSE),0)),15-11*$X$5)</f>
        <v>0.2303</v>
      </c>
      <c r="AA48" s="4"/>
    </row>
    <row r="49" spans="1:27" x14ac:dyDescent="0.2">
      <c r="A49">
        <f t="shared" si="0"/>
        <v>2</v>
      </c>
      <c r="B49">
        <f t="shared" ca="1" si="1"/>
        <v>4</v>
      </c>
      <c r="C49">
        <f t="shared" ca="1" si="2"/>
        <v>3</v>
      </c>
      <c r="D49">
        <f t="shared" ca="1" si="3"/>
        <v>6</v>
      </c>
      <c r="E49">
        <f t="shared" ca="1" si="4"/>
        <v>0</v>
      </c>
      <c r="F49">
        <f t="shared" ca="1" si="5"/>
        <v>0</v>
      </c>
      <c r="G49">
        <f t="shared" ca="1" si="6"/>
        <v>0</v>
      </c>
      <c r="H49">
        <f ca="1">IF(OR($A49="S",$A49=0),0,MATCH(0,OFFSET($B49,1,$A49,ROW($A$111)-ROW($A49)),0))</f>
        <v>19</v>
      </c>
      <c r="I49">
        <f ca="1">IF(OR($A49="S",$A49=0),0,MATCH(OFFSET($B49,0,$A49)+1,OFFSET($B49,1,$A49,ROW($A$111)-ROW($A49)),0))</f>
        <v>4</v>
      </c>
      <c r="J49" s="394" t="s">
        <v>100</v>
      </c>
      <c r="K49" s="162" t="str">
        <f t="shared" ca="1" si="7"/>
        <v>3.6.</v>
      </c>
      <c r="L49" s="395"/>
      <c r="M49" s="395"/>
      <c r="N49" s="397" t="s">
        <v>241</v>
      </c>
      <c r="O49" s="398" t="s">
        <v>106</v>
      </c>
      <c r="P49" s="399">
        <v>0</v>
      </c>
      <c r="Q49" s="228"/>
      <c r="R49" s="231" t="s">
        <v>7</v>
      </c>
      <c r="S49" s="121">
        <f t="shared" si="8"/>
        <v>0</v>
      </c>
      <c r="T49" s="98">
        <f t="shared" ca="1" si="9"/>
        <v>0</v>
      </c>
      <c r="U49" s="13" t="str">
        <f t="shared" ca="1" si="10"/>
        <v>SEM VALOR</v>
      </c>
      <c r="V49" s="4">
        <f ca="1">IF(OR($A49=0,$A49="S",$A49&gt;CFF!$A$9),"",MAX(V$12:OFFSET(V49,-1,0))+1)</f>
        <v>13</v>
      </c>
      <c r="W49" s="9" t="b">
        <f t="shared" si="11"/>
        <v>0</v>
      </c>
      <c r="X49" s="4" t="str">
        <f t="shared" ca="1" si="12"/>
        <v>X</v>
      </c>
      <c r="Y49" s="121">
        <v>0</v>
      </c>
      <c r="Z49" s="132">
        <f ca="1">ROUND(IF(ISNUMBER(R49),R49,IF(LEFT(R49,3)="BDI",HLOOKUP(R49,DADOS!$T$37:$X$38,2,FALSE),0)),15-11*$X$5)</f>
        <v>0.2303</v>
      </c>
      <c r="AA49" s="4"/>
    </row>
    <row r="50" spans="1:27" x14ac:dyDescent="0.2">
      <c r="A50" t="str">
        <f t="shared" si="0"/>
        <v>S</v>
      </c>
      <c r="B50">
        <f t="shared" si="1"/>
        <v>0</v>
      </c>
      <c r="C50">
        <f t="shared" ca="1" si="2"/>
        <v>3</v>
      </c>
      <c r="D50">
        <f t="shared" ca="1" si="3"/>
        <v>6</v>
      </c>
      <c r="E50">
        <f t="shared" ca="1" si="4"/>
        <v>0</v>
      </c>
      <c r="F50">
        <f t="shared" ca="1" si="5"/>
        <v>0</v>
      </c>
      <c r="G50">
        <f t="shared" ca="1" si="6"/>
        <v>1</v>
      </c>
      <c r="H50">
        <f ca="1">IF(OR($A50="S",$A50=0),0,MATCH(0,OFFSET($B50,1,$A50,ROW($A$111)-ROW($A50)),0))</f>
        <v>0</v>
      </c>
      <c r="I50">
        <f ca="1">IF(OR($A50="S",$A50=0),0,MATCH(OFFSET($B50,0,$A50)+1,OFFSET($B50,1,$A50,ROW($A$111)-ROW($A50)),0))</f>
        <v>0</v>
      </c>
      <c r="J50" s="394" t="s">
        <v>103</v>
      </c>
      <c r="K50" s="162" t="str">
        <f t="shared" ca="1" si="7"/>
        <v>3.6.1.</v>
      </c>
      <c r="L50" s="395" t="s">
        <v>236</v>
      </c>
      <c r="M50" s="395" t="s">
        <v>250</v>
      </c>
      <c r="N50" s="397" t="s">
        <v>106</v>
      </c>
      <c r="O50" s="398" t="s">
        <v>106</v>
      </c>
      <c r="P50" s="399">
        <v>336.89</v>
      </c>
      <c r="Q50" s="228"/>
      <c r="R50" s="231" t="s">
        <v>7</v>
      </c>
      <c r="S50" s="121">
        <f t="shared" si="8"/>
        <v>0</v>
      </c>
      <c r="T50" s="98">
        <f t="shared" si="9"/>
        <v>0</v>
      </c>
      <c r="U50" s="13" t="str">
        <f t="shared" si="10"/>
        <v>DESCRIÇÃO</v>
      </c>
      <c r="V50" s="4" t="str">
        <f ca="1">IF(OR($A50=0,$A50="S",$A50&gt;CFF!$A$9),"",MAX(V$12:OFFSET(V50,-1,0))+1)</f>
        <v/>
      </c>
      <c r="W50" s="9" t="str">
        <f t="shared" si="11"/>
        <v>SINAPI-96111</v>
      </c>
      <c r="X50" s="4" t="e">
        <f t="shared" ca="1" si="12"/>
        <v>#REF!</v>
      </c>
      <c r="Y50" s="121">
        <v>0</v>
      </c>
      <c r="Z50" s="132">
        <f ca="1">ROUND(IF(ISNUMBER(R50),R50,IF(LEFT(R50,3)="BDI",HLOOKUP(R50,DADOS!$T$37:$X$38,2,FALSE),0)),15-11*$X$5)</f>
        <v>0.2303</v>
      </c>
      <c r="AA50" s="4"/>
    </row>
    <row r="51" spans="1:27" x14ac:dyDescent="0.2">
      <c r="A51" t="str">
        <f t="shared" si="0"/>
        <v>S</v>
      </c>
      <c r="B51">
        <f t="shared" si="1"/>
        <v>0</v>
      </c>
      <c r="C51">
        <f t="shared" ca="1" si="2"/>
        <v>3</v>
      </c>
      <c r="D51">
        <f t="shared" ca="1" si="3"/>
        <v>6</v>
      </c>
      <c r="E51">
        <f t="shared" ca="1" si="4"/>
        <v>0</v>
      </c>
      <c r="F51">
        <f t="shared" ca="1" si="5"/>
        <v>0</v>
      </c>
      <c r="G51">
        <f t="shared" ca="1" si="6"/>
        <v>2</v>
      </c>
      <c r="H51">
        <f ca="1">IF(OR($A51="S",$A51=0),0,MATCH(0,OFFSET($B51,1,$A51,ROW($A$111)-ROW($A51)),0))</f>
        <v>0</v>
      </c>
      <c r="I51">
        <f ca="1">IF(OR($A51="S",$A51=0),0,MATCH(OFFSET($B51,0,$A51)+1,OFFSET($B51,1,$A51,ROW($A$111)-ROW($A51)),0))</f>
        <v>0</v>
      </c>
      <c r="J51" s="394" t="s">
        <v>103</v>
      </c>
      <c r="K51" s="162" t="str">
        <f t="shared" ca="1" si="7"/>
        <v>3.6.2.</v>
      </c>
      <c r="L51" s="395" t="s">
        <v>252</v>
      </c>
      <c r="M51" s="395" t="s">
        <v>251</v>
      </c>
      <c r="N51" s="397" t="s">
        <v>106</v>
      </c>
      <c r="O51" s="398" t="s">
        <v>106</v>
      </c>
      <c r="P51" s="399">
        <v>257.18</v>
      </c>
      <c r="Q51" s="228"/>
      <c r="R51" s="231" t="s">
        <v>7</v>
      </c>
      <c r="S51" s="121">
        <f t="shared" si="8"/>
        <v>0</v>
      </c>
      <c r="T51" s="98">
        <f t="shared" si="9"/>
        <v>0</v>
      </c>
      <c r="U51" s="13" t="str">
        <f t="shared" si="10"/>
        <v>DESCRIÇÃO</v>
      </c>
      <c r="V51" s="4" t="str">
        <f ca="1">IF(OR($A51=0,$A51="S",$A51&gt;CFF!$A$9),"",MAX(V$12:OFFSET(V51,-1,0))+1)</f>
        <v/>
      </c>
      <c r="W51" s="9" t="str">
        <f t="shared" si="11"/>
        <v>SINAPI-I-36250</v>
      </c>
      <c r="X51" s="4" t="e">
        <f t="shared" ca="1" si="12"/>
        <v>#REF!</v>
      </c>
      <c r="Y51" s="121">
        <v>0</v>
      </c>
      <c r="Z51" s="132">
        <f ca="1">ROUND(IF(ISNUMBER(R51),R51,IF(LEFT(R51,3)="BDI",HLOOKUP(R51,DADOS!$T$37:$X$38,2,FALSE),0)),15-11*$X$5)</f>
        <v>0.2303</v>
      </c>
      <c r="AA51" s="4"/>
    </row>
    <row r="52" spans="1:27" x14ac:dyDescent="0.2">
      <c r="A52" t="str">
        <f>CHOOSE(1+LOG(1+2*(J52="Meta")+4*(J52="Nível 2")+8*(J52="Nível 3")+16*(J52="Nível 4")+32*(J52="Serviço"),2),0,1,2,3,4,"S")</f>
        <v>S</v>
      </c>
      <c r="B52">
        <f>IF(OR(A52="S",A52=0),0,IF(ISERROR(I52),H52,SMALL(H52:I52,1)))</f>
        <v>0</v>
      </c>
      <c r="C52">
        <f ca="1">IF($A52=1,OFFSET(C52,-1,0)+1,OFFSET(C52,-1,0))</f>
        <v>3</v>
      </c>
      <c r="D52">
        <f ca="1">IF($A52=1,0,IF($A52=2,OFFSET(D52,-1,0)+1,OFFSET(D52,-1,0)))</f>
        <v>6</v>
      </c>
      <c r="E52">
        <f ca="1">IF(AND($A52&lt;=2,$A52&lt;&gt;0),0,IF($A52=3,OFFSET(E52,-1,0)+1,OFFSET(E52,-1,0)))</f>
        <v>0</v>
      </c>
      <c r="F52">
        <f ca="1">IF(AND($A52&lt;=3,$A52&lt;&gt;0),0,IF($A52=4,OFFSET(F52,-1,0)+1,OFFSET(F52,-1,0)))</f>
        <v>0</v>
      </c>
      <c r="G52">
        <f ca="1">IF(AND($A52&lt;=4,$A52&lt;&gt;0),0,IF($A52="S",OFFSET(G52,-1,0)+1,OFFSET(G52,-1,0)))</f>
        <v>3</v>
      </c>
      <c r="H52">
        <f ca="1">IF(OR($A52="S",$A52=0),0,MATCH(0,OFFSET($B52,1,$A52,ROW($A$111)-ROW($A52)),0))</f>
        <v>0</v>
      </c>
      <c r="I52">
        <f ca="1">IF(OR($A52="S",$A52=0),0,MATCH(OFFSET($B52,0,$A52)+1,OFFSET($B52,1,$A52,ROW($A$111)-ROW($A52)),0))</f>
        <v>0</v>
      </c>
      <c r="J52" s="394" t="s">
        <v>103</v>
      </c>
      <c r="K52" s="162" t="str">
        <f ca="1">IF($A52=0,"-",CONCATENATE(C52&amp;".",IF(AND($A$5&gt;=2,$A52&gt;=2),D52&amp;".",""),IF(AND($A$5&gt;=3,$A52&gt;=3),E52&amp;".",""),IF(AND($A$5&gt;=4,$A52&gt;=4),F52&amp;".",""),IF($A52="S",G52&amp;".","")))</f>
        <v>3.6.3.</v>
      </c>
      <c r="L52" s="395" t="s">
        <v>260</v>
      </c>
      <c r="M52" s="395" t="s">
        <v>262</v>
      </c>
      <c r="N52" s="397" t="s">
        <v>106</v>
      </c>
      <c r="O52" s="398" t="s">
        <v>106</v>
      </c>
      <c r="P52" s="399">
        <v>83.13</v>
      </c>
      <c r="Q52" s="228"/>
      <c r="R52" s="231" t="s">
        <v>7</v>
      </c>
      <c r="S52" s="121">
        <f>IF($A52="S",IF($Q$10="Preço Unitário (R$)",PO.CustoUnitario,ROUND(PO.CustoUnitario*(1+$Z52),15-13*$X$6)),0)</f>
        <v>0</v>
      </c>
      <c r="T52" s="98">
        <f>IF($A52="S",VTOTAL1,IF($A52=0,0,ROUND(SomaAgrup,15-13*$X$7)))</f>
        <v>0</v>
      </c>
      <c r="U52" s="13" t="str">
        <f>IF($J52="","",IF($N52="","DESCRIÇÃO",IF(AND($J52="Serviço",$O52=""),"UNIDADE",IF($T52&lt;=0,"SEM VALOR",IF(AND($Y52&lt;&gt;"",$Q52&gt;$Y52),"ACIMA REF.","")))))</f>
        <v>DESCRIÇÃO</v>
      </c>
      <c r="V52" s="4" t="str">
        <f ca="1">IF(OR($A52=0,$A52="S",$A52&gt;CFF!$A$9),"",MAX(V$12:OFFSET(V52,-1,0))+1)</f>
        <v/>
      </c>
      <c r="W52" s="9" t="str">
        <f>IF(AND($J52="Serviço",$M52&lt;&gt;""),IF($L52="",$M52,CONCATENATE($L52,"-",$M52)))</f>
        <v>COTAÇÃO-02</v>
      </c>
      <c r="X52" s="4" t="e">
        <f ca="1">IF(AND(Fonte&lt;&gt;"",Código&lt;&gt;""),MATCH(Fonte&amp;" "&amp;IF(Fonte="sinapi",SUBSTITUTE(SUBSTITUTE(Código,"/00","/"),"/0","/"),Código),INDIRECT("'[Referência "&amp;_xlnm.Database&amp;".xls]Banco'!$a:$a"),0),"X")</f>
        <v>#REF!</v>
      </c>
      <c r="Y52" s="121">
        <v>0</v>
      </c>
      <c r="Z52" s="132">
        <f ca="1">ROUND(IF(ISNUMBER(R52),R52,IF(LEFT(R52,3)="BDI",HLOOKUP(R52,DADOS!$T$37:$X$38,2,FALSE),0)),15-11*$X$5)</f>
        <v>0.2303</v>
      </c>
      <c r="AA52" s="4"/>
    </row>
    <row r="53" spans="1:27" x14ac:dyDescent="0.2">
      <c r="A53">
        <f t="shared" ref="A53:A54" si="26">CHOOSE(1+LOG(1+2*(J53="Meta")+4*(J53="Nível 2")+8*(J53="Nível 3")+16*(J53="Nível 4")+32*(J53="Serviço"),2),0,1,2,3,4,"S")</f>
        <v>2</v>
      </c>
      <c r="B53">
        <f t="shared" ref="B53:B54" ca="1" si="27">IF(OR(A53="S",A53=0),0,IF(ISERROR(I53),H53,SMALL(H53:I53,1)))</f>
        <v>3</v>
      </c>
      <c r="C53">
        <f t="shared" ref="C53:C54" ca="1" si="28">IF($A53=1,OFFSET(C53,-1,0)+1,OFFSET(C53,-1,0))</f>
        <v>3</v>
      </c>
      <c r="D53">
        <f t="shared" ref="D53:D54" ca="1" si="29">IF($A53=1,0,IF($A53=2,OFFSET(D53,-1,0)+1,OFFSET(D53,-1,0)))</f>
        <v>7</v>
      </c>
      <c r="E53">
        <f t="shared" ref="E53:E54" ca="1" si="30">IF(AND($A53&lt;=2,$A53&lt;&gt;0),0,IF($A53=3,OFFSET(E53,-1,0)+1,OFFSET(E53,-1,0)))</f>
        <v>0</v>
      </c>
      <c r="F53">
        <f t="shared" ref="F53:F54" ca="1" si="31">IF(AND($A53&lt;=3,$A53&lt;&gt;0),0,IF($A53=4,OFFSET(F53,-1,0)+1,OFFSET(F53,-1,0)))</f>
        <v>0</v>
      </c>
      <c r="G53">
        <f t="shared" ref="G53:G54" ca="1" si="32">IF(AND($A53&lt;=4,$A53&lt;&gt;0),0,IF($A53="S",OFFSET(G53,-1,0)+1,OFFSET(G53,-1,0)))</f>
        <v>0</v>
      </c>
      <c r="H53">
        <f ca="1">IF(OR($A53="S",$A53=0),0,MATCH(0,OFFSET($B53,1,$A53,ROW($A$111)-ROW($A53)),0))</f>
        <v>15</v>
      </c>
      <c r="I53">
        <f ca="1">IF(OR($A53="S",$A53=0),0,MATCH(OFFSET($B53,0,$A53)+1,OFFSET($B53,1,$A53,ROW($A$111)-ROW($A53)),0))</f>
        <v>3</v>
      </c>
      <c r="J53" s="394" t="s">
        <v>100</v>
      </c>
      <c r="K53" s="162" t="str">
        <f t="shared" ref="K53:K54" ca="1" si="33">IF($A53=0,"-",CONCATENATE(C53&amp;".",IF(AND($A$5&gt;=2,$A53&gt;=2),D53&amp;".",""),IF(AND($A$5&gt;=3,$A53&gt;=3),E53&amp;".",""),IF(AND($A$5&gt;=4,$A53&gt;=4),F53&amp;".",""),IF($A53="S",G53&amp;".","")))</f>
        <v>3.7.</v>
      </c>
      <c r="L53" s="395"/>
      <c r="M53" s="395"/>
      <c r="N53" s="397" t="s">
        <v>281</v>
      </c>
      <c r="O53" s="398" t="s">
        <v>106</v>
      </c>
      <c r="P53" s="399"/>
      <c r="Q53" s="228"/>
      <c r="R53" s="231" t="s">
        <v>7</v>
      </c>
      <c r="S53" s="121">
        <f>IF($A53="S",IF($Q$10="Preço Unitário (R$)",PO.CustoUnitario,ROUND(PO.CustoUnitario*(1+$Z53),15-13*$X$6)),0)</f>
        <v>0</v>
      </c>
      <c r="T53" s="98">
        <f ca="1">IF($A53="S",VTOTAL1,IF($A53=0,0,ROUND(SomaAgrup,15-13*$X$7)))</f>
        <v>0</v>
      </c>
      <c r="U53" s="13" t="str">
        <f t="shared" ref="U53:U54" ca="1" si="34">IF($J53="","",IF($N53="","DESCRIÇÃO",IF(AND($J53="Serviço",$O53=""),"UNIDADE",IF($T53&lt;=0,"SEM VALOR",IF(AND($Y53&lt;&gt;"",$Q53&gt;$Y53),"ACIMA REF.","")))))</f>
        <v>SEM VALOR</v>
      </c>
      <c r="V53" s="4">
        <f ca="1">IF(OR($A53=0,$A53="S",$A53&gt;CFF!$A$9),"",MAX(V$12:OFFSET(V53,-1,0))+1)</f>
        <v>14</v>
      </c>
      <c r="W53" s="9" t="b">
        <f t="shared" ref="W53:W54" si="35">IF(AND($J53="Serviço",$M53&lt;&gt;""),IF($L53="",$M53,CONCATENATE($L53,"-",$M53)))</f>
        <v>0</v>
      </c>
      <c r="X53" s="4" t="str">
        <f ca="1">IF(AND(Fonte&lt;&gt;"",Código&lt;&gt;""),MATCH(Fonte&amp;" "&amp;IF(Fonte="sinapi",SUBSTITUTE(SUBSTITUTE(Código,"/00","/"),"/0","/"),Código),INDIRECT("'[Referência "&amp;_xlnm.Database&amp;".xls]Banco'!$a:$a"),0),"X")</f>
        <v>X</v>
      </c>
      <c r="Y53" s="121">
        <v>0</v>
      </c>
      <c r="Z53" s="132">
        <f ca="1">ROUND(IF(ISNUMBER(R53),R53,IF(LEFT(R53,3)="BDI",HLOOKUP(R53,DADOS!$T$37:$X$38,2,FALSE),0)),15-11*$X$5)</f>
        <v>0.2303</v>
      </c>
      <c r="AA53" s="4"/>
    </row>
    <row r="54" spans="1:27" x14ac:dyDescent="0.2">
      <c r="A54" t="str">
        <f t="shared" si="26"/>
        <v>S</v>
      </c>
      <c r="B54">
        <f t="shared" si="27"/>
        <v>0</v>
      </c>
      <c r="C54">
        <f t="shared" ca="1" si="28"/>
        <v>3</v>
      </c>
      <c r="D54">
        <f t="shared" ca="1" si="29"/>
        <v>7</v>
      </c>
      <c r="E54">
        <f t="shared" ca="1" si="30"/>
        <v>0</v>
      </c>
      <c r="F54">
        <f t="shared" ca="1" si="31"/>
        <v>0</v>
      </c>
      <c r="G54">
        <f t="shared" ca="1" si="32"/>
        <v>1</v>
      </c>
      <c r="H54">
        <f ca="1">IF(OR($A54="S",$A54=0),0,MATCH(0,OFFSET($B54,1,$A54,ROW($A$111)-ROW($A54)),0))</f>
        <v>0</v>
      </c>
      <c r="I54">
        <f ca="1">IF(OR($A54="S",$A54=0),0,MATCH(OFFSET($B54,0,$A54)+1,OFFSET($B54,1,$A54,ROW($A$111)-ROW($A54)),0))</f>
        <v>0</v>
      </c>
      <c r="J54" s="394" t="s">
        <v>103</v>
      </c>
      <c r="K54" s="162" t="str">
        <f t="shared" ca="1" si="33"/>
        <v>3.7.1.</v>
      </c>
      <c r="L54" s="395" t="s">
        <v>236</v>
      </c>
      <c r="M54" s="395" t="s">
        <v>291</v>
      </c>
      <c r="N54" s="397" t="s">
        <v>106</v>
      </c>
      <c r="O54" s="398" t="s">
        <v>106</v>
      </c>
      <c r="P54" s="399">
        <v>12.46</v>
      </c>
      <c r="Q54" s="228"/>
      <c r="R54" s="231" t="s">
        <v>7</v>
      </c>
      <c r="S54" s="121">
        <f>IF($A54="S",IF($Q$10="Preço Unitário (R$)",PO.CustoUnitario,ROUND(PO.CustoUnitario*(1+$Z54),15-13*$X$6)),0)</f>
        <v>0</v>
      </c>
      <c r="T54" s="98">
        <f>IF($A54="S",VTOTAL1,IF($A54=0,0,ROUND(SomaAgrup,15-13*$X$7)))</f>
        <v>0</v>
      </c>
      <c r="U54" s="13" t="str">
        <f t="shared" si="34"/>
        <v>DESCRIÇÃO</v>
      </c>
      <c r="V54" s="4" t="str">
        <f ca="1">IF(OR($A54=0,$A54="S",$A54&gt;CFF!$A$9),"",MAX(V$12:OFFSET(V54,-1,0))+1)</f>
        <v/>
      </c>
      <c r="W54" s="9" t="str">
        <f t="shared" si="35"/>
        <v>SINAPI-100735</v>
      </c>
      <c r="X54" s="4" t="e">
        <f ca="1">IF(AND(Fonte&lt;&gt;"",Código&lt;&gt;""),MATCH(Fonte&amp;" "&amp;IF(Fonte="sinapi",SUBSTITUTE(SUBSTITUTE(Código,"/00","/"),"/0","/"),Código),INDIRECT("'[Referência "&amp;_xlnm.Database&amp;".xls]Banco'!$a:$a"),0),"X")</f>
        <v>#REF!</v>
      </c>
      <c r="Y54" s="121">
        <v>0</v>
      </c>
      <c r="Z54" s="132">
        <f ca="1">ROUND(IF(ISNUMBER(R54),R54,IF(LEFT(R54,3)="BDI",HLOOKUP(R54,DADOS!$T$37:$X$38,2,FALSE),0)),15-11*$X$5)</f>
        <v>0.2303</v>
      </c>
      <c r="AA54" s="4"/>
    </row>
    <row r="55" spans="1:27" x14ac:dyDescent="0.2">
      <c r="A55" t="str">
        <f>CHOOSE(1+LOG(1+2*(J55="Meta")+4*(J55="Nível 2")+8*(J55="Nível 3")+16*(J55="Nível 4")+32*(J55="Serviço"),2),0,1,2,3,4,"S")</f>
        <v>S</v>
      </c>
      <c r="B55">
        <f>IF(OR(A55="S",A55=0),0,IF(ISERROR(I55),H55,SMALL(H55:I55,1)))</f>
        <v>0</v>
      </c>
      <c r="C55">
        <f ca="1">IF($A55=1,OFFSET(C55,-1,0)+1,OFFSET(C55,-1,0))</f>
        <v>3</v>
      </c>
      <c r="D55">
        <f ca="1">IF($A55=1,0,IF($A55=2,OFFSET(D55,-1,0)+1,OFFSET(D55,-1,0)))</f>
        <v>7</v>
      </c>
      <c r="E55">
        <f ca="1">IF(AND($A55&lt;=2,$A55&lt;&gt;0),0,IF($A55=3,OFFSET(E55,-1,0)+1,OFFSET(E55,-1,0)))</f>
        <v>0</v>
      </c>
      <c r="F55">
        <f ca="1">IF(AND($A55&lt;=3,$A55&lt;&gt;0),0,IF($A55=4,OFFSET(F55,-1,0)+1,OFFSET(F55,-1,0)))</f>
        <v>0</v>
      </c>
      <c r="G55">
        <f ca="1">IF(AND($A55&lt;=4,$A55&lt;&gt;0),0,IF($A55="S",OFFSET(G55,-1,0)+1,OFFSET(G55,-1,0)))</f>
        <v>2</v>
      </c>
      <c r="H55">
        <f ca="1">IF(OR($A55="S",$A55=0),0,MATCH(0,OFFSET($B55,1,$A55,ROW($A$111)-ROW($A55)),0))</f>
        <v>0</v>
      </c>
      <c r="I55">
        <f ca="1">IF(OR($A55="S",$A55=0),0,MATCH(OFFSET($B55,0,$A55)+1,OFFSET($B55,1,$A55,ROW($A$111)-ROW($A55)),0))</f>
        <v>0</v>
      </c>
      <c r="J55" s="394" t="s">
        <v>103</v>
      </c>
      <c r="K55" s="162" t="str">
        <f ca="1">IF($A55=0,"-",CONCATENATE(C55&amp;".",IF(AND($A$5&gt;=2,$A55&gt;=2),D55&amp;".",""),IF(AND($A$5&gt;=3,$A55&gt;=3),E55&amp;".",""),IF(AND($A$5&gt;=4,$A55&gt;=4),F55&amp;".",""),IF($A55="S",G55&amp;".","")))</f>
        <v>3.7.2.</v>
      </c>
      <c r="L55" s="395" t="s">
        <v>236</v>
      </c>
      <c r="M55" s="395" t="s">
        <v>306</v>
      </c>
      <c r="N55" s="397" t="s">
        <v>106</v>
      </c>
      <c r="O55" s="398" t="s">
        <v>106</v>
      </c>
      <c r="P55" s="399">
        <v>12.46</v>
      </c>
      <c r="Q55" s="228"/>
      <c r="R55" s="231" t="s">
        <v>7</v>
      </c>
      <c r="S55" s="121">
        <f>IF($A55="S",IF($Q$10="Preço Unitário (R$)",PO.CustoUnitario,ROUND(PO.CustoUnitario*(1+$Z55),15-13*$X$6)),0)</f>
        <v>0</v>
      </c>
      <c r="T55" s="98">
        <f>IF($A55="S",VTOTAL1,IF($A55=0,0,ROUND(SomaAgrup,15-13*$X$7)))</f>
        <v>0</v>
      </c>
      <c r="U55" s="13" t="str">
        <f>IF($J55="","",IF($N55="","DESCRIÇÃO",IF(AND($J55="Serviço",$O55=""),"UNIDADE",IF($T55&lt;=0,"SEM VALOR",IF(AND($Y55&lt;&gt;"",$Q55&gt;$Y55),"ACIMA REF.","")))))</f>
        <v>DESCRIÇÃO</v>
      </c>
      <c r="V55" s="4" t="str">
        <f ca="1">IF(OR($A55=0,$A55="S",$A55&gt;CFF!$A$9),"",MAX(V$12:OFFSET(V55,-1,0))+1)</f>
        <v/>
      </c>
      <c r="W55" s="9" t="str">
        <f>IF(AND($J55="Serviço",$M55&lt;&gt;""),IF($L55="",$M55,CONCATENATE($L55,"-",$M55)))</f>
        <v>SINAPI-102217</v>
      </c>
      <c r="X55" s="4" t="e">
        <f ca="1">IF(AND(Fonte&lt;&gt;"",Código&lt;&gt;""),MATCH(Fonte&amp;" "&amp;IF(Fonte="sinapi",SUBSTITUTE(SUBSTITUTE(Código,"/00","/"),"/0","/"),Código),INDIRECT("'[Referência "&amp;_xlnm.Database&amp;".xls]Banco'!$a:$a"),0),"X")</f>
        <v>#REF!</v>
      </c>
      <c r="Y55" s="121">
        <v>0</v>
      </c>
      <c r="Z55" s="132">
        <f ca="1">ROUND(IF(ISNUMBER(R55),R55,IF(LEFT(R55,3)="BDI",HLOOKUP(R55,DADOS!$T$37:$X$38,2,FALSE),0)),15-11*$X$5)</f>
        <v>0.2303</v>
      </c>
      <c r="AA55" s="4"/>
    </row>
    <row r="56" spans="1:27" x14ac:dyDescent="0.2">
      <c r="A56">
        <f t="shared" si="0"/>
        <v>2</v>
      </c>
      <c r="B56">
        <f t="shared" ca="1" si="1"/>
        <v>8</v>
      </c>
      <c r="C56">
        <f t="shared" ca="1" si="2"/>
        <v>3</v>
      </c>
      <c r="D56">
        <f t="shared" ca="1" si="3"/>
        <v>8</v>
      </c>
      <c r="E56">
        <f t="shared" ca="1" si="4"/>
        <v>0</v>
      </c>
      <c r="F56">
        <f t="shared" ca="1" si="5"/>
        <v>0</v>
      </c>
      <c r="G56">
        <f t="shared" ca="1" si="6"/>
        <v>0</v>
      </c>
      <c r="H56">
        <f ca="1">IF(OR($A56="S",$A56=0),0,MATCH(0,OFFSET($B56,1,$A56,ROW($A$111)-ROW($A56)),0))</f>
        <v>12</v>
      </c>
      <c r="I56">
        <f ca="1">IF(OR($A56="S",$A56=0),0,MATCH(OFFSET($B56,0,$A56)+1,OFFSET($B56,1,$A56,ROW($A$111)-ROW($A56)),0))</f>
        <v>8</v>
      </c>
      <c r="J56" s="394" t="s">
        <v>100</v>
      </c>
      <c r="K56" s="162" t="str">
        <f t="shared" ca="1" si="7"/>
        <v>3.8.</v>
      </c>
      <c r="L56" s="395"/>
      <c r="M56" s="395"/>
      <c r="N56" s="397" t="s">
        <v>242</v>
      </c>
      <c r="O56" s="398" t="s">
        <v>106</v>
      </c>
      <c r="P56" s="399">
        <v>0</v>
      </c>
      <c r="Q56" s="228"/>
      <c r="R56" s="231" t="s">
        <v>7</v>
      </c>
      <c r="S56" s="121">
        <f t="shared" si="8"/>
        <v>0</v>
      </c>
      <c r="T56" s="98">
        <f t="shared" ca="1" si="9"/>
        <v>0</v>
      </c>
      <c r="U56" s="13" t="str">
        <f t="shared" ca="1" si="10"/>
        <v>SEM VALOR</v>
      </c>
      <c r="V56" s="4">
        <f ca="1">IF(OR($A56=0,$A56="S",$A56&gt;CFF!$A$9),"",MAX(V$12:OFFSET(V56,-1,0))+1)</f>
        <v>15</v>
      </c>
      <c r="W56" s="9" t="b">
        <f t="shared" si="11"/>
        <v>0</v>
      </c>
      <c r="X56" s="4" t="str">
        <f t="shared" ca="1" si="12"/>
        <v>X</v>
      </c>
      <c r="Y56" s="121">
        <v>0</v>
      </c>
      <c r="Z56" s="132">
        <f ca="1">ROUND(IF(ISNUMBER(R56),R56,IF(LEFT(R56,3)="BDI",HLOOKUP(R56,DADOS!$T$37:$X$38,2,FALSE),0)),15-11*$X$5)</f>
        <v>0.2303</v>
      </c>
      <c r="AA56" s="4"/>
    </row>
    <row r="57" spans="1:27" x14ac:dyDescent="0.2">
      <c r="A57" t="str">
        <f t="shared" si="0"/>
        <v>S</v>
      </c>
      <c r="B57">
        <f t="shared" si="1"/>
        <v>0</v>
      </c>
      <c r="C57">
        <f t="shared" ca="1" si="2"/>
        <v>3</v>
      </c>
      <c r="D57">
        <f t="shared" ca="1" si="3"/>
        <v>8</v>
      </c>
      <c r="E57">
        <f t="shared" ca="1" si="4"/>
        <v>0</v>
      </c>
      <c r="F57">
        <f t="shared" ca="1" si="5"/>
        <v>0</v>
      </c>
      <c r="G57">
        <f t="shared" ca="1" si="6"/>
        <v>1</v>
      </c>
      <c r="H57">
        <f ca="1">IF(OR($A57="S",$A57=0),0,MATCH(0,OFFSET($B57,1,$A57,ROW($A$111)-ROW($A57)),0))</f>
        <v>0</v>
      </c>
      <c r="I57">
        <f ca="1">IF(OR($A57="S",$A57=0),0,MATCH(OFFSET($B57,0,$A57)+1,OFFSET($B57,1,$A57,ROW($A$111)-ROW($A57)),0))</f>
        <v>0</v>
      </c>
      <c r="J57" s="394" t="s">
        <v>103</v>
      </c>
      <c r="K57" s="162" t="str">
        <f t="shared" ca="1" si="7"/>
        <v>3.8.1.</v>
      </c>
      <c r="L57" s="395" t="s">
        <v>236</v>
      </c>
      <c r="M57" s="395" t="s">
        <v>263</v>
      </c>
      <c r="N57" s="397" t="s">
        <v>106</v>
      </c>
      <c r="O57" s="398" t="s">
        <v>106</v>
      </c>
      <c r="P57" s="399">
        <v>108</v>
      </c>
      <c r="Q57" s="228"/>
      <c r="R57" s="231" t="s">
        <v>7</v>
      </c>
      <c r="S57" s="121">
        <f t="shared" si="8"/>
        <v>0</v>
      </c>
      <c r="T57" s="98">
        <f t="shared" si="9"/>
        <v>0</v>
      </c>
      <c r="U57" s="13" t="str">
        <f t="shared" si="10"/>
        <v>DESCRIÇÃO</v>
      </c>
      <c r="V57" s="4" t="str">
        <f ca="1">IF(OR($A57=0,$A57="S",$A57&gt;CFF!$A$9),"",MAX(V$12:OFFSET(V57,-1,0))+1)</f>
        <v/>
      </c>
      <c r="W57" s="9" t="str">
        <f t="shared" si="11"/>
        <v>SINAPI-91833</v>
      </c>
      <c r="X57" s="4" t="e">
        <f t="shared" ca="1" si="12"/>
        <v>#REF!</v>
      </c>
      <c r="Y57" s="121">
        <v>0</v>
      </c>
      <c r="Z57" s="132">
        <f ca="1">ROUND(IF(ISNUMBER(R57),R57,IF(LEFT(R57,3)="BDI",HLOOKUP(R57,DADOS!$T$37:$X$38,2,FALSE),0)),15-11*$X$5)</f>
        <v>0.2303</v>
      </c>
      <c r="AA57" s="4"/>
    </row>
    <row r="58" spans="1:27" x14ac:dyDescent="0.2">
      <c r="A58" t="str">
        <f t="shared" si="0"/>
        <v>S</v>
      </c>
      <c r="B58">
        <f t="shared" si="1"/>
        <v>0</v>
      </c>
      <c r="C58">
        <f t="shared" ca="1" si="2"/>
        <v>3</v>
      </c>
      <c r="D58">
        <f t="shared" ca="1" si="3"/>
        <v>8</v>
      </c>
      <c r="E58">
        <f t="shared" ca="1" si="4"/>
        <v>0</v>
      </c>
      <c r="F58">
        <f t="shared" ca="1" si="5"/>
        <v>0</v>
      </c>
      <c r="G58">
        <f t="shared" ca="1" si="6"/>
        <v>2</v>
      </c>
      <c r="H58">
        <f ca="1">IF(OR($A58="S",$A58=0),0,MATCH(0,OFFSET($B58,1,$A58,ROW($A$111)-ROW($A58)),0))</f>
        <v>0</v>
      </c>
      <c r="I58">
        <f ca="1">IF(OR($A58="S",$A58=0),0,MATCH(OFFSET($B58,0,$A58)+1,OFFSET($B58,1,$A58,ROW($A$111)-ROW($A58)),0))</f>
        <v>0</v>
      </c>
      <c r="J58" s="394" t="s">
        <v>103</v>
      </c>
      <c r="K58" s="162" t="str">
        <f t="shared" ca="1" si="7"/>
        <v>3.8.2.</v>
      </c>
      <c r="L58" s="395" t="s">
        <v>236</v>
      </c>
      <c r="M58" s="395" t="s">
        <v>256</v>
      </c>
      <c r="N58" s="397" t="s">
        <v>106</v>
      </c>
      <c r="O58" s="398" t="s">
        <v>106</v>
      </c>
      <c r="P58" s="399">
        <v>90</v>
      </c>
      <c r="Q58" s="228"/>
      <c r="R58" s="231" t="s">
        <v>7</v>
      </c>
      <c r="S58" s="121">
        <f t="shared" si="8"/>
        <v>0</v>
      </c>
      <c r="T58" s="98">
        <f t="shared" si="9"/>
        <v>0</v>
      </c>
      <c r="U58" s="13" t="str">
        <f t="shared" si="10"/>
        <v>DESCRIÇÃO</v>
      </c>
      <c r="V58" s="4" t="str">
        <f ca="1">IF(OR($A58=0,$A58="S",$A58&gt;CFF!$A$9),"",MAX(V$12:OFFSET(V58,-1,0))+1)</f>
        <v/>
      </c>
      <c r="W58" s="9" t="str">
        <f t="shared" si="11"/>
        <v>SINAPI-91927</v>
      </c>
      <c r="X58" s="4" t="e">
        <f t="shared" ca="1" si="12"/>
        <v>#REF!</v>
      </c>
      <c r="Y58" s="121">
        <v>0</v>
      </c>
      <c r="Z58" s="132">
        <f ca="1">ROUND(IF(ISNUMBER(R58),R58,IF(LEFT(R58,3)="BDI",HLOOKUP(R58,DADOS!$T$37:$X$38,2,FALSE),0)),15-11*$X$5)</f>
        <v>0.2303</v>
      </c>
      <c r="AA58" s="4"/>
    </row>
    <row r="59" spans="1:27" x14ac:dyDescent="0.2">
      <c r="A59" t="str">
        <f t="shared" si="0"/>
        <v>S</v>
      </c>
      <c r="B59">
        <f t="shared" si="1"/>
        <v>0</v>
      </c>
      <c r="C59">
        <f t="shared" ca="1" si="2"/>
        <v>3</v>
      </c>
      <c r="D59">
        <f t="shared" ca="1" si="3"/>
        <v>8</v>
      </c>
      <c r="E59">
        <f t="shared" ca="1" si="4"/>
        <v>0</v>
      </c>
      <c r="F59">
        <f t="shared" ca="1" si="5"/>
        <v>0</v>
      </c>
      <c r="G59">
        <f t="shared" ca="1" si="6"/>
        <v>3</v>
      </c>
      <c r="H59">
        <f ca="1">IF(OR($A59="S",$A59=0),0,MATCH(0,OFFSET($B59,1,$A59,ROW($A$111)-ROW($A59)),0))</f>
        <v>0</v>
      </c>
      <c r="I59">
        <f ca="1">IF(OR($A59="S",$A59=0),0,MATCH(OFFSET($B59,0,$A59)+1,OFFSET($B59,1,$A59,ROW($A$111)-ROW($A59)),0))</f>
        <v>0</v>
      </c>
      <c r="J59" s="394" t="s">
        <v>103</v>
      </c>
      <c r="K59" s="162" t="str">
        <f t="shared" ca="1" si="7"/>
        <v>3.8.3.</v>
      </c>
      <c r="L59" s="395" t="s">
        <v>236</v>
      </c>
      <c r="M59" s="395" t="s">
        <v>257</v>
      </c>
      <c r="N59" s="397" t="s">
        <v>106</v>
      </c>
      <c r="O59" s="398" t="s">
        <v>106</v>
      </c>
      <c r="P59" s="399">
        <v>275</v>
      </c>
      <c r="Q59" s="228"/>
      <c r="R59" s="231" t="s">
        <v>7</v>
      </c>
      <c r="S59" s="121">
        <f t="shared" si="8"/>
        <v>0</v>
      </c>
      <c r="T59" s="98">
        <f t="shared" si="9"/>
        <v>0</v>
      </c>
      <c r="U59" s="13" t="str">
        <f t="shared" si="10"/>
        <v>DESCRIÇÃO</v>
      </c>
      <c r="V59" s="4" t="str">
        <f ca="1">IF(OR($A59=0,$A59="S",$A59&gt;CFF!$A$9),"",MAX(V$12:OFFSET(V59,-1,0))+1)</f>
        <v/>
      </c>
      <c r="W59" s="9" t="str">
        <f t="shared" si="11"/>
        <v>SINAPI-91931</v>
      </c>
      <c r="X59" s="4" t="e">
        <f t="shared" ca="1" si="12"/>
        <v>#REF!</v>
      </c>
      <c r="Y59" s="121">
        <v>0</v>
      </c>
      <c r="Z59" s="132">
        <f ca="1">ROUND(IF(ISNUMBER(R59),R59,IF(LEFT(R59,3)="BDI",HLOOKUP(R59,DADOS!$T$37:$X$38,2,FALSE),0)),15-11*$X$5)</f>
        <v>0.2303</v>
      </c>
      <c r="AA59" s="4"/>
    </row>
    <row r="60" spans="1:27" x14ac:dyDescent="0.2">
      <c r="A60" t="str">
        <f t="shared" si="0"/>
        <v>S</v>
      </c>
      <c r="B60">
        <f t="shared" si="1"/>
        <v>0</v>
      </c>
      <c r="C60">
        <f t="shared" ca="1" si="2"/>
        <v>3</v>
      </c>
      <c r="D60">
        <f t="shared" ca="1" si="3"/>
        <v>8</v>
      </c>
      <c r="E60">
        <f t="shared" ca="1" si="4"/>
        <v>0</v>
      </c>
      <c r="F60">
        <f t="shared" ca="1" si="5"/>
        <v>0</v>
      </c>
      <c r="G60">
        <f t="shared" ca="1" si="6"/>
        <v>4</v>
      </c>
      <c r="H60">
        <f ca="1">IF(OR($A60="S",$A60=0),0,MATCH(0,OFFSET($B60,1,$A60,ROW($A$111)-ROW($A60)),0))</f>
        <v>0</v>
      </c>
      <c r="I60">
        <f ca="1">IF(OR($A60="S",$A60=0),0,MATCH(OFFSET($B60,0,$A60)+1,OFFSET($B60,1,$A60,ROW($A$111)-ROW($A60)),0))</f>
        <v>0</v>
      </c>
      <c r="J60" s="394" t="s">
        <v>103</v>
      </c>
      <c r="K60" s="162" t="str">
        <f t="shared" ca="1" si="7"/>
        <v>3.8.4.</v>
      </c>
      <c r="L60" s="395" t="s">
        <v>236</v>
      </c>
      <c r="M60" s="395" t="s">
        <v>264</v>
      </c>
      <c r="N60" s="397" t="s">
        <v>106</v>
      </c>
      <c r="O60" s="398" t="s">
        <v>106</v>
      </c>
      <c r="P60" s="399">
        <v>2</v>
      </c>
      <c r="Q60" s="228"/>
      <c r="R60" s="231" t="s">
        <v>7</v>
      </c>
      <c r="S60" s="121">
        <f t="shared" si="8"/>
        <v>0</v>
      </c>
      <c r="T60" s="98">
        <f t="shared" si="9"/>
        <v>0</v>
      </c>
      <c r="U60" s="13" t="str">
        <f t="shared" si="10"/>
        <v>DESCRIÇÃO</v>
      </c>
      <c r="V60" s="4" t="str">
        <f ca="1">IF(OR($A60=0,$A60="S",$A60&gt;CFF!$A$9),"",MAX(V$12:OFFSET(V60,-1,0))+1)</f>
        <v/>
      </c>
      <c r="W60" s="9" t="str">
        <f t="shared" si="11"/>
        <v>SINAPI-93654</v>
      </c>
      <c r="X60" s="4" t="e">
        <f t="shared" ca="1" si="12"/>
        <v>#REF!</v>
      </c>
      <c r="Y60" s="121">
        <v>0</v>
      </c>
      <c r="Z60" s="132">
        <f ca="1">ROUND(IF(ISNUMBER(R60),R60,IF(LEFT(R60,3)="BDI",HLOOKUP(R60,DADOS!$T$37:$X$38,2,FALSE),0)),15-11*$X$5)</f>
        <v>0.2303</v>
      </c>
      <c r="AA60" s="4"/>
    </row>
    <row r="61" spans="1:27" x14ac:dyDescent="0.2">
      <c r="A61" t="str">
        <f t="shared" si="0"/>
        <v>S</v>
      </c>
      <c r="B61">
        <f t="shared" si="1"/>
        <v>0</v>
      </c>
      <c r="C61">
        <f t="shared" ca="1" si="2"/>
        <v>3</v>
      </c>
      <c r="D61">
        <f t="shared" ca="1" si="3"/>
        <v>8</v>
      </c>
      <c r="E61">
        <f t="shared" ca="1" si="4"/>
        <v>0</v>
      </c>
      <c r="F61">
        <f t="shared" ca="1" si="5"/>
        <v>0</v>
      </c>
      <c r="G61">
        <f t="shared" ca="1" si="6"/>
        <v>5</v>
      </c>
      <c r="H61">
        <f ca="1">IF(OR($A61="S",$A61=0),0,MATCH(0,OFFSET($B61,1,$A61,ROW($A$111)-ROW($A61)),0))</f>
        <v>0</v>
      </c>
      <c r="I61">
        <f ca="1">IF(OR($A61="S",$A61=0),0,MATCH(OFFSET($B61,0,$A61)+1,OFFSET($B61,1,$A61,ROW($A$111)-ROW($A61)),0))</f>
        <v>0</v>
      </c>
      <c r="J61" s="394" t="s">
        <v>103</v>
      </c>
      <c r="K61" s="162" t="str">
        <f t="shared" ca="1" si="7"/>
        <v>3.8.5.</v>
      </c>
      <c r="L61" s="395" t="s">
        <v>236</v>
      </c>
      <c r="M61" s="395" t="s">
        <v>265</v>
      </c>
      <c r="N61" s="397" t="s">
        <v>106</v>
      </c>
      <c r="O61" s="398" t="s">
        <v>106</v>
      </c>
      <c r="P61" s="399">
        <v>1</v>
      </c>
      <c r="Q61" s="228"/>
      <c r="R61" s="231" t="s">
        <v>7</v>
      </c>
      <c r="S61" s="121">
        <f t="shared" si="8"/>
        <v>0</v>
      </c>
      <c r="T61" s="98">
        <f t="shared" si="9"/>
        <v>0</v>
      </c>
      <c r="U61" s="13" t="str">
        <f t="shared" si="10"/>
        <v>DESCRIÇÃO</v>
      </c>
      <c r="V61" s="4" t="str">
        <f ca="1">IF(OR($A61=0,$A61="S",$A61&gt;CFF!$A$9),"",MAX(V$12:OFFSET(V61,-1,0))+1)</f>
        <v/>
      </c>
      <c r="W61" s="9" t="str">
        <f t="shared" si="11"/>
        <v>SINAPI-93655</v>
      </c>
      <c r="X61" s="4" t="e">
        <f t="shared" ca="1" si="12"/>
        <v>#REF!</v>
      </c>
      <c r="Y61" s="121">
        <v>0</v>
      </c>
      <c r="Z61" s="132">
        <f ca="1">ROUND(IF(ISNUMBER(R61),R61,IF(LEFT(R61,3)="BDI",HLOOKUP(R61,DADOS!$T$37:$X$38,2,FALSE),0)),15-11*$X$5)</f>
        <v>0.2303</v>
      </c>
      <c r="AA61" s="4"/>
    </row>
    <row r="62" spans="1:27" x14ac:dyDescent="0.2">
      <c r="A62" t="str">
        <f>CHOOSE(1+LOG(1+2*(J62="Meta")+4*(J62="Nível 2")+8*(J62="Nível 3")+16*(J62="Nível 4")+32*(J62="Serviço"),2),0,1,2,3,4,"S")</f>
        <v>S</v>
      </c>
      <c r="B62">
        <f>IF(OR(A62="S",A62=0),0,IF(ISERROR(I62),H62,SMALL(H62:I62,1)))</f>
        <v>0</v>
      </c>
      <c r="C62">
        <f ca="1">IF($A62=1,OFFSET(C62,-1,0)+1,OFFSET(C62,-1,0))</f>
        <v>3</v>
      </c>
      <c r="D62">
        <f ca="1">IF($A62=1,0,IF($A62=2,OFFSET(D62,-1,0)+1,OFFSET(D62,-1,0)))</f>
        <v>8</v>
      </c>
      <c r="E62">
        <f ca="1">IF(AND($A62&lt;=2,$A62&lt;&gt;0),0,IF($A62=3,OFFSET(E62,-1,0)+1,OFFSET(E62,-1,0)))</f>
        <v>0</v>
      </c>
      <c r="F62">
        <f ca="1">IF(AND($A62&lt;=3,$A62&lt;&gt;0),0,IF($A62=4,OFFSET(F62,-1,0)+1,OFFSET(F62,-1,0)))</f>
        <v>0</v>
      </c>
      <c r="G62">
        <f ca="1">IF(AND($A62&lt;=4,$A62&lt;&gt;0),0,IF($A62="S",OFFSET(G62,-1,0)+1,OFFSET(G62,-1,0)))</f>
        <v>6</v>
      </c>
      <c r="H62">
        <f ca="1">IF(OR($A62="S",$A62=0),0,MATCH(0,OFFSET($B62,1,$A62,ROW($A$111)-ROW($A62)),0))</f>
        <v>0</v>
      </c>
      <c r="I62">
        <f ca="1">IF(OR($A62="S",$A62=0),0,MATCH(OFFSET($B62,0,$A62)+1,OFFSET($B62,1,$A62,ROW($A$111)-ROW($A62)),0))</f>
        <v>0</v>
      </c>
      <c r="J62" s="394" t="s">
        <v>103</v>
      </c>
      <c r="K62" s="162" t="str">
        <f ca="1">IF($A62=0,"-",CONCATENATE(C62&amp;".",IF(AND($A$5&gt;=2,$A62&gt;=2),D62&amp;".",""),IF(AND($A$5&gt;=3,$A62&gt;=3),E62&amp;".",""),IF(AND($A$5&gt;=4,$A62&gt;=4),F62&amp;".",""),IF($A62="S",G62&amp;".","")))</f>
        <v>3.8.6.</v>
      </c>
      <c r="L62" s="395" t="s">
        <v>236</v>
      </c>
      <c r="M62" s="395" t="s">
        <v>266</v>
      </c>
      <c r="N62" s="397" t="s">
        <v>106</v>
      </c>
      <c r="O62" s="398" t="s">
        <v>106</v>
      </c>
      <c r="P62" s="399">
        <v>6</v>
      </c>
      <c r="Q62" s="228"/>
      <c r="R62" s="231" t="s">
        <v>7</v>
      </c>
      <c r="S62" s="121">
        <f t="shared" ref="S62:S67" si="36">IF($A62="S",IF($Q$10="Preço Unitário (R$)",PO.CustoUnitario,ROUND(PO.CustoUnitario*(1+$Z62),15-13*$X$6)),0)</f>
        <v>0</v>
      </c>
      <c r="T62" s="98">
        <f t="shared" ref="T62:T67" si="37">IF($A62="S",VTOTAL1,IF($A62=0,0,ROUND(SomaAgrup,15-13*$X$7)))</f>
        <v>0</v>
      </c>
      <c r="U62" s="13" t="str">
        <f>IF($J62="","",IF($N62="","DESCRIÇÃO",IF(AND($J62="Serviço",$O62=""),"UNIDADE",IF($T62&lt;=0,"SEM VALOR",IF(AND($Y62&lt;&gt;"",$Q62&gt;$Y62),"ACIMA REF.","")))))</f>
        <v>DESCRIÇÃO</v>
      </c>
      <c r="V62" s="4" t="str">
        <f ca="1">IF(OR($A62=0,$A62="S",$A62&gt;CFF!$A$9),"",MAX(V$12:OFFSET(V62,-1,0))+1)</f>
        <v/>
      </c>
      <c r="W62" s="9" t="str">
        <f>IF(AND($J62="Serviço",$M62&lt;&gt;""),IF($L62="",$M62,CONCATENATE($L62,"-",$M62)))</f>
        <v>SINAPI-93657</v>
      </c>
      <c r="X62" s="4" t="e">
        <f t="shared" ref="X62:X67" ca="1" si="38">IF(AND(Fonte&lt;&gt;"",Código&lt;&gt;""),MATCH(Fonte&amp;" "&amp;IF(Fonte="sinapi",SUBSTITUTE(SUBSTITUTE(Código,"/00","/"),"/0","/"),Código),INDIRECT("'[Referência "&amp;_xlnm.Database&amp;".xls]Banco'!$a:$a"),0),"X")</f>
        <v>#REF!</v>
      </c>
      <c r="Y62" s="121">
        <v>0</v>
      </c>
      <c r="Z62" s="132">
        <f ca="1">ROUND(IF(ISNUMBER(R62),R62,IF(LEFT(R62,3)="BDI",HLOOKUP(R62,DADOS!$T$37:$X$38,2,FALSE),0)),15-11*$X$5)</f>
        <v>0.2303</v>
      </c>
      <c r="AA62" s="4"/>
    </row>
    <row r="63" spans="1:27" x14ac:dyDescent="0.2">
      <c r="A63" t="str">
        <f>CHOOSE(1+LOG(1+2*(J63="Meta")+4*(J63="Nível 2")+8*(J63="Nível 3")+16*(J63="Nível 4")+32*(J63="Serviço"),2),0,1,2,3,4,"S")</f>
        <v>S</v>
      </c>
      <c r="B63">
        <f>IF(OR(A63="S",A63=0),0,IF(ISERROR(I63),H63,SMALL(H63:I63,1)))</f>
        <v>0</v>
      </c>
      <c r="C63">
        <f ca="1">IF($A63=1,OFFSET(C63,-1,0)+1,OFFSET(C63,-1,0))</f>
        <v>3</v>
      </c>
      <c r="D63">
        <f ca="1">IF($A63=1,0,IF($A63=2,OFFSET(D63,-1,0)+1,OFFSET(D63,-1,0)))</f>
        <v>8</v>
      </c>
      <c r="E63">
        <f ca="1">IF(AND($A63&lt;=2,$A63&lt;&gt;0),0,IF($A63=3,OFFSET(E63,-1,0)+1,OFFSET(E63,-1,0)))</f>
        <v>0</v>
      </c>
      <c r="F63">
        <f ca="1">IF(AND($A63&lt;=3,$A63&lt;&gt;0),0,IF($A63=4,OFFSET(F63,-1,0)+1,OFFSET(F63,-1,0)))</f>
        <v>0</v>
      </c>
      <c r="G63">
        <f ca="1">IF(AND($A63&lt;=4,$A63&lt;&gt;0),0,IF($A63="S",OFFSET(G63,-1,0)+1,OFFSET(G63,-1,0)))</f>
        <v>7</v>
      </c>
      <c r="H63">
        <f ca="1">IF(OR($A63="S",$A63=0),0,MATCH(0,OFFSET($B63,1,$A63,ROW($A$111)-ROW($A63)),0))</f>
        <v>0</v>
      </c>
      <c r="I63">
        <f ca="1">IF(OR($A63="S",$A63=0),0,MATCH(OFFSET($B63,0,$A63)+1,OFFSET($B63,1,$A63,ROW($A$111)-ROW($A63)),0))</f>
        <v>0</v>
      </c>
      <c r="J63" s="394" t="s">
        <v>103</v>
      </c>
      <c r="K63" s="162" t="str">
        <f ca="1">IF($A63=0,"-",CONCATENATE(C63&amp;".",IF(AND($A$5&gt;=2,$A63&gt;=2),D63&amp;".",""),IF(AND($A$5&gt;=3,$A63&gt;=3),E63&amp;".",""),IF(AND($A$5&gt;=4,$A63&gt;=4),F63&amp;".",""),IF($A63="S",G63&amp;".","")))</f>
        <v>3.8.7.</v>
      </c>
      <c r="L63" s="395" t="s">
        <v>236</v>
      </c>
      <c r="M63" s="395" t="s">
        <v>267</v>
      </c>
      <c r="N63" s="397" t="s">
        <v>106</v>
      </c>
      <c r="O63" s="398" t="s">
        <v>106</v>
      </c>
      <c r="P63" s="399">
        <v>1</v>
      </c>
      <c r="Q63" s="228"/>
      <c r="R63" s="231" t="s">
        <v>7</v>
      </c>
      <c r="S63" s="121">
        <f t="shared" si="36"/>
        <v>0</v>
      </c>
      <c r="T63" s="98">
        <f t="shared" si="37"/>
        <v>0</v>
      </c>
      <c r="U63" s="13" t="str">
        <f>IF($J63="","",IF($N63="","DESCRIÇÃO",IF(AND($J63="Serviço",$O63=""),"UNIDADE",IF($T63&lt;=0,"SEM VALOR",IF(AND($Y63&lt;&gt;"",$Q63&gt;$Y63),"ACIMA REF.","")))))</f>
        <v>DESCRIÇÃO</v>
      </c>
      <c r="V63" s="4" t="str">
        <f ca="1">IF(OR($A63=0,$A63="S",$A63&gt;CFF!$A$9),"",MAX(V$12:OFFSET(V63,-1,0))+1)</f>
        <v/>
      </c>
      <c r="W63" s="9" t="str">
        <f>IF(AND($J63="Serviço",$M63&lt;&gt;""),IF($L63="",$M63,CONCATENATE($L63,"-",$M63)))</f>
        <v>SINAPI-93658</v>
      </c>
      <c r="X63" s="4" t="e">
        <f t="shared" ca="1" si="38"/>
        <v>#REF!</v>
      </c>
      <c r="Y63" s="121">
        <v>0</v>
      </c>
      <c r="Z63" s="132">
        <f ca="1">ROUND(IF(ISNUMBER(R63),R63,IF(LEFT(R63,3)="BDI",HLOOKUP(R63,DADOS!$T$37:$X$38,2,FALSE),0)),15-11*$X$5)</f>
        <v>0.2303</v>
      </c>
      <c r="AA63" s="4"/>
    </row>
    <row r="64" spans="1:27" x14ac:dyDescent="0.2">
      <c r="A64">
        <f t="shared" ref="A64:A67" si="39">CHOOSE(1+LOG(1+2*(J64="Meta")+4*(J64="Nível 2")+8*(J64="Nível 3")+16*(J64="Nível 4")+32*(J64="Serviço"),2),0,1,2,3,4,"S")</f>
        <v>2</v>
      </c>
      <c r="B64">
        <f t="shared" ref="B64:B67" ca="1" si="40">IF(OR(A64="S",A64=0),0,IF(ISERROR(I64),H64,SMALL(H64:I64,1)))</f>
        <v>4</v>
      </c>
      <c r="C64">
        <f t="shared" ref="C64:C67" ca="1" si="41">IF($A64=1,OFFSET(C64,-1,0)+1,OFFSET(C64,-1,0))</f>
        <v>3</v>
      </c>
      <c r="D64">
        <f t="shared" ref="D64:D67" ca="1" si="42">IF($A64=1,0,IF($A64=2,OFFSET(D64,-1,0)+1,OFFSET(D64,-1,0)))</f>
        <v>9</v>
      </c>
      <c r="E64">
        <f t="shared" ref="E64:E67" ca="1" si="43">IF(AND($A64&lt;=2,$A64&lt;&gt;0),0,IF($A64=3,OFFSET(E64,-1,0)+1,OFFSET(E64,-1,0)))</f>
        <v>0</v>
      </c>
      <c r="F64">
        <f t="shared" ref="F64:F67" ca="1" si="44">IF(AND($A64&lt;=3,$A64&lt;&gt;0),0,IF($A64=4,OFFSET(F64,-1,0)+1,OFFSET(F64,-1,0)))</f>
        <v>0</v>
      </c>
      <c r="G64">
        <f t="shared" ref="G64:G67" ca="1" si="45">IF(AND($A64&lt;=4,$A64&lt;&gt;0),0,IF($A64="S",OFFSET(G64,-1,0)+1,OFFSET(G64,-1,0)))</f>
        <v>0</v>
      </c>
      <c r="H64">
        <f ca="1">IF(OR($A64="S",$A64=0),0,MATCH(0,OFFSET($B64,1,$A64,ROW($A$111)-ROW($A64)),0))</f>
        <v>4</v>
      </c>
      <c r="I64" t="e">
        <f ca="1">IF(OR($A64="S",$A64=0),0,MATCH(OFFSET($B64,0,$A64)+1,OFFSET($B64,1,$A64,ROW($A$111)-ROW($A64)),0))</f>
        <v>#N/A</v>
      </c>
      <c r="J64" s="394" t="s">
        <v>100</v>
      </c>
      <c r="K64" s="162" t="str">
        <f t="shared" ref="K64:K67" ca="1" si="46">IF($A64=0,"-",CONCATENATE(C64&amp;".",IF(AND($A$5&gt;=2,$A64&gt;=2),D64&amp;".",""),IF(AND($A$5&gt;=3,$A64&gt;=3),E64&amp;".",""),IF(AND($A$5&gt;=4,$A64&gt;=4),F64&amp;".",""),IF($A64="S",G64&amp;".","")))</f>
        <v>3.9.</v>
      </c>
      <c r="L64" s="395"/>
      <c r="M64" s="395"/>
      <c r="N64" s="397" t="s">
        <v>293</v>
      </c>
      <c r="O64" s="398" t="s">
        <v>106</v>
      </c>
      <c r="P64" s="399"/>
      <c r="Q64" s="228"/>
      <c r="R64" s="231" t="s">
        <v>7</v>
      </c>
      <c r="S64" s="121">
        <f t="shared" si="36"/>
        <v>0</v>
      </c>
      <c r="T64" s="98">
        <f t="shared" ca="1" si="37"/>
        <v>0</v>
      </c>
      <c r="U64" s="13" t="str">
        <f t="shared" ref="U64:U67" ca="1" si="47">IF($J64="","",IF($N64="","DESCRIÇÃO",IF(AND($J64="Serviço",$O64=""),"UNIDADE",IF($T64&lt;=0,"SEM VALOR",IF(AND($Y64&lt;&gt;"",$Q64&gt;$Y64),"ACIMA REF.","")))))</f>
        <v>SEM VALOR</v>
      </c>
      <c r="V64" s="4">
        <f ca="1">IF(OR($A64=0,$A64="S",$A64&gt;CFF!$A$9),"",MAX(V$12:OFFSET(V64,-1,0))+1)</f>
        <v>16</v>
      </c>
      <c r="W64" s="9" t="b">
        <f t="shared" ref="W64:W67" si="48">IF(AND($J64="Serviço",$M64&lt;&gt;""),IF($L64="",$M64,CONCATENATE($L64,"-",$M64)))</f>
        <v>0</v>
      </c>
      <c r="X64" s="4" t="str">
        <f t="shared" ca="1" si="38"/>
        <v>X</v>
      </c>
      <c r="Y64" s="121">
        <v>0</v>
      </c>
      <c r="Z64" s="132">
        <f ca="1">ROUND(IF(ISNUMBER(R64),R64,IF(LEFT(R64,3)="BDI",HLOOKUP(R64,DADOS!$T$37:$X$38,2,FALSE),0)),15-11*$X$5)</f>
        <v>0.2303</v>
      </c>
      <c r="AA64" s="4"/>
    </row>
    <row r="65" spans="1:27" x14ac:dyDescent="0.2">
      <c r="A65" t="str">
        <f t="shared" si="39"/>
        <v>S</v>
      </c>
      <c r="B65">
        <f t="shared" si="40"/>
        <v>0</v>
      </c>
      <c r="C65">
        <f t="shared" ca="1" si="41"/>
        <v>3</v>
      </c>
      <c r="D65">
        <f t="shared" ca="1" si="42"/>
        <v>9</v>
      </c>
      <c r="E65">
        <f t="shared" ca="1" si="43"/>
        <v>0</v>
      </c>
      <c r="F65">
        <f t="shared" ca="1" si="44"/>
        <v>0</v>
      </c>
      <c r="G65">
        <f t="shared" ca="1" si="45"/>
        <v>1</v>
      </c>
      <c r="H65">
        <f ca="1">IF(OR($A65="S",$A65=0),0,MATCH(0,OFFSET($B65,1,$A65,ROW($A$111)-ROW($A65)),0))</f>
        <v>0</v>
      </c>
      <c r="I65">
        <f ca="1">IF(OR($A65="S",$A65=0),0,MATCH(OFFSET($B65,0,$A65)+1,OFFSET($B65,1,$A65,ROW($A$111)-ROW($A65)),0))</f>
        <v>0</v>
      </c>
      <c r="J65" s="394" t="s">
        <v>103</v>
      </c>
      <c r="K65" s="162" t="str">
        <f t="shared" ca="1" si="46"/>
        <v>3.9.1.</v>
      </c>
      <c r="L65" s="395" t="s">
        <v>236</v>
      </c>
      <c r="M65" s="395" t="s">
        <v>294</v>
      </c>
      <c r="N65" s="397" t="s">
        <v>106</v>
      </c>
      <c r="O65" s="398" t="s">
        <v>106</v>
      </c>
      <c r="P65" s="399">
        <v>24.78</v>
      </c>
      <c r="Q65" s="228"/>
      <c r="R65" s="231" t="s">
        <v>7</v>
      </c>
      <c r="S65" s="121">
        <f t="shared" si="36"/>
        <v>0</v>
      </c>
      <c r="T65" s="98">
        <f t="shared" si="37"/>
        <v>0</v>
      </c>
      <c r="U65" s="13" t="str">
        <f t="shared" si="47"/>
        <v>DESCRIÇÃO</v>
      </c>
      <c r="V65" s="4" t="str">
        <f ca="1">IF(OR($A65=0,$A65="S",$A65&gt;CFF!$A$9),"",MAX(V$12:OFFSET(V65,-1,0))+1)</f>
        <v/>
      </c>
      <c r="W65" s="9" t="str">
        <f t="shared" si="48"/>
        <v>SINAPI-101727</v>
      </c>
      <c r="X65" s="4" t="e">
        <f t="shared" ca="1" si="38"/>
        <v>#REF!</v>
      </c>
      <c r="Y65" s="121">
        <v>0</v>
      </c>
      <c r="Z65" s="132">
        <f ca="1">ROUND(IF(ISNUMBER(R65),R65,IF(LEFT(R65,3)="BDI",HLOOKUP(R65,DADOS!$T$37:$X$38,2,FALSE),0)),15-11*$X$5)</f>
        <v>0.2303</v>
      </c>
      <c r="AA65" s="4"/>
    </row>
    <row r="66" spans="1:27" x14ac:dyDescent="0.2">
      <c r="A66" t="str">
        <f t="shared" si="39"/>
        <v>S</v>
      </c>
      <c r="B66">
        <f t="shared" si="40"/>
        <v>0</v>
      </c>
      <c r="C66">
        <f t="shared" ca="1" si="41"/>
        <v>3</v>
      </c>
      <c r="D66">
        <f t="shared" ca="1" si="42"/>
        <v>9</v>
      </c>
      <c r="E66">
        <f t="shared" ca="1" si="43"/>
        <v>0</v>
      </c>
      <c r="F66">
        <f t="shared" ca="1" si="44"/>
        <v>0</v>
      </c>
      <c r="G66">
        <f t="shared" ca="1" si="45"/>
        <v>2</v>
      </c>
      <c r="H66">
        <f ca="1">IF(OR($A66="S",$A66=0),0,MATCH(0,OFFSET($B66,1,$A66,ROW($A$111)-ROW($A66)),0))</f>
        <v>0</v>
      </c>
      <c r="I66">
        <f ca="1">IF(OR($A66="S",$A66=0),0,MATCH(OFFSET($B66,0,$A66)+1,OFFSET($B66,1,$A66,ROW($A$111)-ROW($A66)),0))</f>
        <v>0</v>
      </c>
      <c r="J66" s="394" t="s">
        <v>103</v>
      </c>
      <c r="K66" s="162" t="str">
        <f t="shared" ca="1" si="46"/>
        <v>3.9.2.</v>
      </c>
      <c r="L66" s="396" t="s">
        <v>252</v>
      </c>
      <c r="M66" s="396" t="s">
        <v>296</v>
      </c>
      <c r="N66" s="397" t="s">
        <v>106</v>
      </c>
      <c r="O66" s="398" t="s">
        <v>106</v>
      </c>
      <c r="P66" s="399">
        <v>150</v>
      </c>
      <c r="Q66" s="228"/>
      <c r="R66" s="231" t="s">
        <v>7</v>
      </c>
      <c r="S66" s="121">
        <f t="shared" si="36"/>
        <v>0</v>
      </c>
      <c r="T66" s="98">
        <f t="shared" si="37"/>
        <v>0</v>
      </c>
      <c r="U66" s="13" t="str">
        <f t="shared" si="47"/>
        <v>DESCRIÇÃO</v>
      </c>
      <c r="V66" s="4" t="str">
        <f ca="1">IF(OR($A66=0,$A66="S",$A66&gt;CFF!$A$9),"",MAX(V$12:OFFSET(V66,-1,0))+1)</f>
        <v/>
      </c>
      <c r="W66" s="9" t="str">
        <f t="shared" si="48"/>
        <v>SINAPI-I-1381</v>
      </c>
      <c r="X66" s="4" t="e">
        <f t="shared" ca="1" si="38"/>
        <v>#REF!</v>
      </c>
      <c r="Y66" s="121">
        <v>0</v>
      </c>
      <c r="Z66" s="132">
        <f ca="1">ROUND(IF(ISNUMBER(R66),R66,IF(LEFT(R66,3)="BDI",HLOOKUP(R66,DADOS!$T$37:$X$38,2,FALSE),0)),15-11*$X$5)</f>
        <v>0.2303</v>
      </c>
      <c r="AA66" s="4"/>
    </row>
    <row r="67" spans="1:27" x14ac:dyDescent="0.2">
      <c r="A67" t="str">
        <f t="shared" si="39"/>
        <v>S</v>
      </c>
      <c r="B67">
        <f t="shared" si="40"/>
        <v>0</v>
      </c>
      <c r="C67">
        <f t="shared" ca="1" si="41"/>
        <v>3</v>
      </c>
      <c r="D67">
        <f t="shared" ca="1" si="42"/>
        <v>9</v>
      </c>
      <c r="E67">
        <f t="shared" ca="1" si="43"/>
        <v>0</v>
      </c>
      <c r="F67">
        <f t="shared" ca="1" si="44"/>
        <v>0</v>
      </c>
      <c r="G67">
        <f t="shared" ca="1" si="45"/>
        <v>3</v>
      </c>
      <c r="H67">
        <f ca="1">IF(OR($A67="S",$A67=0),0,MATCH(0,OFFSET($B67,1,$A67,ROW($A$111)-ROW($A67)),0))</f>
        <v>0</v>
      </c>
      <c r="I67">
        <f ca="1">IF(OR($A67="S",$A67=0),0,MATCH(OFFSET($B67,0,$A67)+1,OFFSET($B67,1,$A67,ROW($A$111)-ROW($A67)),0))</f>
        <v>0</v>
      </c>
      <c r="J67" s="394" t="s">
        <v>103</v>
      </c>
      <c r="K67" s="162" t="str">
        <f t="shared" ca="1" si="46"/>
        <v>3.9.3.</v>
      </c>
      <c r="L67" s="396" t="s">
        <v>236</v>
      </c>
      <c r="M67" s="396" t="s">
        <v>297</v>
      </c>
      <c r="N67" s="397" t="s">
        <v>106</v>
      </c>
      <c r="O67" s="398" t="s">
        <v>106</v>
      </c>
      <c r="P67" s="399">
        <v>10</v>
      </c>
      <c r="Q67" s="228"/>
      <c r="R67" s="231" t="s">
        <v>7</v>
      </c>
      <c r="S67" s="121">
        <f t="shared" si="36"/>
        <v>0</v>
      </c>
      <c r="T67" s="98">
        <f t="shared" si="37"/>
        <v>0</v>
      </c>
      <c r="U67" s="13" t="str">
        <f t="shared" si="47"/>
        <v>DESCRIÇÃO</v>
      </c>
      <c r="V67" s="4" t="str">
        <f ca="1">IF(OR($A67=0,$A67="S",$A67&gt;CFF!$A$9),"",MAX(V$12:OFFSET(V67,-1,0))+1)</f>
        <v/>
      </c>
      <c r="W67" s="9" t="str">
        <f t="shared" si="48"/>
        <v>SINAPI-88316</v>
      </c>
      <c r="X67" s="4" t="e">
        <f t="shared" ca="1" si="38"/>
        <v>#REF!</v>
      </c>
      <c r="Y67" s="121">
        <v>0</v>
      </c>
      <c r="Z67" s="132">
        <f ca="1">ROUND(IF(ISNUMBER(R67),R67,IF(LEFT(R67,3)="BDI",HLOOKUP(R67,DADOS!$T$37:$X$38,2,FALSE),0)),15-11*$X$5)</f>
        <v>0.2303</v>
      </c>
      <c r="AA67" s="4"/>
    </row>
    <row r="68" spans="1:27" x14ac:dyDescent="0.2">
      <c r="A68">
        <f t="shared" si="0"/>
        <v>1</v>
      </c>
      <c r="B68">
        <f t="shared" ca="1" si="1"/>
        <v>43</v>
      </c>
      <c r="C68">
        <f t="shared" ca="1" si="2"/>
        <v>4</v>
      </c>
      <c r="D68">
        <f t="shared" ca="1" si="3"/>
        <v>0</v>
      </c>
      <c r="E68">
        <f t="shared" ca="1" si="4"/>
        <v>0</v>
      </c>
      <c r="F68">
        <f t="shared" ca="1" si="5"/>
        <v>0</v>
      </c>
      <c r="G68">
        <f t="shared" ca="1" si="6"/>
        <v>0</v>
      </c>
      <c r="H68">
        <f ca="1">IF(OR($A68="S",$A68=0),0,MATCH(0,OFFSET($B68,1,$A68,ROW($A$111)-ROW($A68)),0))</f>
        <v>43</v>
      </c>
      <c r="I68" t="e">
        <f ca="1">IF(OR($A68="S",$A68=0),0,MATCH(OFFSET($B68,0,$A68)+1,OFFSET($B68,1,$A68,ROW($A$111)-ROW($A68)),0))</f>
        <v>#N/A</v>
      </c>
      <c r="J68" s="394" t="s">
        <v>99</v>
      </c>
      <c r="K68" s="162" t="str">
        <f t="shared" ca="1" si="7"/>
        <v>4.</v>
      </c>
      <c r="L68" s="395"/>
      <c r="M68" s="395"/>
      <c r="N68" s="397" t="s">
        <v>245</v>
      </c>
      <c r="O68" s="398" t="s">
        <v>106</v>
      </c>
      <c r="P68" s="399">
        <v>0</v>
      </c>
      <c r="Q68" s="228"/>
      <c r="R68" s="231" t="s">
        <v>7</v>
      </c>
      <c r="S68" s="121">
        <f t="shared" si="8"/>
        <v>0</v>
      </c>
      <c r="T68" s="98">
        <f t="shared" ca="1" si="9"/>
        <v>0</v>
      </c>
      <c r="U68" s="13" t="str">
        <f t="shared" ca="1" si="10"/>
        <v>SEM VALOR</v>
      </c>
      <c r="V68" s="4">
        <f ca="1">IF(OR($A68=0,$A68="S",$A68&gt;CFF!$A$9),"",MAX(V$12:OFFSET(V68,-1,0))+1)</f>
        <v>17</v>
      </c>
      <c r="W68" s="9" t="b">
        <f t="shared" si="11"/>
        <v>0</v>
      </c>
      <c r="X68" s="4" t="str">
        <f t="shared" ca="1" si="12"/>
        <v>X</v>
      </c>
      <c r="Y68" s="121">
        <v>0</v>
      </c>
      <c r="Z68" s="132">
        <f ca="1">ROUND(IF(ISNUMBER(R68),R68,IF(LEFT(R68,3)="BDI",HLOOKUP(R68,DADOS!$T$37:$X$38,2,FALSE),0)),15-11*$X$5)</f>
        <v>0.2303</v>
      </c>
      <c r="AA68" s="4"/>
    </row>
    <row r="69" spans="1:27" x14ac:dyDescent="0.2">
      <c r="A69">
        <f t="shared" si="0"/>
        <v>2</v>
      </c>
      <c r="B69">
        <f t="shared" ca="1" si="1"/>
        <v>5</v>
      </c>
      <c r="C69">
        <f t="shared" ca="1" si="2"/>
        <v>4</v>
      </c>
      <c r="D69">
        <f t="shared" ca="1" si="3"/>
        <v>1</v>
      </c>
      <c r="E69">
        <f t="shared" ca="1" si="4"/>
        <v>0</v>
      </c>
      <c r="F69">
        <f t="shared" ca="1" si="5"/>
        <v>0</v>
      </c>
      <c r="G69">
        <f t="shared" ca="1" si="6"/>
        <v>0</v>
      </c>
      <c r="H69">
        <f ca="1">IF(OR($A69="S",$A69=0),0,MATCH(0,OFFSET($B69,1,$A69,ROW($A$111)-ROW($A69)),0))</f>
        <v>42</v>
      </c>
      <c r="I69">
        <f ca="1">IF(OR($A69="S",$A69=0),0,MATCH(OFFSET($B69,0,$A69)+1,OFFSET($B69,1,$A69,ROW($A$111)-ROW($A69)),0))</f>
        <v>5</v>
      </c>
      <c r="J69" s="394" t="s">
        <v>100</v>
      </c>
      <c r="K69" s="162" t="str">
        <f t="shared" ca="1" si="7"/>
        <v>4.1.</v>
      </c>
      <c r="L69" s="395"/>
      <c r="M69" s="395"/>
      <c r="N69" s="397" t="s">
        <v>299</v>
      </c>
      <c r="O69" s="398" t="s">
        <v>106</v>
      </c>
      <c r="P69" s="399"/>
      <c r="Q69" s="228"/>
      <c r="R69" s="231" t="s">
        <v>7</v>
      </c>
      <c r="S69" s="121">
        <f t="shared" si="8"/>
        <v>0</v>
      </c>
      <c r="T69" s="98">
        <f t="shared" ca="1" si="9"/>
        <v>0</v>
      </c>
      <c r="U69" s="13" t="str">
        <f t="shared" ca="1" si="10"/>
        <v>SEM VALOR</v>
      </c>
      <c r="V69" s="4">
        <f ca="1">IF(OR($A69=0,$A69="S",$A69&gt;CFF!$A$9),"",MAX(V$12:OFFSET(V69,-1,0))+1)</f>
        <v>18</v>
      </c>
      <c r="W69" s="9" t="b">
        <f t="shared" si="11"/>
        <v>0</v>
      </c>
      <c r="X69" s="4" t="str">
        <f t="shared" ca="1" si="12"/>
        <v>X</v>
      </c>
      <c r="Y69" s="121">
        <v>0</v>
      </c>
      <c r="Z69" s="132">
        <f ca="1">ROUND(IF(ISNUMBER(R69),R69,IF(LEFT(R69,3)="BDI",HLOOKUP(R69,DADOS!$T$37:$X$38,2,FALSE),0)),15-11*$X$5)</f>
        <v>0.2303</v>
      </c>
      <c r="AA69" s="4"/>
    </row>
    <row r="70" spans="1:27" x14ac:dyDescent="0.2">
      <c r="A70" t="str">
        <f t="shared" si="0"/>
        <v>S</v>
      </c>
      <c r="B70">
        <f t="shared" si="1"/>
        <v>0</v>
      </c>
      <c r="C70">
        <f t="shared" ca="1" si="2"/>
        <v>4</v>
      </c>
      <c r="D70">
        <f t="shared" ca="1" si="3"/>
        <v>1</v>
      </c>
      <c r="E70">
        <f t="shared" ca="1" si="4"/>
        <v>0</v>
      </c>
      <c r="F70">
        <f t="shared" ca="1" si="5"/>
        <v>0</v>
      </c>
      <c r="G70">
        <f t="shared" ca="1" si="6"/>
        <v>1</v>
      </c>
      <c r="H70">
        <f ca="1">IF(OR($A70="S",$A70=0),0,MATCH(0,OFFSET($B70,1,$A70,ROW($A$111)-ROW($A70)),0))</f>
        <v>0</v>
      </c>
      <c r="I70">
        <f ca="1">IF(OR($A70="S",$A70=0),0,MATCH(OFFSET($B70,0,$A70)+1,OFFSET($B70,1,$A70,ROW($A$111)-ROW($A70)),0))</f>
        <v>0</v>
      </c>
      <c r="J70" s="394" t="s">
        <v>103</v>
      </c>
      <c r="K70" s="162" t="str">
        <f t="shared" ca="1" si="7"/>
        <v>4.1.1.</v>
      </c>
      <c r="L70" s="395" t="s">
        <v>236</v>
      </c>
      <c r="M70" s="395" t="s">
        <v>302</v>
      </c>
      <c r="N70" s="397" t="s">
        <v>106</v>
      </c>
      <c r="O70" s="398" t="s">
        <v>106</v>
      </c>
      <c r="P70" s="399">
        <v>34.119999999999997</v>
      </c>
      <c r="Q70" s="228"/>
      <c r="R70" s="231" t="s">
        <v>7</v>
      </c>
      <c r="S70" s="121">
        <f t="shared" si="8"/>
        <v>0</v>
      </c>
      <c r="T70" s="98">
        <f t="shared" si="9"/>
        <v>0</v>
      </c>
      <c r="U70" s="13" t="str">
        <f t="shared" si="10"/>
        <v>DESCRIÇÃO</v>
      </c>
      <c r="V70" s="4" t="str">
        <f ca="1">IF(OR($A70=0,$A70="S",$A70&gt;CFF!$A$9),"",MAX(V$12:OFFSET(V70,-1,0))+1)</f>
        <v/>
      </c>
      <c r="W70" s="9" t="str">
        <f t="shared" si="11"/>
        <v>SINAPI-97638</v>
      </c>
      <c r="X70" s="4" t="e">
        <f t="shared" ca="1" si="12"/>
        <v>#REF!</v>
      </c>
      <c r="Y70" s="121">
        <v>0</v>
      </c>
      <c r="Z70" s="132">
        <f ca="1">ROUND(IF(ISNUMBER(R70),R70,IF(LEFT(R70,3)="BDI",HLOOKUP(R70,DADOS!$T$37:$X$38,2,FALSE),0)),15-11*$X$5)</f>
        <v>0.2303</v>
      </c>
      <c r="AA70" s="4"/>
    </row>
    <row r="71" spans="1:27" x14ac:dyDescent="0.2">
      <c r="A71" t="str">
        <f t="shared" si="0"/>
        <v>S</v>
      </c>
      <c r="B71">
        <f t="shared" si="1"/>
        <v>0</v>
      </c>
      <c r="C71">
        <f t="shared" ca="1" si="2"/>
        <v>4</v>
      </c>
      <c r="D71">
        <f t="shared" ca="1" si="3"/>
        <v>1</v>
      </c>
      <c r="E71">
        <f t="shared" ca="1" si="4"/>
        <v>0</v>
      </c>
      <c r="F71">
        <f t="shared" ca="1" si="5"/>
        <v>0</v>
      </c>
      <c r="G71">
        <f t="shared" ca="1" si="6"/>
        <v>2</v>
      </c>
      <c r="H71">
        <f ca="1">IF(OR($A71="S",$A71=0),0,MATCH(0,OFFSET($B71,1,$A71,ROW($A$111)-ROW($A71)),0))</f>
        <v>0</v>
      </c>
      <c r="I71">
        <f ca="1">IF(OR($A71="S",$A71=0),0,MATCH(OFFSET($B71,0,$A71)+1,OFFSET($B71,1,$A71,ROW($A$111)-ROW($A71)),0))</f>
        <v>0</v>
      </c>
      <c r="J71" s="394" t="s">
        <v>103</v>
      </c>
      <c r="K71" s="162" t="str">
        <f t="shared" ca="1" si="7"/>
        <v>4.1.2.</v>
      </c>
      <c r="L71" s="395" t="s">
        <v>236</v>
      </c>
      <c r="M71" s="395" t="s">
        <v>303</v>
      </c>
      <c r="N71" s="397" t="s">
        <v>106</v>
      </c>
      <c r="O71" s="398" t="s">
        <v>106</v>
      </c>
      <c r="P71" s="399">
        <v>4</v>
      </c>
      <c r="Q71" s="228"/>
      <c r="R71" s="231" t="s">
        <v>7</v>
      </c>
      <c r="S71" s="121">
        <f t="shared" si="8"/>
        <v>0</v>
      </c>
      <c r="T71" s="98">
        <f t="shared" si="9"/>
        <v>0</v>
      </c>
      <c r="U71" s="13" t="str">
        <f t="shared" si="10"/>
        <v>DESCRIÇÃO</v>
      </c>
      <c r="V71" s="4" t="str">
        <f ca="1">IF(OR($A71=0,$A71="S",$A71&gt;CFF!$A$9),"",MAX(V$12:OFFSET(V71,-1,0))+1)</f>
        <v/>
      </c>
      <c r="W71" s="9" t="str">
        <f t="shared" si="11"/>
        <v>SINAPI-91380</v>
      </c>
      <c r="X71" s="4" t="e">
        <f t="shared" ca="1" si="12"/>
        <v>#REF!</v>
      </c>
      <c r="Y71" s="121">
        <v>0</v>
      </c>
      <c r="Z71" s="132">
        <f ca="1">ROUND(IF(ISNUMBER(R71),R71,IF(LEFT(R71,3)="BDI",HLOOKUP(R71,DADOS!$T$37:$X$38,2,FALSE),0)),15-11*$X$5)</f>
        <v>0.2303</v>
      </c>
      <c r="AA71" s="4"/>
    </row>
    <row r="72" spans="1:27" x14ac:dyDescent="0.2">
      <c r="A72" t="str">
        <f t="shared" si="0"/>
        <v>S</v>
      </c>
      <c r="B72">
        <f t="shared" si="1"/>
        <v>0</v>
      </c>
      <c r="C72">
        <f t="shared" ca="1" si="2"/>
        <v>4</v>
      </c>
      <c r="D72">
        <f t="shared" ca="1" si="3"/>
        <v>1</v>
      </c>
      <c r="E72">
        <f t="shared" ca="1" si="4"/>
        <v>0</v>
      </c>
      <c r="F72">
        <f t="shared" ca="1" si="5"/>
        <v>0</v>
      </c>
      <c r="G72">
        <f t="shared" ca="1" si="6"/>
        <v>3</v>
      </c>
      <c r="H72">
        <f ca="1">IF(OR($A72="S",$A72=0),0,MATCH(0,OFFSET($B72,1,$A72,ROW($A$111)-ROW($A72)),0))</f>
        <v>0</v>
      </c>
      <c r="I72">
        <f ca="1">IF(OR($A72="S",$A72=0),0,MATCH(OFFSET($B72,0,$A72)+1,OFFSET($B72,1,$A72,ROW($A$111)-ROW($A72)),0))</f>
        <v>0</v>
      </c>
      <c r="J72" s="394" t="s">
        <v>103</v>
      </c>
      <c r="K72" s="162" t="str">
        <f t="shared" ca="1" si="7"/>
        <v>4.1.3.</v>
      </c>
      <c r="L72" s="395" t="s">
        <v>260</v>
      </c>
      <c r="M72" s="395" t="s">
        <v>304</v>
      </c>
      <c r="N72" s="397" t="s">
        <v>106</v>
      </c>
      <c r="O72" s="398" t="s">
        <v>106</v>
      </c>
      <c r="P72" s="399">
        <v>29.71</v>
      </c>
      <c r="Q72" s="228"/>
      <c r="R72" s="231" t="s">
        <v>7</v>
      </c>
      <c r="S72" s="121">
        <f t="shared" si="8"/>
        <v>0</v>
      </c>
      <c r="T72" s="98">
        <f t="shared" si="9"/>
        <v>0</v>
      </c>
      <c r="U72" s="13" t="str">
        <f t="shared" si="10"/>
        <v>DESCRIÇÃO</v>
      </c>
      <c r="V72" s="4" t="str">
        <f ca="1">IF(OR($A72=0,$A72="S",$A72&gt;CFF!$A$9),"",MAX(V$12:OFFSET(V72,-1,0))+1)</f>
        <v/>
      </c>
      <c r="W72" s="9" t="str">
        <f t="shared" si="11"/>
        <v>COTAÇÃO-05</v>
      </c>
      <c r="X72" s="4" t="e">
        <f t="shared" ca="1" si="12"/>
        <v>#REF!</v>
      </c>
      <c r="Y72" s="121">
        <v>0</v>
      </c>
      <c r="Z72" s="132">
        <f ca="1">ROUND(IF(ISNUMBER(R72),R72,IF(LEFT(R72,3)="BDI",HLOOKUP(R72,DADOS!$T$37:$X$38,2,FALSE),0)),15-11*$X$5)</f>
        <v>0.2303</v>
      </c>
      <c r="AA72" s="4"/>
    </row>
    <row r="73" spans="1:27" x14ac:dyDescent="0.2">
      <c r="A73" t="str">
        <f t="shared" si="0"/>
        <v>S</v>
      </c>
      <c r="B73">
        <f t="shared" si="1"/>
        <v>0</v>
      </c>
      <c r="C73">
        <f t="shared" ca="1" si="2"/>
        <v>4</v>
      </c>
      <c r="D73">
        <f t="shared" ca="1" si="3"/>
        <v>1</v>
      </c>
      <c r="E73">
        <f t="shared" ca="1" si="4"/>
        <v>0</v>
      </c>
      <c r="F73">
        <f t="shared" ca="1" si="5"/>
        <v>0</v>
      </c>
      <c r="G73">
        <f t="shared" ca="1" si="6"/>
        <v>4</v>
      </c>
      <c r="H73">
        <f ca="1">IF(OR($A73="S",$A73=0),0,MATCH(0,OFFSET($B73,1,$A73,ROW($A$111)-ROW($A73)),0))</f>
        <v>0</v>
      </c>
      <c r="I73">
        <f ca="1">IF(OR($A73="S",$A73=0),0,MATCH(OFFSET($B73,0,$A73)+1,OFFSET($B73,1,$A73,ROW($A$111)-ROW($A73)),0))</f>
        <v>0</v>
      </c>
      <c r="J73" s="394" t="s">
        <v>103</v>
      </c>
      <c r="K73" s="162" t="str">
        <f t="shared" ca="1" si="7"/>
        <v>4.1.4.</v>
      </c>
      <c r="L73" s="395" t="s">
        <v>260</v>
      </c>
      <c r="M73" s="395" t="s">
        <v>305</v>
      </c>
      <c r="N73" s="397" t="s">
        <v>106</v>
      </c>
      <c r="O73" s="398" t="s">
        <v>106</v>
      </c>
      <c r="P73" s="399">
        <v>3</v>
      </c>
      <c r="Q73" s="228"/>
      <c r="R73" s="231" t="s">
        <v>7</v>
      </c>
      <c r="S73" s="121">
        <f t="shared" si="8"/>
        <v>0</v>
      </c>
      <c r="T73" s="98">
        <f t="shared" si="9"/>
        <v>0</v>
      </c>
      <c r="U73" s="13" t="str">
        <f t="shared" si="10"/>
        <v>DESCRIÇÃO</v>
      </c>
      <c r="V73" s="4" t="str">
        <f ca="1">IF(OR($A73=0,$A73="S",$A73&gt;CFF!$A$9),"",MAX(V$12:OFFSET(V73,-1,0))+1)</f>
        <v/>
      </c>
      <c r="W73" s="9" t="str">
        <f t="shared" si="11"/>
        <v>COTAÇÃO-06</v>
      </c>
      <c r="X73" s="4" t="e">
        <f t="shared" ca="1" si="12"/>
        <v>#REF!</v>
      </c>
      <c r="Y73" s="121">
        <v>0</v>
      </c>
      <c r="Z73" s="132">
        <f ca="1">ROUND(IF(ISNUMBER(R73),R73,IF(LEFT(R73,3)="BDI",HLOOKUP(R73,DADOS!$T$37:$X$38,2,FALSE),0)),15-11*$X$5)</f>
        <v>0.2303</v>
      </c>
      <c r="AA73" s="4"/>
    </row>
    <row r="74" spans="1:27" x14ac:dyDescent="0.2">
      <c r="A74">
        <f t="shared" si="0"/>
        <v>2</v>
      </c>
      <c r="B74">
        <f t="shared" ca="1" si="1"/>
        <v>6</v>
      </c>
      <c r="C74">
        <f t="shared" ca="1" si="2"/>
        <v>4</v>
      </c>
      <c r="D74">
        <f t="shared" ca="1" si="3"/>
        <v>2</v>
      </c>
      <c r="E74">
        <f t="shared" ca="1" si="4"/>
        <v>0</v>
      </c>
      <c r="F74">
        <f t="shared" ca="1" si="5"/>
        <v>0</v>
      </c>
      <c r="G74">
        <f t="shared" ca="1" si="6"/>
        <v>0</v>
      </c>
      <c r="H74">
        <f ca="1">IF(OR($A74="S",$A74=0),0,MATCH(0,OFFSET($B74,1,$A74,ROW($A$111)-ROW($A74)),0))</f>
        <v>37</v>
      </c>
      <c r="I74">
        <f ca="1">IF(OR($A74="S",$A74=0),0,MATCH(OFFSET($B74,0,$A74)+1,OFFSET($B74,1,$A74,ROW($A$111)-ROW($A74)),0))</f>
        <v>6</v>
      </c>
      <c r="J74" s="394" t="s">
        <v>100</v>
      </c>
      <c r="K74" s="162" t="str">
        <f t="shared" ca="1" si="7"/>
        <v>4.2.</v>
      </c>
      <c r="L74" s="395"/>
      <c r="M74" s="395"/>
      <c r="N74" s="397" t="s">
        <v>239</v>
      </c>
      <c r="O74" s="398" t="s">
        <v>106</v>
      </c>
      <c r="P74" s="399"/>
      <c r="Q74" s="228"/>
      <c r="R74" s="231" t="s">
        <v>7</v>
      </c>
      <c r="S74" s="121">
        <f t="shared" si="8"/>
        <v>0</v>
      </c>
      <c r="T74" s="98">
        <f t="shared" ca="1" si="9"/>
        <v>0</v>
      </c>
      <c r="U74" s="13" t="str">
        <f t="shared" ca="1" si="10"/>
        <v>SEM VALOR</v>
      </c>
      <c r="V74" s="4">
        <f ca="1">IF(OR($A74=0,$A74="S",$A74&gt;CFF!$A$9),"",MAX(V$12:OFFSET(V74,-1,0))+1)</f>
        <v>19</v>
      </c>
      <c r="W74" s="9" t="b">
        <f t="shared" si="11"/>
        <v>0</v>
      </c>
      <c r="X74" s="4" t="str">
        <f t="shared" ca="1" si="12"/>
        <v>X</v>
      </c>
      <c r="Y74" s="121">
        <v>0</v>
      </c>
      <c r="Z74" s="132">
        <f ca="1">ROUND(IF(ISNUMBER(R74),R74,IF(LEFT(R74,3)="BDI",HLOOKUP(R74,DADOS!$T$37:$X$38,2,FALSE),0)),15-11*$X$5)</f>
        <v>0.2303</v>
      </c>
      <c r="AA74" s="4"/>
    </row>
    <row r="75" spans="1:27" x14ac:dyDescent="0.2">
      <c r="A75" t="str">
        <f>CHOOSE(1+LOG(1+2*(J75="Meta")+4*(J75="Nível 2")+8*(J75="Nível 3")+16*(J75="Nível 4")+32*(J75="Serviço"),2),0,1,2,3,4,"S")</f>
        <v>S</v>
      </c>
      <c r="B75">
        <f>IF(OR(A75="S",A75=0),0,IF(ISERROR(I75),H75,SMALL(H75:I75,1)))</f>
        <v>0</v>
      </c>
      <c r="C75">
        <f ca="1">IF($A75=1,OFFSET(C75,-1,0)+1,OFFSET(C75,-1,0))</f>
        <v>4</v>
      </c>
      <c r="D75">
        <f ca="1">IF($A75=1,0,IF($A75=2,OFFSET(D75,-1,0)+1,OFFSET(D75,-1,0)))</f>
        <v>2</v>
      </c>
      <c r="E75">
        <f ca="1">IF(AND($A75&lt;=2,$A75&lt;&gt;0),0,IF($A75=3,OFFSET(E75,-1,0)+1,OFFSET(E75,-1,0)))</f>
        <v>0</v>
      </c>
      <c r="F75">
        <f ca="1">IF(AND($A75&lt;=3,$A75&lt;&gt;0),0,IF($A75=4,OFFSET(F75,-1,0)+1,OFFSET(F75,-1,0)))</f>
        <v>0</v>
      </c>
      <c r="G75">
        <f ca="1">IF(AND($A75&lt;=4,$A75&lt;&gt;0),0,IF($A75="S",OFFSET(G75,-1,0)+1,OFFSET(G75,-1,0)))</f>
        <v>1</v>
      </c>
      <c r="H75">
        <f ca="1">IF(OR($A75="S",$A75=0),0,MATCH(0,OFFSET($B75,1,$A75,ROW($A$111)-ROW($A75)),0))</f>
        <v>0</v>
      </c>
      <c r="I75">
        <f ca="1">IF(OR($A75="S",$A75=0),0,MATCH(OFFSET($B75,0,$A75)+1,OFFSET($B75,1,$A75,ROW($A$111)-ROW($A75)),0))</f>
        <v>0</v>
      </c>
      <c r="J75" s="394" t="s">
        <v>103</v>
      </c>
      <c r="K75" s="162" t="str">
        <f ca="1">IF($A75=0,"-",CONCATENATE(C75&amp;".",IF(AND($A$5&gt;=2,$A75&gt;=2),D75&amp;".",""),IF(AND($A$5&gt;=3,$A75&gt;=3),E75&amp;".",""),IF(AND($A$5&gt;=4,$A75&gt;=4),F75&amp;".",""),IF($A75="S",G75&amp;".","")))</f>
        <v>4.2.1.</v>
      </c>
      <c r="L75" s="395" t="s">
        <v>236</v>
      </c>
      <c r="M75" s="395" t="s">
        <v>248</v>
      </c>
      <c r="N75" s="397" t="s">
        <v>106</v>
      </c>
      <c r="O75" s="398" t="s">
        <v>106</v>
      </c>
      <c r="P75" s="399">
        <v>9</v>
      </c>
      <c r="Q75" s="228"/>
      <c r="R75" s="231" t="s">
        <v>7</v>
      </c>
      <c r="S75" s="121">
        <f>IF($A75="S",IF($Q$10="Preço Unitário (R$)",PO.CustoUnitario,ROUND(PO.CustoUnitario*(1+$Z75),15-13*$X$6)),0)</f>
        <v>0</v>
      </c>
      <c r="T75" s="98">
        <f>IF($A75="S",VTOTAL1,IF($A75=0,0,ROUND(SomaAgrup,15-13*$X$7)))</f>
        <v>0</v>
      </c>
      <c r="U75" s="13" t="str">
        <f>IF($J75="","",IF($N75="","DESCRIÇÃO",IF(AND($J75="Serviço",$O75=""),"UNIDADE",IF($T75&lt;=0,"SEM VALOR",IF(AND($Y75&lt;&gt;"",$Q75&gt;$Y75),"ACIMA REF.","")))))</f>
        <v>DESCRIÇÃO</v>
      </c>
      <c r="V75" s="4" t="str">
        <f ca="1">IF(OR($A75=0,$A75="S",$A75&gt;CFF!$A$9),"",MAX(V$12:OFFSET(V75,-1,0))+1)</f>
        <v/>
      </c>
      <c r="W75" s="9" t="str">
        <f>IF(AND($J75="Serviço",$M75&lt;&gt;""),IF($L75="",$M75,CONCATENATE($L75,"-",$M75)))</f>
        <v>SINAPI-97652</v>
      </c>
      <c r="X75" s="4" t="e">
        <f ca="1">IF(AND(Fonte&lt;&gt;"",Código&lt;&gt;""),MATCH(Fonte&amp;" "&amp;IF(Fonte="sinapi",SUBSTITUTE(SUBSTITUTE(Código,"/00","/"),"/0","/"),Código),INDIRECT("'[Referência "&amp;_xlnm.Database&amp;".xls]Banco'!$a:$a"),0),"X")</f>
        <v>#REF!</v>
      </c>
      <c r="Y75" s="121">
        <v>0</v>
      </c>
      <c r="Z75" s="132">
        <f ca="1">ROUND(IF(ISNUMBER(R75),R75,IF(LEFT(R75,3)="BDI",HLOOKUP(R75,DADOS!$T$37:$X$38,2,FALSE),0)),15-11*$X$5)</f>
        <v>0.2303</v>
      </c>
      <c r="AA75" s="4"/>
    </row>
    <row r="76" spans="1:27" x14ac:dyDescent="0.2">
      <c r="A76" t="str">
        <f t="shared" si="0"/>
        <v>S</v>
      </c>
      <c r="B76">
        <f t="shared" si="1"/>
        <v>0</v>
      </c>
      <c r="C76">
        <f t="shared" ca="1" si="2"/>
        <v>4</v>
      </c>
      <c r="D76">
        <f t="shared" ca="1" si="3"/>
        <v>2</v>
      </c>
      <c r="E76">
        <f t="shared" ca="1" si="4"/>
        <v>0</v>
      </c>
      <c r="F76">
        <f t="shared" ca="1" si="5"/>
        <v>0</v>
      </c>
      <c r="G76">
        <f t="shared" ca="1" si="6"/>
        <v>2</v>
      </c>
      <c r="H76">
        <f ca="1">IF(OR($A76="S",$A76=0),0,MATCH(0,OFFSET($B76,1,$A76,ROW($A$111)-ROW($A76)),0))</f>
        <v>0</v>
      </c>
      <c r="I76">
        <f ca="1">IF(OR($A76="S",$A76=0),0,MATCH(OFFSET($B76,0,$A76)+1,OFFSET($B76,1,$A76,ROW($A$111)-ROW($A76)),0))</f>
        <v>0</v>
      </c>
      <c r="J76" s="394" t="s">
        <v>103</v>
      </c>
      <c r="K76" s="162" t="str">
        <f t="shared" ca="1" si="7"/>
        <v>4.2.2.</v>
      </c>
      <c r="L76" s="395" t="s">
        <v>236</v>
      </c>
      <c r="M76" s="395" t="s">
        <v>253</v>
      </c>
      <c r="N76" s="397" t="s">
        <v>106</v>
      </c>
      <c r="O76" s="398" t="s">
        <v>106</v>
      </c>
      <c r="P76" s="399">
        <v>190.84</v>
      </c>
      <c r="Q76" s="228"/>
      <c r="R76" s="231" t="s">
        <v>7</v>
      </c>
      <c r="S76" s="121">
        <f t="shared" si="8"/>
        <v>0</v>
      </c>
      <c r="T76" s="98">
        <f t="shared" si="9"/>
        <v>0</v>
      </c>
      <c r="U76" s="13" t="str">
        <f t="shared" si="10"/>
        <v>DESCRIÇÃO</v>
      </c>
      <c r="V76" s="4" t="str">
        <f ca="1">IF(OR($A76=0,$A76="S",$A76&gt;CFF!$A$9),"",MAX(V$12:OFFSET(V76,-1,0))+1)</f>
        <v/>
      </c>
      <c r="W76" s="9" t="str">
        <f t="shared" si="11"/>
        <v>SINAPI-97647</v>
      </c>
      <c r="X76" s="4" t="e">
        <f t="shared" ca="1" si="12"/>
        <v>#REF!</v>
      </c>
      <c r="Y76" s="121">
        <v>0</v>
      </c>
      <c r="Z76" s="132">
        <f ca="1">ROUND(IF(ISNUMBER(R76),R76,IF(LEFT(R76,3)="BDI",HLOOKUP(R76,DADOS!$T$37:$X$38,2,FALSE),0)),15-11*$X$5)</f>
        <v>0.2303</v>
      </c>
      <c r="AA76" s="4"/>
    </row>
    <row r="77" spans="1:27" x14ac:dyDescent="0.2">
      <c r="A77" t="str">
        <f>CHOOSE(1+LOG(1+2*(J77="Meta")+4*(J77="Nível 2")+8*(J77="Nível 3")+16*(J77="Nível 4")+32*(J77="Serviço"),2),0,1,2,3,4,"S")</f>
        <v>S</v>
      </c>
      <c r="B77">
        <f>IF(OR(A77="S",A77=0),0,IF(ISERROR(I77),H77,SMALL(H77:I77,1)))</f>
        <v>0</v>
      </c>
      <c r="C77">
        <f ca="1">IF($A77=1,OFFSET(C77,-1,0)+1,OFFSET(C77,-1,0))</f>
        <v>4</v>
      </c>
      <c r="D77">
        <f ca="1">IF($A77=1,0,IF($A77=2,OFFSET(D77,-1,0)+1,OFFSET(D77,-1,0)))</f>
        <v>2</v>
      </c>
      <c r="E77">
        <f ca="1">IF(AND($A77&lt;=2,$A77&lt;&gt;0),0,IF($A77=3,OFFSET(E77,-1,0)+1,OFFSET(E77,-1,0)))</f>
        <v>0</v>
      </c>
      <c r="F77">
        <f ca="1">IF(AND($A77&lt;=3,$A77&lt;&gt;0),0,IF($A77=4,OFFSET(F77,-1,0)+1,OFFSET(F77,-1,0)))</f>
        <v>0</v>
      </c>
      <c r="G77">
        <f ca="1">IF(AND($A77&lt;=4,$A77&lt;&gt;0),0,IF($A77="S",OFFSET(G77,-1,0)+1,OFFSET(G77,-1,0)))</f>
        <v>3</v>
      </c>
      <c r="H77">
        <f ca="1">IF(OR($A77="S",$A77=0),0,MATCH(0,OFFSET($B77,1,$A77,ROW($A$111)-ROW($A77)),0))</f>
        <v>0</v>
      </c>
      <c r="I77">
        <f ca="1">IF(OR($A77="S",$A77=0),0,MATCH(OFFSET($B77,0,$A77)+1,OFFSET($B77,1,$A77,ROW($A$111)-ROW($A77)),0))</f>
        <v>0</v>
      </c>
      <c r="J77" s="394" t="s">
        <v>103</v>
      </c>
      <c r="K77" s="162" t="str">
        <f ca="1">IF($A77=0,"-",CONCATENATE(C77&amp;".",IF(AND($A$5&gt;=2,$A77&gt;=2),D77&amp;".",""),IF(AND($A$5&gt;=3,$A77&gt;=3),E77&amp;".",""),IF(AND($A$5&gt;=4,$A77&gt;=4),F77&amp;".",""),IF($A77="S",G77&amp;".","")))</f>
        <v>4.2.3.</v>
      </c>
      <c r="L77" s="395" t="s">
        <v>260</v>
      </c>
      <c r="M77" s="395" t="s">
        <v>261</v>
      </c>
      <c r="N77" s="397" t="s">
        <v>106</v>
      </c>
      <c r="O77" s="398" t="s">
        <v>106</v>
      </c>
      <c r="P77" s="399">
        <v>32.700000000000003</v>
      </c>
      <c r="Q77" s="228"/>
      <c r="R77" s="231" t="s">
        <v>7</v>
      </c>
      <c r="S77" s="121">
        <f>IF($A77="S",IF($Q$10="Preço Unitário (R$)",PO.CustoUnitario,ROUND(PO.CustoUnitario*(1+$Z77),15-13*$X$6)),0)</f>
        <v>0</v>
      </c>
      <c r="T77" s="98">
        <f>IF($A77="S",VTOTAL1,IF($A77=0,0,ROUND(SomaAgrup,15-13*$X$7)))</f>
        <v>0</v>
      </c>
      <c r="U77" s="13" t="str">
        <f>IF($J77="","",IF($N77="","DESCRIÇÃO",IF(AND($J77="Serviço",$O77=""),"UNIDADE",IF($T77&lt;=0,"SEM VALOR",IF(AND($Y77&lt;&gt;"",$Q77&gt;$Y77),"ACIMA REF.","")))))</f>
        <v>DESCRIÇÃO</v>
      </c>
      <c r="V77" s="4" t="str">
        <f ca="1">IF(OR($A77=0,$A77="S",$A77&gt;CFF!$A$9),"",MAX(V$12:OFFSET(V77,-1,0))+1)</f>
        <v/>
      </c>
      <c r="W77" s="9" t="str">
        <f>IF(AND($J77="Serviço",$M77&lt;&gt;""),IF($L77="",$M77,CONCATENATE($L77,"-",$M77)))</f>
        <v>COTAÇÃO-01</v>
      </c>
      <c r="X77" s="4" t="e">
        <f ca="1">IF(AND(Fonte&lt;&gt;"",Código&lt;&gt;""),MATCH(Fonte&amp;" "&amp;IF(Fonte="sinapi",SUBSTITUTE(SUBSTITUTE(Código,"/00","/"),"/0","/"),Código),INDIRECT("'[Referência "&amp;_xlnm.Database&amp;".xls]Banco'!$a:$a"),0),"X")</f>
        <v>#REF!</v>
      </c>
      <c r="Y77" s="121">
        <v>0</v>
      </c>
      <c r="Z77" s="132">
        <f ca="1">ROUND(IF(ISNUMBER(R77),R77,IF(LEFT(R77,3)="BDI",HLOOKUP(R77,DADOS!$T$37:$X$38,2,FALSE),0)),15-11*$X$5)</f>
        <v>0.2303</v>
      </c>
      <c r="AA77" s="4"/>
    </row>
    <row r="78" spans="1:27" x14ac:dyDescent="0.2">
      <c r="A78" t="str">
        <f>CHOOSE(1+LOG(1+2*(J78="Meta")+4*(J78="Nível 2")+8*(J78="Nível 3")+16*(J78="Nível 4")+32*(J78="Serviço"),2),0,1,2,3,4,"S")</f>
        <v>S</v>
      </c>
      <c r="B78">
        <f>IF(OR(A78="S",A78=0),0,IF(ISERROR(I78),H78,SMALL(H78:I78,1)))</f>
        <v>0</v>
      </c>
      <c r="C78">
        <f ca="1">IF($A78=1,OFFSET(C78,-1,0)+1,OFFSET(C78,-1,0))</f>
        <v>4</v>
      </c>
      <c r="D78">
        <f ca="1">IF($A78=1,0,IF($A78=2,OFFSET(D78,-1,0)+1,OFFSET(D78,-1,0)))</f>
        <v>2</v>
      </c>
      <c r="E78">
        <f ca="1">IF(AND($A78&lt;=2,$A78&lt;&gt;0),0,IF($A78=3,OFFSET(E78,-1,0)+1,OFFSET(E78,-1,0)))</f>
        <v>0</v>
      </c>
      <c r="F78">
        <f ca="1">IF(AND($A78&lt;=3,$A78&lt;&gt;0),0,IF($A78=4,OFFSET(F78,-1,0)+1,OFFSET(F78,-1,0)))</f>
        <v>0</v>
      </c>
      <c r="G78">
        <f ca="1">IF(AND($A78&lt;=4,$A78&lt;&gt;0),0,IF($A78="S",OFFSET(G78,-1,0)+1,OFFSET(G78,-1,0)))</f>
        <v>4</v>
      </c>
      <c r="H78">
        <f ca="1">IF(OR($A78="S",$A78=0),0,MATCH(0,OFFSET($B78,1,$A78,ROW($A$111)-ROW($A78)),0))</f>
        <v>0</v>
      </c>
      <c r="I78">
        <f ca="1">IF(OR($A78="S",$A78=0),0,MATCH(OFFSET($B78,0,$A78)+1,OFFSET($B78,1,$A78,ROW($A$111)-ROW($A78)),0))</f>
        <v>0</v>
      </c>
      <c r="J78" s="394" t="s">
        <v>103</v>
      </c>
      <c r="K78" s="162" t="str">
        <f ca="1">IF($A78=0,"-",CONCATENATE(C78&amp;".",IF(AND($A$5&gt;=2,$A78&gt;=2),D78&amp;".",""),IF(AND($A$5&gt;=3,$A78&gt;=3),E78&amp;".",""),IF(AND($A$5&gt;=4,$A78&gt;=4),F78&amp;".",""),IF($A78="S",G78&amp;".","")))</f>
        <v>4.2.4.</v>
      </c>
      <c r="L78" s="395" t="s">
        <v>236</v>
      </c>
      <c r="M78" s="395" t="s">
        <v>274</v>
      </c>
      <c r="N78" s="397" t="s">
        <v>106</v>
      </c>
      <c r="O78" s="398" t="s">
        <v>106</v>
      </c>
      <c r="P78" s="399">
        <v>190.84</v>
      </c>
      <c r="Q78" s="228"/>
      <c r="R78" s="231" t="s">
        <v>7</v>
      </c>
      <c r="S78" s="121">
        <f>IF($A78="S",IF($Q$10="Preço Unitário (R$)",PO.CustoUnitario,ROUND(PO.CustoUnitario*(1+$Z78),15-13*$X$6)),0)</f>
        <v>0</v>
      </c>
      <c r="T78" s="98">
        <f>IF($A78="S",VTOTAL1,IF($A78=0,0,ROUND(SomaAgrup,15-13*$X$7)))</f>
        <v>0</v>
      </c>
      <c r="U78" s="13" t="str">
        <f>IF($J78="","",IF($N78="","DESCRIÇÃO",IF(AND($J78="Serviço",$O78=""),"UNIDADE",IF($T78&lt;=0,"SEM VALOR",IF(AND($Y78&lt;&gt;"",$Q78&gt;$Y78),"ACIMA REF.","")))))</f>
        <v>DESCRIÇÃO</v>
      </c>
      <c r="V78" s="4" t="str">
        <f ca="1">IF(OR($A78=0,$A78="S",$A78&gt;CFF!$A$9),"",MAX(V$12:OFFSET(V78,-1,0))+1)</f>
        <v/>
      </c>
      <c r="W78" s="9" t="str">
        <f>IF(AND($J78="Serviço",$M78&lt;&gt;""),IF($L78="",$M78,CONCATENATE($L78,"-",$M78)))</f>
        <v>SINAPI-97640</v>
      </c>
      <c r="X78" s="4" t="e">
        <f ca="1">IF(AND(Fonte&lt;&gt;"",Código&lt;&gt;""),MATCH(Fonte&amp;" "&amp;IF(Fonte="sinapi",SUBSTITUTE(SUBSTITUTE(Código,"/00","/"),"/0","/"),Código),INDIRECT("'[Referência "&amp;_xlnm.Database&amp;".xls]Banco'!$a:$a"),0),"X")</f>
        <v>#REF!</v>
      </c>
      <c r="Y78" s="121">
        <v>0</v>
      </c>
      <c r="Z78" s="132">
        <f ca="1">ROUND(IF(ISNUMBER(R78),R78,IF(LEFT(R78,3)="BDI",HLOOKUP(R78,DADOS!$T$37:$X$38,2,FALSE),0)),15-11*$X$5)</f>
        <v>0.2303</v>
      </c>
      <c r="AA78" s="4"/>
    </row>
    <row r="79" spans="1:27" x14ac:dyDescent="0.2">
      <c r="A79" t="str">
        <f>CHOOSE(1+LOG(1+2*(J79="Meta")+4*(J79="Nível 2")+8*(J79="Nível 3")+16*(J79="Nível 4")+32*(J79="Serviço"),2),0,1,2,3,4,"S")</f>
        <v>S</v>
      </c>
      <c r="B79">
        <f>IF(OR(A79="S",A79=0),0,IF(ISERROR(I79),H79,SMALL(H79:I79,1)))</f>
        <v>0</v>
      </c>
      <c r="C79">
        <f ca="1">IF($A79=1,OFFSET(C79,-1,0)+1,OFFSET(C79,-1,0))</f>
        <v>4</v>
      </c>
      <c r="D79">
        <f ca="1">IF($A79=1,0,IF($A79=2,OFFSET(D79,-1,0)+1,OFFSET(D79,-1,0)))</f>
        <v>2</v>
      </c>
      <c r="E79">
        <f ca="1">IF(AND($A79&lt;=2,$A79&lt;&gt;0),0,IF($A79=3,OFFSET(E79,-1,0)+1,OFFSET(E79,-1,0)))</f>
        <v>0</v>
      </c>
      <c r="F79">
        <f ca="1">IF(AND($A79&lt;=3,$A79&lt;&gt;0),0,IF($A79=4,OFFSET(F79,-1,0)+1,OFFSET(F79,-1,0)))</f>
        <v>0</v>
      </c>
      <c r="G79">
        <f ca="1">IF(AND($A79&lt;=4,$A79&lt;&gt;0),0,IF($A79="S",OFFSET(G79,-1,0)+1,OFFSET(G79,-1,0)))</f>
        <v>5</v>
      </c>
      <c r="H79">
        <f ca="1">IF(OR($A79="S",$A79=0),0,MATCH(0,OFFSET($B79,1,$A79,ROW($A$111)-ROW($A79)),0))</f>
        <v>0</v>
      </c>
      <c r="I79">
        <f ca="1">IF(OR($A79="S",$A79=0),0,MATCH(OFFSET($B79,0,$A79)+1,OFFSET($B79,1,$A79,ROW($A$111)-ROW($A79)),0))</f>
        <v>0</v>
      </c>
      <c r="J79" s="394" t="s">
        <v>103</v>
      </c>
      <c r="K79" s="162" t="str">
        <f ca="1">IF($A79=0,"-",CONCATENATE(C79&amp;".",IF(AND($A$5&gt;=2,$A79&gt;=2),D79&amp;".",""),IF(AND($A$5&gt;=3,$A79&gt;=3),E79&amp;".",""),IF(AND($A$5&gt;=4,$A79&gt;=4),F79&amp;".",""),IF($A79="S",G79&amp;".","")))</f>
        <v>4.2.5.</v>
      </c>
      <c r="L79" s="395" t="s">
        <v>236</v>
      </c>
      <c r="M79" s="395" t="s">
        <v>271</v>
      </c>
      <c r="N79" s="397" t="s">
        <v>106</v>
      </c>
      <c r="O79" s="398" t="s">
        <v>106</v>
      </c>
      <c r="P79" s="399">
        <v>229</v>
      </c>
      <c r="Q79" s="228"/>
      <c r="R79" s="231" t="s">
        <v>7</v>
      </c>
      <c r="S79" s="121">
        <f>IF($A79="S",IF($Q$10="Preço Unitário (R$)",PO.CustoUnitario,ROUND(PO.CustoUnitario*(1+$Z79),15-13*$X$6)),0)</f>
        <v>0</v>
      </c>
      <c r="T79" s="98">
        <f>IF($A79="S",VTOTAL1,IF($A79=0,0,ROUND(SomaAgrup,15-13*$X$7)))</f>
        <v>0</v>
      </c>
      <c r="U79" s="13" t="str">
        <f>IF($J79="","",IF($N79="","DESCRIÇÃO",IF(AND($J79="Serviço",$O79=""),"UNIDADE",IF($T79&lt;=0,"SEM VALOR",IF(AND($Y79&lt;&gt;"",$Q79&gt;$Y79),"ACIMA REF.","")))))</f>
        <v>DESCRIÇÃO</v>
      </c>
      <c r="V79" s="4" t="str">
        <f ca="1">IF(OR($A79=0,$A79="S",$A79&gt;CFF!$A$9),"",MAX(V$12:OFFSET(V79,-1,0))+1)</f>
        <v/>
      </c>
      <c r="W79" s="9" t="str">
        <f>IF(AND($J79="Serviço",$M79&lt;&gt;""),IF($L79="",$M79,CONCATENATE($L79,"-",$M79)))</f>
        <v>SINAPI-93590</v>
      </c>
      <c r="X79" s="4" t="e">
        <f ca="1">IF(AND(Fonte&lt;&gt;"",Código&lt;&gt;""),MATCH(Fonte&amp;" "&amp;IF(Fonte="sinapi",SUBSTITUTE(SUBSTITUTE(Código,"/00","/"),"/0","/"),Código),INDIRECT("'[Referência "&amp;_xlnm.Database&amp;".xls]Banco'!$a:$a"),0),"X")</f>
        <v>#REF!</v>
      </c>
      <c r="Y79" s="121">
        <v>0</v>
      </c>
      <c r="Z79" s="132">
        <f ca="1">ROUND(IF(ISNUMBER(R79),R79,IF(LEFT(R79,3)="BDI",HLOOKUP(R79,DADOS!$T$37:$X$38,2,FALSE),0)),15-11*$X$5)</f>
        <v>0.2303</v>
      </c>
      <c r="AA79" s="4"/>
    </row>
    <row r="80" spans="1:27" x14ac:dyDescent="0.2">
      <c r="A80">
        <f t="shared" si="0"/>
        <v>2</v>
      </c>
      <c r="B80">
        <f t="shared" ca="1" si="1"/>
        <v>5</v>
      </c>
      <c r="C80">
        <f t="shared" ca="1" si="2"/>
        <v>4</v>
      </c>
      <c r="D80">
        <f t="shared" ca="1" si="3"/>
        <v>3</v>
      </c>
      <c r="E80">
        <f t="shared" ca="1" si="4"/>
        <v>0</v>
      </c>
      <c r="F80">
        <f t="shared" ca="1" si="5"/>
        <v>0</v>
      </c>
      <c r="G80">
        <f t="shared" ca="1" si="6"/>
        <v>0</v>
      </c>
      <c r="H80">
        <f ca="1">IF(OR($A80="S",$A80=0),0,MATCH(0,OFFSET($B80,1,$A80,ROW($A$111)-ROW($A80)),0))</f>
        <v>31</v>
      </c>
      <c r="I80">
        <f ca="1">IF(OR($A80="S",$A80=0),0,MATCH(OFFSET($B80,0,$A80)+1,OFFSET($B80,1,$A80,ROW($A$111)-ROW($A80)),0))</f>
        <v>5</v>
      </c>
      <c r="J80" s="394" t="s">
        <v>100</v>
      </c>
      <c r="K80" s="162" t="str">
        <f t="shared" ca="1" si="7"/>
        <v>4.3.</v>
      </c>
      <c r="L80" s="395"/>
      <c r="M80" s="395"/>
      <c r="N80" s="397" t="s">
        <v>240</v>
      </c>
      <c r="O80" s="398" t="s">
        <v>106</v>
      </c>
      <c r="P80" s="399">
        <v>0</v>
      </c>
      <c r="Q80" s="228"/>
      <c r="R80" s="231" t="s">
        <v>7</v>
      </c>
      <c r="S80" s="121">
        <f t="shared" si="8"/>
        <v>0</v>
      </c>
      <c r="T80" s="98">
        <f t="shared" ca="1" si="9"/>
        <v>0</v>
      </c>
      <c r="U80" s="13" t="str">
        <f t="shared" ca="1" si="10"/>
        <v>SEM VALOR</v>
      </c>
      <c r="V80" s="4">
        <f ca="1">IF(OR($A80=0,$A80="S",$A80&gt;CFF!$A$9),"",MAX(V$12:OFFSET(V80,-1,0))+1)</f>
        <v>20</v>
      </c>
      <c r="W80" s="9" t="b">
        <f t="shared" si="11"/>
        <v>0</v>
      </c>
      <c r="X80" s="4" t="str">
        <f t="shared" ca="1" si="12"/>
        <v>X</v>
      </c>
      <c r="Y80" s="121">
        <v>0</v>
      </c>
      <c r="Z80" s="132">
        <f ca="1">ROUND(IF(ISNUMBER(R80),R80,IF(LEFT(R80,3)="BDI",HLOOKUP(R80,DADOS!$T$37:$X$38,2,FALSE),0)),15-11*$X$5)</f>
        <v>0.2303</v>
      </c>
      <c r="AA80" s="4"/>
    </row>
    <row r="81" spans="1:27" x14ac:dyDescent="0.2">
      <c r="A81" t="str">
        <f>CHOOSE(1+LOG(1+2*(J81="Meta")+4*(J81="Nível 2")+8*(J81="Nível 3")+16*(J81="Nível 4")+32*(J81="Serviço"),2),0,1,2,3,4,"S")</f>
        <v>S</v>
      </c>
      <c r="B81">
        <f>IF(OR(A81="S",A81=0),0,IF(ISERROR(I81),H81,SMALL(H81:I81,1)))</f>
        <v>0</v>
      </c>
      <c r="C81">
        <f ca="1">IF($A81=1,OFFSET(C81,-1,0)+1,OFFSET(C81,-1,0))</f>
        <v>4</v>
      </c>
      <c r="D81">
        <f ca="1">IF($A81=1,0,IF($A81=2,OFFSET(D81,-1,0)+1,OFFSET(D81,-1,0)))</f>
        <v>3</v>
      </c>
      <c r="E81">
        <f ca="1">IF(AND($A81&lt;=2,$A81&lt;&gt;0),0,IF($A81=3,OFFSET(E81,-1,0)+1,OFFSET(E81,-1,0)))</f>
        <v>0</v>
      </c>
      <c r="F81">
        <f ca="1">IF(AND($A81&lt;=3,$A81&lt;&gt;0),0,IF($A81=4,OFFSET(F81,-1,0)+1,OFFSET(F81,-1,0)))</f>
        <v>0</v>
      </c>
      <c r="G81">
        <f ca="1">IF(AND($A81&lt;=4,$A81&lt;&gt;0),0,IF($A81="S",OFFSET(G81,-1,0)+1,OFFSET(G81,-1,0)))</f>
        <v>1</v>
      </c>
      <c r="H81">
        <f ca="1">IF(OR($A81="S",$A81=0),0,MATCH(0,OFFSET($B81,1,$A81,ROW($A$111)-ROW($A81)),0))</f>
        <v>0</v>
      </c>
      <c r="I81">
        <f ca="1">IF(OR($A81="S",$A81=0),0,MATCH(OFFSET($B81,0,$A81)+1,OFFSET($B81,1,$A81,ROW($A$111)-ROW($A81)),0))</f>
        <v>0</v>
      </c>
      <c r="J81" s="394" t="s">
        <v>103</v>
      </c>
      <c r="K81" s="162" t="str">
        <f ca="1">IF($A81=0,"-",CONCATENATE(C81&amp;".",IF(AND($A$5&gt;=2,$A81&gt;=2),D81&amp;".",""),IF(AND($A$5&gt;=3,$A81&gt;=3),E81&amp;".",""),IF(AND($A$5&gt;=4,$A81&gt;=4),F81&amp;".",""),IF($A81="S",G81&amp;".","")))</f>
        <v>4.3.1.</v>
      </c>
      <c r="L81" s="395" t="s">
        <v>236</v>
      </c>
      <c r="M81" s="395" t="s">
        <v>246</v>
      </c>
      <c r="N81" s="397" t="s">
        <v>106</v>
      </c>
      <c r="O81" s="398" t="s">
        <v>106</v>
      </c>
      <c r="P81" s="399">
        <v>190.84</v>
      </c>
      <c r="Q81" s="228"/>
      <c r="R81" s="231" t="s">
        <v>7</v>
      </c>
      <c r="S81" s="121">
        <f>IF($A81="S",IF($Q$10="Preço Unitário (R$)",PO.CustoUnitario,ROUND(PO.CustoUnitario*(1+$Z81),15-13*$X$6)),0)</f>
        <v>0</v>
      </c>
      <c r="T81" s="98">
        <f>IF($A81="S",VTOTAL1,IF($A81=0,0,ROUND(SomaAgrup,15-13*$X$7)))</f>
        <v>0</v>
      </c>
      <c r="U81" s="13" t="str">
        <f>IF($J81="","",IF($N81="","DESCRIÇÃO",IF(AND($J81="Serviço",$O81=""),"UNIDADE",IF($T81&lt;=0,"SEM VALOR",IF(AND($Y81&lt;&gt;"",$Q81&gt;$Y81),"ACIMA REF.","")))))</f>
        <v>DESCRIÇÃO</v>
      </c>
      <c r="V81" s="4" t="str">
        <f ca="1">IF(OR($A81=0,$A81="S",$A81&gt;CFF!$A$9),"",MAX(V$12:OFFSET(V81,-1,0))+1)</f>
        <v/>
      </c>
      <c r="W81" s="9" t="str">
        <f>IF(AND($J81="Serviço",$M81&lt;&gt;""),IF($L81="",$M81,CONCATENATE($L81,"-",$M81)))</f>
        <v>SINAPI-92580</v>
      </c>
      <c r="X81" s="4" t="e">
        <f ca="1">IF(AND(Fonte&lt;&gt;"",Código&lt;&gt;""),MATCH(Fonte&amp;" "&amp;IF(Fonte="sinapi",SUBSTITUTE(SUBSTITUTE(Código,"/00","/"),"/0","/"),Código),INDIRECT("'[Referência "&amp;_xlnm.Database&amp;".xls]Banco'!$a:$a"),0),"X")</f>
        <v>#REF!</v>
      </c>
      <c r="Y81" s="121">
        <v>0</v>
      </c>
      <c r="Z81" s="132">
        <f ca="1">ROUND(IF(ISNUMBER(R81),R81,IF(LEFT(R81,3)="BDI",HLOOKUP(R81,DADOS!$T$37:$X$38,2,FALSE),0)),15-11*$X$5)</f>
        <v>0.2303</v>
      </c>
      <c r="AA81" s="4"/>
    </row>
    <row r="82" spans="1:27" x14ac:dyDescent="0.2">
      <c r="A82" t="str">
        <f>CHOOSE(1+LOG(1+2*(J82="Meta")+4*(J82="Nível 2")+8*(J82="Nível 3")+16*(J82="Nível 4")+32*(J82="Serviço"),2),0,1,2,3,4,"S")</f>
        <v>S</v>
      </c>
      <c r="B82">
        <f>IF(OR(A82="S",A82=0),0,IF(ISERROR(I82),H82,SMALL(H82:I82,1)))</f>
        <v>0</v>
      </c>
      <c r="C82">
        <f ca="1">IF($A82=1,OFFSET(C82,-1,0)+1,OFFSET(C82,-1,0))</f>
        <v>4</v>
      </c>
      <c r="D82">
        <f ca="1">IF($A82=1,0,IF($A82=2,OFFSET(D82,-1,0)+1,OFFSET(D82,-1,0)))</f>
        <v>3</v>
      </c>
      <c r="E82">
        <f ca="1">IF(AND($A82&lt;=2,$A82&lt;&gt;0),0,IF($A82=3,OFFSET(E82,-1,0)+1,OFFSET(E82,-1,0)))</f>
        <v>0</v>
      </c>
      <c r="F82">
        <f ca="1">IF(AND($A82&lt;=3,$A82&lt;&gt;0),0,IF($A82=4,OFFSET(F82,-1,0)+1,OFFSET(F82,-1,0)))</f>
        <v>0</v>
      </c>
      <c r="G82">
        <f ca="1">IF(AND($A82&lt;=4,$A82&lt;&gt;0),0,IF($A82="S",OFFSET(G82,-1,0)+1,OFFSET(G82,-1,0)))</f>
        <v>2</v>
      </c>
      <c r="H82">
        <f ca="1">IF(OR($A82="S",$A82=0),0,MATCH(0,OFFSET($B82,1,$A82,ROW($A$111)-ROW($A82)),0))</f>
        <v>0</v>
      </c>
      <c r="I82">
        <f ca="1">IF(OR($A82="S",$A82=0),0,MATCH(OFFSET($B82,0,$A82)+1,OFFSET($B82,1,$A82,ROW($A$111)-ROW($A82)),0))</f>
        <v>0</v>
      </c>
      <c r="J82" s="394" t="s">
        <v>103</v>
      </c>
      <c r="K82" s="162" t="str">
        <f ca="1">IF($A82=0,"-",CONCATENATE(C82&amp;".",IF(AND($A$5&gt;=2,$A82&gt;=2),D82&amp;".",""),IF(AND($A$5&gt;=3,$A82&gt;=3),E82&amp;".",""),IF(AND($A$5&gt;=4,$A82&gt;=4),F82&amp;".",""),IF($A82="S",G82&amp;".","")))</f>
        <v>4.3.2.</v>
      </c>
      <c r="L82" s="395" t="s">
        <v>236</v>
      </c>
      <c r="M82" s="395" t="s">
        <v>238</v>
      </c>
      <c r="N82" s="397" t="s">
        <v>106</v>
      </c>
      <c r="O82" s="398" t="s">
        <v>106</v>
      </c>
      <c r="P82" s="399">
        <v>190.84</v>
      </c>
      <c r="Q82" s="228"/>
      <c r="R82" s="231" t="s">
        <v>7</v>
      </c>
      <c r="S82" s="121">
        <f>IF($A82="S",IF($Q$10="Preço Unitário (R$)",PO.CustoUnitario,ROUND(PO.CustoUnitario*(1+$Z82),15-13*$X$6)),0)</f>
        <v>0</v>
      </c>
      <c r="T82" s="98">
        <f>IF($A82="S",VTOTAL1,IF($A82=0,0,ROUND(SomaAgrup,15-13*$X$7)))</f>
        <v>0</v>
      </c>
      <c r="U82" s="13" t="str">
        <f>IF($J82="","",IF($N82="","DESCRIÇÃO",IF(AND($J82="Serviço",$O82=""),"UNIDADE",IF($T82&lt;=0,"SEM VALOR",IF(AND($Y82&lt;&gt;"",$Q82&gt;$Y82),"ACIMA REF.","")))))</f>
        <v>DESCRIÇÃO</v>
      </c>
      <c r="V82" s="4" t="str">
        <f ca="1">IF(OR($A82=0,$A82="S",$A82&gt;CFF!$A$9),"",MAX(V$12:OFFSET(V82,-1,0))+1)</f>
        <v/>
      </c>
      <c r="W82" s="9" t="str">
        <f>IF(AND($J82="Serviço",$M82&lt;&gt;""),IF($L82="",$M82,CONCATENATE($L82,"-",$M82)))</f>
        <v>SINAPI-94213</v>
      </c>
      <c r="X82" s="4" t="e">
        <f ca="1">IF(AND(Fonte&lt;&gt;"",Código&lt;&gt;""),MATCH(Fonte&amp;" "&amp;IF(Fonte="sinapi",SUBSTITUTE(SUBSTITUTE(Código,"/00","/"),"/0","/"),Código),INDIRECT("'[Referência "&amp;_xlnm.Database&amp;".xls]Banco'!$a:$a"),0),"X")</f>
        <v>#REF!</v>
      </c>
      <c r="Y82" s="121">
        <v>0</v>
      </c>
      <c r="Z82" s="132">
        <f ca="1">ROUND(IF(ISNUMBER(R82),R82,IF(LEFT(R82,3)="BDI",HLOOKUP(R82,DADOS!$T$37:$X$38,2,FALSE),0)),15-11*$X$5)</f>
        <v>0.2303</v>
      </c>
      <c r="AA82" s="4"/>
    </row>
    <row r="83" spans="1:27" x14ac:dyDescent="0.2">
      <c r="A83" t="str">
        <f t="shared" si="0"/>
        <v>S</v>
      </c>
      <c r="B83">
        <f t="shared" si="1"/>
        <v>0</v>
      </c>
      <c r="C83">
        <f t="shared" ca="1" si="2"/>
        <v>4</v>
      </c>
      <c r="D83">
        <f t="shared" ca="1" si="3"/>
        <v>3</v>
      </c>
      <c r="E83">
        <f t="shared" ca="1" si="4"/>
        <v>0</v>
      </c>
      <c r="F83">
        <f t="shared" ca="1" si="5"/>
        <v>0</v>
      </c>
      <c r="G83">
        <f t="shared" ca="1" si="6"/>
        <v>3</v>
      </c>
      <c r="H83">
        <f ca="1">IF(OR($A83="S",$A83=0),0,MATCH(0,OFFSET($B83,1,$A83,ROW($A$111)-ROW($A83)),0))</f>
        <v>0</v>
      </c>
      <c r="I83">
        <f ca="1">IF(OR($A83="S",$A83=0),0,MATCH(OFFSET($B83,0,$A83)+1,OFFSET($B83,1,$A83,ROW($A$111)-ROW($A83)),0))</f>
        <v>0</v>
      </c>
      <c r="J83" s="394" t="s">
        <v>103</v>
      </c>
      <c r="K83" s="162" t="str">
        <f t="shared" ca="1" si="7"/>
        <v>4.3.3.</v>
      </c>
      <c r="L83" s="395" t="s">
        <v>236</v>
      </c>
      <c r="M83" s="395" t="s">
        <v>249</v>
      </c>
      <c r="N83" s="397" t="s">
        <v>106</v>
      </c>
      <c r="O83" s="398" t="s">
        <v>106</v>
      </c>
      <c r="P83" s="399">
        <v>450.4</v>
      </c>
      <c r="Q83" s="228"/>
      <c r="R83" s="231" t="s">
        <v>7</v>
      </c>
      <c r="S83" s="121">
        <f t="shared" si="8"/>
        <v>0</v>
      </c>
      <c r="T83" s="98">
        <f t="shared" si="9"/>
        <v>0</v>
      </c>
      <c r="U83" s="13" t="str">
        <f t="shared" si="10"/>
        <v>DESCRIÇÃO</v>
      </c>
      <c r="V83" s="4" t="str">
        <f ca="1">IF(OR($A83=0,$A83="S",$A83&gt;CFF!$A$9),"",MAX(V$12:OFFSET(V83,-1,0))+1)</f>
        <v/>
      </c>
      <c r="W83" s="9" t="str">
        <f t="shared" si="11"/>
        <v>SINAPI-100378</v>
      </c>
      <c r="X83" s="4" t="e">
        <f t="shared" ca="1" si="12"/>
        <v>#REF!</v>
      </c>
      <c r="Y83" s="121">
        <v>0</v>
      </c>
      <c r="Z83" s="132">
        <f ca="1">ROUND(IF(ISNUMBER(R83),R83,IF(LEFT(R83,3)="BDI",HLOOKUP(R83,DADOS!$T$37:$X$38,2,FALSE),0)),15-11*$X$5)</f>
        <v>0.2303</v>
      </c>
      <c r="AA83" s="4"/>
    </row>
    <row r="84" spans="1:27" x14ac:dyDescent="0.2">
      <c r="A84" t="str">
        <f>CHOOSE(1+LOG(1+2*(J84="Meta")+4*(J84="Nível 2")+8*(J84="Nível 3")+16*(J84="Nível 4")+32*(J84="Serviço"),2),0,1,2,3,4,"S")</f>
        <v>S</v>
      </c>
      <c r="B84">
        <f>IF(OR(A84="S",A84=0),0,IF(ISERROR(I84),H84,SMALL(H84:I84,1)))</f>
        <v>0</v>
      </c>
      <c r="C84">
        <f ca="1">IF($A84=1,OFFSET(C84,-1,0)+1,OFFSET(C84,-1,0))</f>
        <v>4</v>
      </c>
      <c r="D84">
        <f ca="1">IF($A84=1,0,IF($A84=2,OFFSET(D84,-1,0)+1,OFFSET(D84,-1,0)))</f>
        <v>3</v>
      </c>
      <c r="E84">
        <f ca="1">IF(AND($A84&lt;=2,$A84&lt;&gt;0),0,IF($A84=3,OFFSET(E84,-1,0)+1,OFFSET(E84,-1,0)))</f>
        <v>0</v>
      </c>
      <c r="F84">
        <f ca="1">IF(AND($A84&lt;=3,$A84&lt;&gt;0),0,IF($A84=4,OFFSET(F84,-1,0)+1,OFFSET(F84,-1,0)))</f>
        <v>0</v>
      </c>
      <c r="G84">
        <f ca="1">IF(AND($A84&lt;=4,$A84&lt;&gt;0),0,IF($A84="S",OFFSET(G84,-1,0)+1,OFFSET(G84,-1,0)))</f>
        <v>4</v>
      </c>
      <c r="H84">
        <f ca="1">IF(OR($A84="S",$A84=0),0,MATCH(0,OFFSET($B84,1,$A84,ROW($A$111)-ROW($A84)),0))</f>
        <v>0</v>
      </c>
      <c r="I84">
        <f ca="1">IF(OR($A84="S",$A84=0),0,MATCH(OFFSET($B84,0,$A84)+1,OFFSET($B84,1,$A84,ROW($A$111)-ROW($A84)),0))</f>
        <v>0</v>
      </c>
      <c r="J84" s="394" t="s">
        <v>103</v>
      </c>
      <c r="K84" s="162" t="str">
        <f ca="1">IF($A84=0,"-",CONCATENATE(C84&amp;".",IF(AND($A$5&gt;=2,$A84&gt;=2),D84&amp;".",""),IF(AND($A$5&gt;=3,$A84&gt;=3),E84&amp;".",""),IF(AND($A$5&gt;=4,$A84&gt;=4),F84&amp;".",""),IF($A84="S",G84&amp;".","")))</f>
        <v>4.3.4.</v>
      </c>
      <c r="L84" s="395" t="s">
        <v>260</v>
      </c>
      <c r="M84" s="395" t="s">
        <v>282</v>
      </c>
      <c r="N84" s="397" t="s">
        <v>106</v>
      </c>
      <c r="O84" s="398" t="s">
        <v>106</v>
      </c>
      <c r="P84" s="399">
        <v>16.350000000000001</v>
      </c>
      <c r="Q84" s="228"/>
      <c r="R84" s="231" t="s">
        <v>7</v>
      </c>
      <c r="S84" s="121">
        <f>IF($A84="S",IF($Q$10="Preço Unitário (R$)",PO.CustoUnitario,ROUND(PO.CustoUnitario*(1+$Z84),15-13*$X$6)),0)</f>
        <v>0</v>
      </c>
      <c r="T84" s="98">
        <f>IF($A84="S",VTOTAL1,IF($A84=0,0,ROUND(SomaAgrup,15-13*$X$7)))</f>
        <v>0</v>
      </c>
      <c r="U84" s="13" t="str">
        <f>IF($J84="","",IF($N84="","DESCRIÇÃO",IF(AND($J84="Serviço",$O84=""),"UNIDADE",IF($T84&lt;=0,"SEM VALOR",IF(AND($Y84&lt;&gt;"",$Q84&gt;$Y84),"ACIMA REF.","")))))</f>
        <v>DESCRIÇÃO</v>
      </c>
      <c r="V84" s="4" t="str">
        <f ca="1">IF(OR($A84=0,$A84="S",$A84&gt;CFF!$A$9),"",MAX(V$12:OFFSET(V84,-1,0))+1)</f>
        <v/>
      </c>
      <c r="W84" s="9" t="str">
        <f>IF(AND($J84="Serviço",$M84&lt;&gt;""),IF($L84="",$M84,CONCATENATE($L84,"-",$M84)))</f>
        <v>COTAÇÃO-03</v>
      </c>
      <c r="X84" s="4" t="e">
        <f ca="1">IF(AND(Fonte&lt;&gt;"",Código&lt;&gt;""),MATCH(Fonte&amp;" "&amp;IF(Fonte="sinapi",SUBSTITUTE(SUBSTITUTE(Código,"/00","/"),"/0","/"),Código),INDIRECT("'[Referência "&amp;_xlnm.Database&amp;".xls]Banco'!$a:$a"),0),"X")</f>
        <v>#REF!</v>
      </c>
      <c r="Y84" s="121">
        <v>0</v>
      </c>
      <c r="Z84" s="132">
        <f ca="1">ROUND(IF(ISNUMBER(R84),R84,IF(LEFT(R84,3)="BDI",HLOOKUP(R84,DADOS!$T$37:$X$38,2,FALSE),0)),15-11*$X$5)</f>
        <v>0.2303</v>
      </c>
      <c r="AA84" s="4"/>
    </row>
    <row r="85" spans="1:27" x14ac:dyDescent="0.2">
      <c r="A85">
        <f t="shared" si="0"/>
        <v>2</v>
      </c>
      <c r="B85">
        <f t="shared" ca="1" si="1"/>
        <v>11</v>
      </c>
      <c r="C85">
        <f t="shared" ca="1" si="2"/>
        <v>4</v>
      </c>
      <c r="D85">
        <f t="shared" ca="1" si="3"/>
        <v>4</v>
      </c>
      <c r="E85">
        <f t="shared" ca="1" si="4"/>
        <v>0</v>
      </c>
      <c r="F85">
        <f t="shared" ca="1" si="5"/>
        <v>0</v>
      </c>
      <c r="G85">
        <f t="shared" ca="1" si="6"/>
        <v>0</v>
      </c>
      <c r="H85">
        <f ca="1">IF(OR($A85="S",$A85=0),0,MATCH(0,OFFSET($B85,1,$A85,ROW($A$111)-ROW($A85)),0))</f>
        <v>26</v>
      </c>
      <c r="I85">
        <f ca="1">IF(OR($A85="S",$A85=0),0,MATCH(OFFSET($B85,0,$A85)+1,OFFSET($B85,1,$A85,ROW($A$111)-ROW($A85)),0))</f>
        <v>11</v>
      </c>
      <c r="J85" s="394" t="s">
        <v>100</v>
      </c>
      <c r="K85" s="162" t="str">
        <f t="shared" ca="1" si="7"/>
        <v>4.4.</v>
      </c>
      <c r="L85" s="395"/>
      <c r="M85" s="395"/>
      <c r="N85" s="397" t="s">
        <v>244</v>
      </c>
      <c r="O85" s="398" t="s">
        <v>106</v>
      </c>
      <c r="P85" s="399">
        <v>0</v>
      </c>
      <c r="Q85" s="228"/>
      <c r="R85" s="231" t="s">
        <v>7</v>
      </c>
      <c r="S85" s="121">
        <f t="shared" si="8"/>
        <v>0</v>
      </c>
      <c r="T85" s="98">
        <f t="shared" ca="1" si="9"/>
        <v>0</v>
      </c>
      <c r="U85" s="13" t="str">
        <f t="shared" ca="1" si="10"/>
        <v>SEM VALOR</v>
      </c>
      <c r="V85" s="4">
        <f ca="1">IF(OR($A85=0,$A85="S",$A85&gt;CFF!$A$9),"",MAX(V$12:OFFSET(V85,-1,0))+1)</f>
        <v>21</v>
      </c>
      <c r="W85" s="9" t="b">
        <f t="shared" si="11"/>
        <v>0</v>
      </c>
      <c r="X85" s="4" t="str">
        <f t="shared" ca="1" si="12"/>
        <v>X</v>
      </c>
      <c r="Y85" s="121">
        <v>0</v>
      </c>
      <c r="Z85" s="132">
        <f ca="1">ROUND(IF(ISNUMBER(R85),R85,IF(LEFT(R85,3)="BDI",HLOOKUP(R85,DADOS!$T$37:$X$38,2,FALSE),0)),15-11*$X$5)</f>
        <v>0.2303</v>
      </c>
      <c r="AA85" s="4"/>
    </row>
    <row r="86" spans="1:27" x14ac:dyDescent="0.2">
      <c r="A86" t="str">
        <f t="shared" si="0"/>
        <v>S</v>
      </c>
      <c r="B86">
        <f t="shared" si="1"/>
        <v>0</v>
      </c>
      <c r="C86">
        <f t="shared" ca="1" si="2"/>
        <v>4</v>
      </c>
      <c r="D86">
        <f t="shared" ca="1" si="3"/>
        <v>4</v>
      </c>
      <c r="E86">
        <f t="shared" ca="1" si="4"/>
        <v>0</v>
      </c>
      <c r="F86">
        <f t="shared" ca="1" si="5"/>
        <v>0</v>
      </c>
      <c r="G86">
        <f t="shared" ca="1" si="6"/>
        <v>1</v>
      </c>
      <c r="H86">
        <f ca="1">IF(OR($A86="S",$A86=0),0,MATCH(0,OFFSET($B86,1,$A86,ROW($A$111)-ROW($A86)),0))</f>
        <v>0</v>
      </c>
      <c r="I86">
        <f ca="1">IF(OR($A86="S",$A86=0),0,MATCH(OFFSET($B86,0,$A86)+1,OFFSET($B86,1,$A86,ROW($A$111)-ROW($A86)),0))</f>
        <v>0</v>
      </c>
      <c r="J86" s="394" t="s">
        <v>103</v>
      </c>
      <c r="K86" s="162" t="str">
        <f t="shared" ca="1" si="7"/>
        <v>4.4.1.</v>
      </c>
      <c r="L86" s="395" t="s">
        <v>252</v>
      </c>
      <c r="M86" s="395" t="s">
        <v>254</v>
      </c>
      <c r="N86" s="397" t="s">
        <v>106</v>
      </c>
      <c r="O86" s="398" t="s">
        <v>106</v>
      </c>
      <c r="P86" s="399">
        <v>1</v>
      </c>
      <c r="Q86" s="228"/>
      <c r="R86" s="231" t="s">
        <v>7</v>
      </c>
      <c r="S86" s="121">
        <f t="shared" si="8"/>
        <v>0</v>
      </c>
      <c r="T86" s="98">
        <f t="shared" si="9"/>
        <v>0</v>
      </c>
      <c r="U86" s="13" t="str">
        <f t="shared" si="10"/>
        <v>DESCRIÇÃO</v>
      </c>
      <c r="V86" s="4" t="str">
        <f ca="1">IF(OR($A86=0,$A86="S",$A86&gt;CFF!$A$9),"",MAX(V$12:OFFSET(V86,-1,0))+1)</f>
        <v/>
      </c>
      <c r="W86" s="9" t="str">
        <f t="shared" si="11"/>
        <v>SINAPI-I-12038</v>
      </c>
      <c r="X86" s="4" t="e">
        <f t="shared" ca="1" si="12"/>
        <v>#REF!</v>
      </c>
      <c r="Y86" s="121">
        <v>0</v>
      </c>
      <c r="Z86" s="132">
        <f ca="1">ROUND(IF(ISNUMBER(R86),R86,IF(LEFT(R86,3)="BDI",HLOOKUP(R86,DADOS!$T$37:$X$38,2,FALSE),0)),15-11*$X$5)</f>
        <v>0.2303</v>
      </c>
      <c r="AA86" s="4"/>
    </row>
    <row r="87" spans="1:27" x14ac:dyDescent="0.2">
      <c r="A87" t="str">
        <f t="shared" si="0"/>
        <v>S</v>
      </c>
      <c r="B87">
        <f t="shared" si="1"/>
        <v>0</v>
      </c>
      <c r="C87">
        <f t="shared" ca="1" si="2"/>
        <v>4</v>
      </c>
      <c r="D87">
        <f t="shared" ca="1" si="3"/>
        <v>4</v>
      </c>
      <c r="E87">
        <f t="shared" ca="1" si="4"/>
        <v>0</v>
      </c>
      <c r="F87">
        <f t="shared" ca="1" si="5"/>
        <v>0</v>
      </c>
      <c r="G87">
        <f t="shared" ca="1" si="6"/>
        <v>2</v>
      </c>
      <c r="H87">
        <f ca="1">IF(OR($A87="S",$A87=0),0,MATCH(0,OFFSET($B87,1,$A87,ROW($A$111)-ROW($A87)),0))</f>
        <v>0</v>
      </c>
      <c r="I87">
        <f ca="1">IF(OR($A87="S",$A87=0),0,MATCH(OFFSET($B87,0,$A87)+1,OFFSET($B87,1,$A87,ROW($A$111)-ROW($A87)),0))</f>
        <v>0</v>
      </c>
      <c r="J87" s="394" t="s">
        <v>103</v>
      </c>
      <c r="K87" s="162" t="str">
        <f t="shared" ca="1" si="7"/>
        <v>4.4.2.</v>
      </c>
      <c r="L87" s="395" t="s">
        <v>236</v>
      </c>
      <c r="M87" s="395" t="s">
        <v>257</v>
      </c>
      <c r="N87" s="397" t="s">
        <v>106</v>
      </c>
      <c r="O87" s="398" t="s">
        <v>106</v>
      </c>
      <c r="P87" s="399">
        <v>108</v>
      </c>
      <c r="Q87" s="228"/>
      <c r="R87" s="231" t="s">
        <v>7</v>
      </c>
      <c r="S87" s="121">
        <f t="shared" si="8"/>
        <v>0</v>
      </c>
      <c r="T87" s="98">
        <f t="shared" si="9"/>
        <v>0</v>
      </c>
      <c r="U87" s="13" t="str">
        <f t="shared" si="10"/>
        <v>DESCRIÇÃO</v>
      </c>
      <c r="V87" s="4" t="str">
        <f ca="1">IF(OR($A87=0,$A87="S",$A87&gt;CFF!$A$9),"",MAX(V$12:OFFSET(V87,-1,0))+1)</f>
        <v/>
      </c>
      <c r="W87" s="9" t="str">
        <f t="shared" si="11"/>
        <v>SINAPI-91931</v>
      </c>
      <c r="X87" s="4" t="e">
        <f t="shared" ca="1" si="12"/>
        <v>#REF!</v>
      </c>
      <c r="Y87" s="121">
        <v>0</v>
      </c>
      <c r="Z87" s="132">
        <f ca="1">ROUND(IF(ISNUMBER(R87),R87,IF(LEFT(R87,3)="BDI",HLOOKUP(R87,DADOS!$T$37:$X$38,2,FALSE),0)),15-11*$X$5)</f>
        <v>0.2303</v>
      </c>
      <c r="AA87" s="4"/>
    </row>
    <row r="88" spans="1:27" x14ac:dyDescent="0.2">
      <c r="A88" t="str">
        <f t="shared" si="0"/>
        <v>S</v>
      </c>
      <c r="B88">
        <f t="shared" si="1"/>
        <v>0</v>
      </c>
      <c r="C88">
        <f t="shared" ca="1" si="2"/>
        <v>4</v>
      </c>
      <c r="D88">
        <f t="shared" ca="1" si="3"/>
        <v>4</v>
      </c>
      <c r="E88">
        <f t="shared" ca="1" si="4"/>
        <v>0</v>
      </c>
      <c r="F88">
        <f t="shared" ca="1" si="5"/>
        <v>0</v>
      </c>
      <c r="G88">
        <f t="shared" ca="1" si="6"/>
        <v>3</v>
      </c>
      <c r="H88">
        <f ca="1">IF(OR($A88="S",$A88=0),0,MATCH(0,OFFSET($B88,1,$A88,ROW($A$111)-ROW($A88)),0))</f>
        <v>0</v>
      </c>
      <c r="I88">
        <f ca="1">IF(OR($A88="S",$A88=0),0,MATCH(OFFSET($B88,0,$A88)+1,OFFSET($B88,1,$A88,ROW($A$111)-ROW($A88)),0))</f>
        <v>0</v>
      </c>
      <c r="J88" s="394" t="s">
        <v>103</v>
      </c>
      <c r="K88" s="162" t="str">
        <f t="shared" ca="1" si="7"/>
        <v>4.4.3.</v>
      </c>
      <c r="L88" s="395" t="s">
        <v>236</v>
      </c>
      <c r="M88" s="395" t="s">
        <v>256</v>
      </c>
      <c r="N88" s="397" t="s">
        <v>106</v>
      </c>
      <c r="O88" s="398" t="s">
        <v>106</v>
      </c>
      <c r="P88" s="399">
        <v>220</v>
      </c>
      <c r="Q88" s="228"/>
      <c r="R88" s="231" t="s">
        <v>7</v>
      </c>
      <c r="S88" s="121">
        <f t="shared" si="8"/>
        <v>0</v>
      </c>
      <c r="T88" s="98">
        <f t="shared" si="9"/>
        <v>0</v>
      </c>
      <c r="U88" s="13" t="str">
        <f t="shared" si="10"/>
        <v>DESCRIÇÃO</v>
      </c>
      <c r="V88" s="4" t="str">
        <f ca="1">IF(OR($A88=0,$A88="S",$A88&gt;CFF!$A$9),"",MAX(V$12:OFFSET(V88,-1,0))+1)</f>
        <v/>
      </c>
      <c r="W88" s="9" t="str">
        <f t="shared" si="11"/>
        <v>SINAPI-91927</v>
      </c>
      <c r="X88" s="4" t="e">
        <f t="shared" ca="1" si="12"/>
        <v>#REF!</v>
      </c>
      <c r="Y88" s="121">
        <v>0</v>
      </c>
      <c r="Z88" s="132">
        <f ca="1">ROUND(IF(ISNUMBER(R88),R88,IF(LEFT(R88,3)="BDI",HLOOKUP(R88,DADOS!$T$37:$X$38,2,FALSE),0)),15-11*$X$5)</f>
        <v>0.2303</v>
      </c>
      <c r="AA88" s="4"/>
    </row>
    <row r="89" spans="1:27" x14ac:dyDescent="0.2">
      <c r="A89" t="str">
        <f t="shared" si="0"/>
        <v>S</v>
      </c>
      <c r="B89">
        <f t="shared" si="1"/>
        <v>0</v>
      </c>
      <c r="C89">
        <f t="shared" ca="1" si="2"/>
        <v>4</v>
      </c>
      <c r="D89">
        <f t="shared" ca="1" si="3"/>
        <v>4</v>
      </c>
      <c r="E89">
        <f t="shared" ca="1" si="4"/>
        <v>0</v>
      </c>
      <c r="F89">
        <f t="shared" ca="1" si="5"/>
        <v>0</v>
      </c>
      <c r="G89">
        <f t="shared" ca="1" si="6"/>
        <v>4</v>
      </c>
      <c r="H89">
        <f ca="1">IF(OR($A89="S",$A89=0),0,MATCH(0,OFFSET($B89,1,$A89,ROW($A$111)-ROW($A89)),0))</f>
        <v>0</v>
      </c>
      <c r="I89">
        <f ca="1">IF(OR($A89="S",$A89=0),0,MATCH(OFFSET($B89,0,$A89)+1,OFFSET($B89,1,$A89,ROW($A$111)-ROW($A89)),0))</f>
        <v>0</v>
      </c>
      <c r="J89" s="394" t="s">
        <v>103</v>
      </c>
      <c r="K89" s="162" t="str">
        <f t="shared" ca="1" si="7"/>
        <v>4.4.4.</v>
      </c>
      <c r="L89" s="395" t="s">
        <v>236</v>
      </c>
      <c r="M89" s="395" t="s">
        <v>255</v>
      </c>
      <c r="N89" s="397" t="s">
        <v>106</v>
      </c>
      <c r="O89" s="398" t="s">
        <v>106</v>
      </c>
      <c r="P89" s="399">
        <v>132</v>
      </c>
      <c r="Q89" s="228"/>
      <c r="R89" s="231" t="s">
        <v>7</v>
      </c>
      <c r="S89" s="121">
        <f t="shared" si="8"/>
        <v>0</v>
      </c>
      <c r="T89" s="98">
        <f t="shared" si="9"/>
        <v>0</v>
      </c>
      <c r="U89" s="13" t="str">
        <f t="shared" si="10"/>
        <v>DESCRIÇÃO</v>
      </c>
      <c r="V89" s="4" t="str">
        <f ca="1">IF(OR($A89=0,$A89="S",$A89&gt;CFF!$A$9),"",MAX(V$12:OFFSET(V89,-1,0))+1)</f>
        <v/>
      </c>
      <c r="W89" s="9" t="str">
        <f t="shared" si="11"/>
        <v>SINAPI-91836</v>
      </c>
      <c r="X89" s="4" t="e">
        <f t="shared" ca="1" si="12"/>
        <v>#REF!</v>
      </c>
      <c r="Y89" s="121">
        <v>0</v>
      </c>
      <c r="Z89" s="132">
        <f ca="1">ROUND(IF(ISNUMBER(R89),R89,IF(LEFT(R89,3)="BDI",HLOOKUP(R89,DADOS!$T$37:$X$38,2,FALSE),0)),15-11*$X$5)</f>
        <v>0.2303</v>
      </c>
      <c r="AA89" s="4"/>
    </row>
    <row r="90" spans="1:27" x14ac:dyDescent="0.2">
      <c r="A90" t="str">
        <f t="shared" si="0"/>
        <v>S</v>
      </c>
      <c r="B90">
        <f t="shared" si="1"/>
        <v>0</v>
      </c>
      <c r="C90">
        <f t="shared" ca="1" si="2"/>
        <v>4</v>
      </c>
      <c r="D90">
        <f t="shared" ca="1" si="3"/>
        <v>4</v>
      </c>
      <c r="E90">
        <f t="shared" ca="1" si="4"/>
        <v>0</v>
      </c>
      <c r="F90">
        <f t="shared" ca="1" si="5"/>
        <v>0</v>
      </c>
      <c r="G90">
        <f t="shared" ca="1" si="6"/>
        <v>5</v>
      </c>
      <c r="H90">
        <f ca="1">IF(OR($A90="S",$A90=0),0,MATCH(0,OFFSET($B90,1,$A90,ROW($A$111)-ROW($A90)),0))</f>
        <v>0</v>
      </c>
      <c r="I90">
        <f ca="1">IF(OR($A90="S",$A90=0),0,MATCH(OFFSET($B90,0,$A90)+1,OFFSET($B90,1,$A90,ROW($A$111)-ROW($A90)),0))</f>
        <v>0</v>
      </c>
      <c r="J90" s="394" t="s">
        <v>103</v>
      </c>
      <c r="K90" s="162" t="str">
        <f t="shared" ca="1" si="7"/>
        <v>4.4.5.</v>
      </c>
      <c r="L90" s="395" t="s">
        <v>236</v>
      </c>
      <c r="M90" s="395" t="s">
        <v>264</v>
      </c>
      <c r="N90" s="397" t="s">
        <v>106</v>
      </c>
      <c r="O90" s="398" t="s">
        <v>106</v>
      </c>
      <c r="P90" s="399">
        <v>2</v>
      </c>
      <c r="Q90" s="228"/>
      <c r="R90" s="231" t="s">
        <v>7</v>
      </c>
      <c r="S90" s="121">
        <f t="shared" si="8"/>
        <v>0</v>
      </c>
      <c r="T90" s="98">
        <f t="shared" si="9"/>
        <v>0</v>
      </c>
      <c r="U90" s="13" t="str">
        <f t="shared" si="10"/>
        <v>DESCRIÇÃO</v>
      </c>
      <c r="V90" s="4" t="str">
        <f ca="1">IF(OR($A90=0,$A90="S",$A90&gt;CFF!$A$9),"",MAX(V$12:OFFSET(V90,-1,0))+1)</f>
        <v/>
      </c>
      <c r="W90" s="9" t="str">
        <f t="shared" si="11"/>
        <v>SINAPI-93654</v>
      </c>
      <c r="X90" s="4" t="e">
        <f t="shared" ca="1" si="12"/>
        <v>#REF!</v>
      </c>
      <c r="Y90" s="121">
        <v>0</v>
      </c>
      <c r="Z90" s="132">
        <f ca="1">ROUND(IF(ISNUMBER(R90),R90,IF(LEFT(R90,3)="BDI",HLOOKUP(R90,DADOS!$T$37:$X$38,2,FALSE),0)),15-11*$X$5)</f>
        <v>0.2303</v>
      </c>
      <c r="AA90" s="4"/>
    </row>
    <row r="91" spans="1:27" x14ac:dyDescent="0.2">
      <c r="A91" t="str">
        <f t="shared" si="0"/>
        <v>S</v>
      </c>
      <c r="B91">
        <f t="shared" si="1"/>
        <v>0</v>
      </c>
      <c r="C91">
        <f t="shared" ca="1" si="2"/>
        <v>4</v>
      </c>
      <c r="D91">
        <f t="shared" ca="1" si="3"/>
        <v>4</v>
      </c>
      <c r="E91">
        <f t="shared" ca="1" si="4"/>
        <v>0</v>
      </c>
      <c r="F91">
        <f t="shared" ca="1" si="5"/>
        <v>0</v>
      </c>
      <c r="G91">
        <f t="shared" ca="1" si="6"/>
        <v>6</v>
      </c>
      <c r="H91">
        <f ca="1">IF(OR($A91="S",$A91=0),0,MATCH(0,OFFSET($B91,1,$A91,ROW($A$111)-ROW($A91)),0))</f>
        <v>0</v>
      </c>
      <c r="I91">
        <f ca="1">IF(OR($A91="S",$A91=0),0,MATCH(OFFSET($B91,0,$A91)+1,OFFSET($B91,1,$A91,ROW($A$111)-ROW($A91)),0))</f>
        <v>0</v>
      </c>
      <c r="J91" s="394" t="s">
        <v>103</v>
      </c>
      <c r="K91" s="162" t="str">
        <f t="shared" ca="1" si="7"/>
        <v>4.4.6.</v>
      </c>
      <c r="L91" s="395" t="s">
        <v>236</v>
      </c>
      <c r="M91" s="395" t="s">
        <v>265</v>
      </c>
      <c r="N91" s="397" t="s">
        <v>106</v>
      </c>
      <c r="O91" s="398" t="s">
        <v>106</v>
      </c>
      <c r="P91" s="399">
        <v>2</v>
      </c>
      <c r="Q91" s="228"/>
      <c r="R91" s="231" t="s">
        <v>7</v>
      </c>
      <c r="S91" s="121">
        <f t="shared" si="8"/>
        <v>0</v>
      </c>
      <c r="T91" s="98">
        <f t="shared" si="9"/>
        <v>0</v>
      </c>
      <c r="U91" s="13" t="str">
        <f t="shared" si="10"/>
        <v>DESCRIÇÃO</v>
      </c>
      <c r="V91" s="4" t="str">
        <f ca="1">IF(OR($A91=0,$A91="S",$A91&gt;CFF!$A$9),"",MAX(V$12:OFFSET(V91,-1,0))+1)</f>
        <v/>
      </c>
      <c r="W91" s="9" t="str">
        <f t="shared" si="11"/>
        <v>SINAPI-93655</v>
      </c>
      <c r="X91" s="4" t="e">
        <f t="shared" ca="1" si="12"/>
        <v>#REF!</v>
      </c>
      <c r="Y91" s="121">
        <v>0</v>
      </c>
      <c r="Z91" s="132">
        <f ca="1">ROUND(IF(ISNUMBER(R91),R91,IF(LEFT(R91,3)="BDI",HLOOKUP(R91,DADOS!$T$37:$X$38,2,FALSE),0)),15-11*$X$5)</f>
        <v>0.2303</v>
      </c>
      <c r="AA91" s="4"/>
    </row>
    <row r="92" spans="1:27" x14ac:dyDescent="0.2">
      <c r="A92" t="str">
        <f t="shared" si="0"/>
        <v>S</v>
      </c>
      <c r="B92">
        <f t="shared" si="1"/>
        <v>0</v>
      </c>
      <c r="C92">
        <f t="shared" ca="1" si="2"/>
        <v>4</v>
      </c>
      <c r="D92">
        <f t="shared" ca="1" si="3"/>
        <v>4</v>
      </c>
      <c r="E92">
        <f t="shared" ca="1" si="4"/>
        <v>0</v>
      </c>
      <c r="F92">
        <f t="shared" ca="1" si="5"/>
        <v>0</v>
      </c>
      <c r="G92">
        <f t="shared" ca="1" si="6"/>
        <v>7</v>
      </c>
      <c r="H92">
        <f ca="1">IF(OR($A92="S",$A92=0),0,MATCH(0,OFFSET($B92,1,$A92,ROW($A$111)-ROW($A92)),0))</f>
        <v>0</v>
      </c>
      <c r="I92">
        <f ca="1">IF(OR($A92="S",$A92=0),0,MATCH(OFFSET($B92,0,$A92)+1,OFFSET($B92,1,$A92,ROW($A$111)-ROW($A92)),0))</f>
        <v>0</v>
      </c>
      <c r="J92" s="394" t="s">
        <v>103</v>
      </c>
      <c r="K92" s="162" t="str">
        <f t="shared" ca="1" si="7"/>
        <v>4.4.7.</v>
      </c>
      <c r="L92" s="395" t="s">
        <v>236</v>
      </c>
      <c r="M92" s="395" t="s">
        <v>266</v>
      </c>
      <c r="N92" s="397" t="s">
        <v>106</v>
      </c>
      <c r="O92" s="398" t="s">
        <v>106</v>
      </c>
      <c r="P92" s="399">
        <v>4</v>
      </c>
      <c r="Q92" s="228"/>
      <c r="R92" s="231" t="s">
        <v>7</v>
      </c>
      <c r="S92" s="121">
        <f t="shared" si="8"/>
        <v>0</v>
      </c>
      <c r="T92" s="98">
        <f t="shared" si="9"/>
        <v>0</v>
      </c>
      <c r="U92" s="13" t="str">
        <f t="shared" si="10"/>
        <v>DESCRIÇÃO</v>
      </c>
      <c r="V92" s="4" t="str">
        <f ca="1">IF(OR($A92=0,$A92="S",$A92&gt;CFF!$A$9),"",MAX(V$12:OFFSET(V92,-1,0))+1)</f>
        <v/>
      </c>
      <c r="W92" s="9" t="str">
        <f t="shared" si="11"/>
        <v>SINAPI-93657</v>
      </c>
      <c r="X92" s="4" t="e">
        <f t="shared" ca="1" si="12"/>
        <v>#REF!</v>
      </c>
      <c r="Y92" s="121">
        <v>0</v>
      </c>
      <c r="Z92" s="132">
        <f ca="1">ROUND(IF(ISNUMBER(R92),R92,IF(LEFT(R92,3)="BDI",HLOOKUP(R92,DADOS!$T$37:$X$38,2,FALSE),0)),15-11*$X$5)</f>
        <v>0.2303</v>
      </c>
      <c r="AA92" s="4"/>
    </row>
    <row r="93" spans="1:27" x14ac:dyDescent="0.2">
      <c r="A93" t="str">
        <f>CHOOSE(1+LOG(1+2*(J93="Meta")+4*(J93="Nível 2")+8*(J93="Nível 3")+16*(J93="Nível 4")+32*(J93="Serviço"),2),0,1,2,3,4,"S")</f>
        <v>S</v>
      </c>
      <c r="B93">
        <f>IF(OR(A93="S",A93=0),0,IF(ISERROR(I93),H93,SMALL(H93:I93,1)))</f>
        <v>0</v>
      </c>
      <c r="C93">
        <f ca="1">IF($A93=1,OFFSET(C93,-1,0)+1,OFFSET(C93,-1,0))</f>
        <v>4</v>
      </c>
      <c r="D93">
        <f ca="1">IF($A93=1,0,IF($A93=2,OFFSET(D93,-1,0)+1,OFFSET(D93,-1,0)))</f>
        <v>4</v>
      </c>
      <c r="E93">
        <f ca="1">IF(AND($A93&lt;=2,$A93&lt;&gt;0),0,IF($A93=3,OFFSET(E93,-1,0)+1,OFFSET(E93,-1,0)))</f>
        <v>0</v>
      </c>
      <c r="F93">
        <f ca="1">IF(AND($A93&lt;=3,$A93&lt;&gt;0),0,IF($A93=4,OFFSET(F93,-1,0)+1,OFFSET(F93,-1,0)))</f>
        <v>0</v>
      </c>
      <c r="G93">
        <f ca="1">IF(AND($A93&lt;=4,$A93&lt;&gt;0),0,IF($A93="S",OFFSET(G93,-1,0)+1,OFFSET(G93,-1,0)))</f>
        <v>8</v>
      </c>
      <c r="H93">
        <f ca="1">IF(OR($A93="S",$A93=0),0,MATCH(0,OFFSET($B93,1,$A93,ROW($A$111)-ROW($A93)),0))</f>
        <v>0</v>
      </c>
      <c r="I93">
        <f ca="1">IF(OR($A93="S",$A93=0),0,MATCH(OFFSET($B93,0,$A93)+1,OFFSET($B93,1,$A93,ROW($A$111)-ROW($A93)),0))</f>
        <v>0</v>
      </c>
      <c r="J93" s="394" t="s">
        <v>103</v>
      </c>
      <c r="K93" s="162" t="str">
        <f ca="1">IF($A93=0,"-",CONCATENATE(C93&amp;".",IF(AND($A$5&gt;=2,$A93&gt;=2),D93&amp;".",""),IF(AND($A$5&gt;=3,$A93&gt;=3),E93&amp;".",""),IF(AND($A$5&gt;=4,$A93&gt;=4),F93&amp;".",""),IF($A93="S",G93&amp;".","")))</f>
        <v>4.4.8.</v>
      </c>
      <c r="L93" s="395" t="s">
        <v>236</v>
      </c>
      <c r="M93" s="395" t="s">
        <v>267</v>
      </c>
      <c r="N93" s="397" t="s">
        <v>106</v>
      </c>
      <c r="O93" s="398" t="s">
        <v>106</v>
      </c>
      <c r="P93" s="399">
        <v>1</v>
      </c>
      <c r="Q93" s="228"/>
      <c r="R93" s="231" t="s">
        <v>7</v>
      </c>
      <c r="S93" s="121">
        <f>IF($A93="S",IF($Q$10="Preço Unitário (R$)",PO.CustoUnitario,ROUND(PO.CustoUnitario*(1+$Z93),15-13*$X$6)),0)</f>
        <v>0</v>
      </c>
      <c r="T93" s="98">
        <f>IF($A93="S",VTOTAL1,IF($A93=0,0,ROUND(SomaAgrup,15-13*$X$7)))</f>
        <v>0</v>
      </c>
      <c r="U93" s="13" t="str">
        <f>IF($J93="","",IF($N93="","DESCRIÇÃO",IF(AND($J93="Serviço",$O93=""),"UNIDADE",IF($T93&lt;=0,"SEM VALOR",IF(AND($Y93&lt;&gt;"",$Q93&gt;$Y93),"ACIMA REF.","")))))</f>
        <v>DESCRIÇÃO</v>
      </c>
      <c r="V93" s="4" t="str">
        <f ca="1">IF(OR($A93=0,$A93="S",$A93&gt;CFF!$A$9),"",MAX(V$12:OFFSET(V93,-1,0))+1)</f>
        <v/>
      </c>
      <c r="W93" s="9" t="str">
        <f>IF(AND($J93="Serviço",$M93&lt;&gt;""),IF($L93="",$M93,CONCATENATE($L93,"-",$M93)))</f>
        <v>SINAPI-93658</v>
      </c>
      <c r="X93" s="4" t="e">
        <f ca="1">IF(AND(Fonte&lt;&gt;"",Código&lt;&gt;""),MATCH(Fonte&amp;" "&amp;IF(Fonte="sinapi",SUBSTITUTE(SUBSTITUTE(Código,"/00","/"),"/0","/"),Código),INDIRECT("'[Referência "&amp;_xlnm.Database&amp;".xls]Banco'!$a:$a"),0),"X")</f>
        <v>#REF!</v>
      </c>
      <c r="Y93" s="121">
        <v>0</v>
      </c>
      <c r="Z93" s="132">
        <f ca="1">ROUND(IF(ISNUMBER(R93),R93,IF(LEFT(R93,3)="BDI",HLOOKUP(R93,DADOS!$T$37:$X$38,2,FALSE),0)),15-11*$X$5)</f>
        <v>0.2303</v>
      </c>
      <c r="AA93" s="4"/>
    </row>
    <row r="94" spans="1:27" x14ac:dyDescent="0.2">
      <c r="A94" t="str">
        <f>CHOOSE(1+LOG(1+2*(J94="Meta")+4*(J94="Nível 2")+8*(J94="Nível 3")+16*(J94="Nível 4")+32*(J94="Serviço"),2),0,1,2,3,4,"S")</f>
        <v>S</v>
      </c>
      <c r="B94">
        <f>IF(OR(A94="S",A94=0),0,IF(ISERROR(I94),H94,SMALL(H94:I94,1)))</f>
        <v>0</v>
      </c>
      <c r="C94">
        <f ca="1">IF($A94=1,OFFSET(C94,-1,0)+1,OFFSET(C94,-1,0))</f>
        <v>4</v>
      </c>
      <c r="D94">
        <f ca="1">IF($A94=1,0,IF($A94=2,OFFSET(D94,-1,0)+1,OFFSET(D94,-1,0)))</f>
        <v>4</v>
      </c>
      <c r="E94">
        <f ca="1">IF(AND($A94&lt;=2,$A94&lt;&gt;0),0,IF($A94=3,OFFSET(E94,-1,0)+1,OFFSET(E94,-1,0)))</f>
        <v>0</v>
      </c>
      <c r="F94">
        <f ca="1">IF(AND($A94&lt;=3,$A94&lt;&gt;0),0,IF($A94=4,OFFSET(F94,-1,0)+1,OFFSET(F94,-1,0)))</f>
        <v>0</v>
      </c>
      <c r="G94">
        <f ca="1">IF(AND($A94&lt;=4,$A94&lt;&gt;0),0,IF($A94="S",OFFSET(G94,-1,0)+1,OFFSET(G94,-1,0)))</f>
        <v>9</v>
      </c>
      <c r="H94">
        <f ca="1">IF(OR($A94="S",$A94=0),0,MATCH(0,OFFSET($B94,1,$A94,ROW($A$111)-ROW($A94)),0))</f>
        <v>0</v>
      </c>
      <c r="I94">
        <f ca="1">IF(OR($A94="S",$A94=0),0,MATCH(OFFSET($B94,0,$A94)+1,OFFSET($B94,1,$A94,ROW($A$111)-ROW($A94)),0))</f>
        <v>0</v>
      </c>
      <c r="J94" s="394" t="s">
        <v>103</v>
      </c>
      <c r="K94" s="162" t="str">
        <f ca="1">IF($A94=0,"-",CONCATENATE(C94&amp;".",IF(AND($A$5&gt;=2,$A94&gt;=2),D94&amp;".",""),IF(AND($A$5&gt;=3,$A94&gt;=3),E94&amp;".",""),IF(AND($A$5&gt;=4,$A94&gt;=4),F94&amp;".",""),IF($A94="S",G94&amp;".","")))</f>
        <v>4.4.9.</v>
      </c>
      <c r="L94" s="395" t="s">
        <v>236</v>
      </c>
      <c r="M94" s="395" t="s">
        <v>292</v>
      </c>
      <c r="N94" s="397" t="s">
        <v>106</v>
      </c>
      <c r="O94" s="398" t="s">
        <v>106</v>
      </c>
      <c r="P94" s="399">
        <v>1</v>
      </c>
      <c r="Q94" s="228"/>
      <c r="R94" s="231" t="s">
        <v>7</v>
      </c>
      <c r="S94" s="121">
        <f>IF($A94="S",IF($Q$10="Preço Unitário (R$)",PO.CustoUnitario,ROUND(PO.CustoUnitario*(1+$Z94),15-13*$X$6)),0)</f>
        <v>0</v>
      </c>
      <c r="T94" s="98">
        <f>IF($A94="S",VTOTAL1,IF($A94=0,0,ROUND(SomaAgrup,15-13*$X$7)))</f>
        <v>0</v>
      </c>
      <c r="U94" s="13" t="str">
        <f>IF($J94="","",IF($N94="","DESCRIÇÃO",IF(AND($J94="Serviço",$O94=""),"UNIDADE",IF($T94&lt;=0,"SEM VALOR",IF(AND($Y94&lt;&gt;"",$Q94&gt;$Y94),"ACIMA REF.","")))))</f>
        <v>DESCRIÇÃO</v>
      </c>
      <c r="V94" s="4" t="str">
        <f ca="1">IF(OR($A94=0,$A94="S",$A94&gt;CFF!$A$9),"",MAX(V$12:OFFSET(V94,-1,0))+1)</f>
        <v/>
      </c>
      <c r="W94" s="9" t="str">
        <f>IF(AND($J94="Serviço",$M94&lt;&gt;""),IF($L94="",$M94,CONCATENATE($L94,"-",$M94)))</f>
        <v>SINAPI-101511</v>
      </c>
      <c r="X94" s="4" t="e">
        <f ca="1">IF(AND(Fonte&lt;&gt;"",Código&lt;&gt;""),MATCH(Fonte&amp;" "&amp;IF(Fonte="sinapi",SUBSTITUTE(SUBSTITUTE(Código,"/00","/"),"/0","/"),Código),INDIRECT("'[Referência "&amp;_xlnm.Database&amp;".xls]Banco'!$a:$a"),0),"X")</f>
        <v>#REF!</v>
      </c>
      <c r="Y94" s="121">
        <v>0</v>
      </c>
      <c r="Z94" s="132">
        <f ca="1">ROUND(IF(ISNUMBER(R94),R94,IF(LEFT(R94,3)="BDI",HLOOKUP(R94,DADOS!$T$37:$X$38,2,FALSE),0)),15-11*$X$5)</f>
        <v>0.2303</v>
      </c>
      <c r="AA94" s="4"/>
    </row>
    <row r="95" spans="1:27" x14ac:dyDescent="0.2">
      <c r="A95" t="str">
        <f>CHOOSE(1+LOG(1+2*(J95="Meta")+4*(J95="Nível 2")+8*(J95="Nível 3")+16*(J95="Nível 4")+32*(J95="Serviço"),2),0,1,2,3,4,"S")</f>
        <v>S</v>
      </c>
      <c r="B95">
        <f>IF(OR(A95="S",A95=0),0,IF(ISERROR(I95),H95,SMALL(H95:I95,1)))</f>
        <v>0</v>
      </c>
      <c r="C95">
        <f ca="1">IF($A95=1,OFFSET(C95,-1,0)+1,OFFSET(C95,-1,0))</f>
        <v>4</v>
      </c>
      <c r="D95">
        <f ca="1">IF($A95=1,0,IF($A95=2,OFFSET(D95,-1,0)+1,OFFSET(D95,-1,0)))</f>
        <v>4</v>
      </c>
      <c r="E95">
        <f ca="1">IF(AND($A95&lt;=2,$A95&lt;&gt;0),0,IF($A95=3,OFFSET(E95,-1,0)+1,OFFSET(E95,-1,0)))</f>
        <v>0</v>
      </c>
      <c r="F95">
        <f ca="1">IF(AND($A95&lt;=3,$A95&lt;&gt;0),0,IF($A95=4,OFFSET(F95,-1,0)+1,OFFSET(F95,-1,0)))</f>
        <v>0</v>
      </c>
      <c r="G95">
        <f ca="1">IF(AND($A95&lt;=4,$A95&lt;&gt;0),0,IF($A95="S",OFFSET(G95,-1,0)+1,OFFSET(G95,-1,0)))</f>
        <v>10</v>
      </c>
      <c r="H95">
        <f ca="1">IF(OR($A95="S",$A95=0),0,MATCH(0,OFFSET($B95,1,$A95,ROW($A$111)-ROW($A95)),0))</f>
        <v>0</v>
      </c>
      <c r="I95">
        <f ca="1">IF(OR($A95="S",$A95=0),0,MATCH(OFFSET($B95,0,$A95)+1,OFFSET($B95,1,$A95,ROW($A$111)-ROW($A95)),0))</f>
        <v>0</v>
      </c>
      <c r="J95" s="394" t="s">
        <v>103</v>
      </c>
      <c r="K95" s="162" t="str">
        <f ca="1">IF($A95=0,"-",CONCATENATE(C95&amp;".",IF(AND($A$5&gt;=2,$A95&gt;=2),D95&amp;".",""),IF(AND($A$5&gt;=3,$A95&gt;=3),E95&amp;".",""),IF(AND($A$5&gt;=4,$A95&gt;=4),F95&amp;".",""),IF($A95="S",G95&amp;".","")))</f>
        <v>4.4.10.</v>
      </c>
      <c r="L95" s="395" t="s">
        <v>252</v>
      </c>
      <c r="M95" s="395" t="s">
        <v>307</v>
      </c>
      <c r="N95" s="397" t="s">
        <v>106</v>
      </c>
      <c r="O95" s="398" t="s">
        <v>106</v>
      </c>
      <c r="P95" s="399">
        <v>1</v>
      </c>
      <c r="Q95" s="228"/>
      <c r="R95" s="231" t="s">
        <v>7</v>
      </c>
      <c r="S95" s="121">
        <f>IF($A95="S",IF($Q$10="Preço Unitário (R$)",PO.CustoUnitario,ROUND(PO.CustoUnitario*(1+$Z95),15-13*$X$6)),0)</f>
        <v>0</v>
      </c>
      <c r="T95" s="98">
        <f>IF($A95="S",VTOTAL1,IF($A95=0,0,ROUND(SomaAgrup,15-13*$X$7)))</f>
        <v>0</v>
      </c>
      <c r="U95" s="13" t="str">
        <f>IF($J95="","",IF($N95="","DESCRIÇÃO",IF(AND($J95="Serviço",$O95=""),"UNIDADE",IF($T95&lt;=0,"SEM VALOR",IF(AND($Y95&lt;&gt;"",$Q95&gt;$Y95),"ACIMA REF.","")))))</f>
        <v>DESCRIÇÃO</v>
      </c>
      <c r="V95" s="4" t="str">
        <f ca="1">IF(OR($A95=0,$A95="S",$A95&gt;CFF!$A$9),"",MAX(V$12:OFFSET(V95,-1,0))+1)</f>
        <v/>
      </c>
      <c r="W95" s="9" t="str">
        <f>IF(AND($J95="Serviço",$M95&lt;&gt;""),IF($L95="",$M95,CONCATENATE($L95,"-",$M95)))</f>
        <v>SINAPI-I-41197</v>
      </c>
      <c r="X95" s="4" t="e">
        <f ca="1">IF(AND(Fonte&lt;&gt;"",Código&lt;&gt;""),MATCH(Fonte&amp;" "&amp;IF(Fonte="sinapi",SUBSTITUTE(SUBSTITUTE(Código,"/00","/"),"/0","/"),Código),INDIRECT("'[Referência "&amp;_xlnm.Database&amp;".xls]Banco'!$a:$a"),0),"X")</f>
        <v>#REF!</v>
      </c>
      <c r="Y95" s="121">
        <v>0</v>
      </c>
      <c r="Z95" s="132">
        <f ca="1">ROUND(IF(ISNUMBER(R95),R95,IF(LEFT(R95,3)="BDI",HLOOKUP(R95,DADOS!$T$37:$X$38,2,FALSE),0)),15-11*$X$5)</f>
        <v>0.2303</v>
      </c>
      <c r="AA95" s="4"/>
    </row>
    <row r="96" spans="1:27" x14ac:dyDescent="0.2">
      <c r="A96">
        <f t="shared" si="0"/>
        <v>2</v>
      </c>
      <c r="B96">
        <f t="shared" ca="1" si="1"/>
        <v>4</v>
      </c>
      <c r="C96">
        <f t="shared" ca="1" si="2"/>
        <v>4</v>
      </c>
      <c r="D96">
        <f t="shared" ca="1" si="3"/>
        <v>5</v>
      </c>
      <c r="E96">
        <f t="shared" ca="1" si="4"/>
        <v>0</v>
      </c>
      <c r="F96">
        <f t="shared" ca="1" si="5"/>
        <v>0</v>
      </c>
      <c r="G96">
        <f t="shared" ca="1" si="6"/>
        <v>0</v>
      </c>
      <c r="H96">
        <f ca="1">IF(OR($A96="S",$A96=0),0,MATCH(0,OFFSET($B96,1,$A96,ROW($A$111)-ROW($A96)),0))</f>
        <v>15</v>
      </c>
      <c r="I96">
        <f ca="1">IF(OR($A96="S",$A96=0),0,MATCH(OFFSET($B96,0,$A96)+1,OFFSET($B96,1,$A96,ROW($A$111)-ROW($A96)),0))</f>
        <v>4</v>
      </c>
      <c r="J96" s="394" t="s">
        <v>100</v>
      </c>
      <c r="K96" s="162" t="str">
        <f t="shared" ca="1" si="7"/>
        <v>4.5.</v>
      </c>
      <c r="L96" s="395"/>
      <c r="M96" s="395"/>
      <c r="N96" s="397" t="s">
        <v>241</v>
      </c>
      <c r="O96" s="398" t="s">
        <v>106</v>
      </c>
      <c r="P96" s="399"/>
      <c r="Q96" s="228"/>
      <c r="R96" s="231" t="s">
        <v>7</v>
      </c>
      <c r="S96" s="121">
        <f t="shared" si="8"/>
        <v>0</v>
      </c>
      <c r="T96" s="98">
        <f t="shared" ca="1" si="9"/>
        <v>0</v>
      </c>
      <c r="U96" s="13" t="str">
        <f t="shared" ca="1" si="10"/>
        <v>SEM VALOR</v>
      </c>
      <c r="V96" s="4">
        <f ca="1">IF(OR($A96=0,$A96="S",$A96&gt;CFF!$A$9),"",MAX(V$12:OFFSET(V96,-1,0))+1)</f>
        <v>22</v>
      </c>
      <c r="W96" s="9" t="b">
        <f t="shared" si="11"/>
        <v>0</v>
      </c>
      <c r="X96" s="4" t="str">
        <f t="shared" ca="1" si="12"/>
        <v>X</v>
      </c>
      <c r="Y96" s="121">
        <v>0</v>
      </c>
      <c r="Z96" s="132">
        <f ca="1">ROUND(IF(ISNUMBER(R96),R96,IF(LEFT(R96,3)="BDI",HLOOKUP(R96,DADOS!$T$37:$X$38,2,FALSE),0)),15-11*$X$5)</f>
        <v>0.2303</v>
      </c>
      <c r="AA96" s="4"/>
    </row>
    <row r="97" spans="1:27" x14ac:dyDescent="0.2">
      <c r="A97" t="str">
        <f t="shared" si="0"/>
        <v>S</v>
      </c>
      <c r="B97">
        <f t="shared" si="1"/>
        <v>0</v>
      </c>
      <c r="C97">
        <f t="shared" ca="1" si="2"/>
        <v>4</v>
      </c>
      <c r="D97">
        <f t="shared" ca="1" si="3"/>
        <v>5</v>
      </c>
      <c r="E97">
        <f t="shared" ca="1" si="4"/>
        <v>0</v>
      </c>
      <c r="F97">
        <f t="shared" ca="1" si="5"/>
        <v>0</v>
      </c>
      <c r="G97">
        <f t="shared" ca="1" si="6"/>
        <v>1</v>
      </c>
      <c r="H97">
        <f ca="1">IF(OR($A97="S",$A97=0),0,MATCH(0,OFFSET($B97,1,$A97,ROW($A$111)-ROW($A97)),0))</f>
        <v>0</v>
      </c>
      <c r="I97">
        <f ca="1">IF(OR($A97="S",$A97=0),0,MATCH(OFFSET($B97,0,$A97)+1,OFFSET($B97,1,$A97,ROW($A$111)-ROW($A97)),0))</f>
        <v>0</v>
      </c>
      <c r="J97" s="394" t="s">
        <v>103</v>
      </c>
      <c r="K97" s="162" t="str">
        <f t="shared" ca="1" si="7"/>
        <v>4.5.1.</v>
      </c>
      <c r="L97" s="395" t="s">
        <v>236</v>
      </c>
      <c r="M97" s="395" t="s">
        <v>250</v>
      </c>
      <c r="N97" s="397" t="s">
        <v>106</v>
      </c>
      <c r="O97" s="398" t="s">
        <v>106</v>
      </c>
      <c r="P97" s="399">
        <v>190.84</v>
      </c>
      <c r="Q97" s="228"/>
      <c r="R97" s="231" t="s">
        <v>7</v>
      </c>
      <c r="S97" s="121">
        <f t="shared" si="8"/>
        <v>0</v>
      </c>
      <c r="T97" s="98">
        <f t="shared" si="9"/>
        <v>0</v>
      </c>
      <c r="U97" s="13" t="str">
        <f t="shared" si="10"/>
        <v>DESCRIÇÃO</v>
      </c>
      <c r="V97" s="4" t="str">
        <f ca="1">IF(OR($A97=0,$A97="S",$A97&gt;CFF!$A$9),"",MAX(V$12:OFFSET(V97,-1,0))+1)</f>
        <v/>
      </c>
      <c r="W97" s="9" t="str">
        <f t="shared" si="11"/>
        <v>SINAPI-96111</v>
      </c>
      <c r="X97" s="4" t="e">
        <f t="shared" ca="1" si="12"/>
        <v>#REF!</v>
      </c>
      <c r="Y97" s="121">
        <v>0</v>
      </c>
      <c r="Z97" s="132">
        <f ca="1">ROUND(IF(ISNUMBER(R97),R97,IF(LEFT(R97,3)="BDI",HLOOKUP(R97,DADOS!$T$37:$X$38,2,FALSE),0)),15-11*$X$5)</f>
        <v>0.2303</v>
      </c>
      <c r="AA97" s="4"/>
    </row>
    <row r="98" spans="1:27" x14ac:dyDescent="0.2">
      <c r="A98" t="str">
        <f t="shared" si="0"/>
        <v>S</v>
      </c>
      <c r="B98">
        <f t="shared" si="1"/>
        <v>0</v>
      </c>
      <c r="C98">
        <f t="shared" ca="1" si="2"/>
        <v>4</v>
      </c>
      <c r="D98">
        <f t="shared" ca="1" si="3"/>
        <v>5</v>
      </c>
      <c r="E98">
        <f t="shared" ca="1" si="4"/>
        <v>0</v>
      </c>
      <c r="F98">
        <f t="shared" ca="1" si="5"/>
        <v>0</v>
      </c>
      <c r="G98">
        <f t="shared" ca="1" si="6"/>
        <v>2</v>
      </c>
      <c r="H98">
        <f ca="1">IF(OR($A98="S",$A98=0),0,MATCH(0,OFFSET($B98,1,$A98,ROW($A$111)-ROW($A98)),0))</f>
        <v>0</v>
      </c>
      <c r="I98">
        <f ca="1">IF(OR($A98="S",$A98=0),0,MATCH(OFFSET($B98,0,$A98)+1,OFFSET($B98,1,$A98,ROW($A$111)-ROW($A98)),0))</f>
        <v>0</v>
      </c>
      <c r="J98" s="394" t="s">
        <v>103</v>
      </c>
      <c r="K98" s="162" t="str">
        <f t="shared" ca="1" si="7"/>
        <v>4.5.2.</v>
      </c>
      <c r="L98" s="395" t="s">
        <v>252</v>
      </c>
      <c r="M98" s="395" t="s">
        <v>251</v>
      </c>
      <c r="N98" s="397" t="s">
        <v>106</v>
      </c>
      <c r="O98" s="398" t="s">
        <v>106</v>
      </c>
      <c r="P98" s="399">
        <v>283.73</v>
      </c>
      <c r="Q98" s="228"/>
      <c r="R98" s="231" t="s">
        <v>7</v>
      </c>
      <c r="S98" s="121">
        <f t="shared" si="8"/>
        <v>0</v>
      </c>
      <c r="T98" s="98">
        <f t="shared" si="9"/>
        <v>0</v>
      </c>
      <c r="U98" s="13" t="str">
        <f t="shared" si="10"/>
        <v>DESCRIÇÃO</v>
      </c>
      <c r="V98" s="4" t="str">
        <f ca="1">IF(OR($A98=0,$A98="S",$A98&gt;CFF!$A$9),"",MAX(V$12:OFFSET(V98,-1,0))+1)</f>
        <v/>
      </c>
      <c r="W98" s="9" t="str">
        <f t="shared" si="11"/>
        <v>SINAPI-I-36250</v>
      </c>
      <c r="X98" s="4" t="e">
        <f t="shared" ca="1" si="12"/>
        <v>#REF!</v>
      </c>
      <c r="Y98" s="121">
        <v>0</v>
      </c>
      <c r="Z98" s="132">
        <f ca="1">ROUND(IF(ISNUMBER(R98),R98,IF(LEFT(R98,3)="BDI",HLOOKUP(R98,DADOS!$T$37:$X$38,2,FALSE),0)),15-11*$X$5)</f>
        <v>0.2303</v>
      </c>
      <c r="AA98" s="4"/>
    </row>
    <row r="99" spans="1:27" x14ac:dyDescent="0.2">
      <c r="A99" t="str">
        <f>CHOOSE(1+LOG(1+2*(J99="Meta")+4*(J99="Nível 2")+8*(J99="Nível 3")+16*(J99="Nível 4")+32*(J99="Serviço"),2),0,1,2,3,4,"S")</f>
        <v>S</v>
      </c>
      <c r="B99">
        <f>IF(OR(A99="S",A99=0),0,IF(ISERROR(I99),H99,SMALL(H99:I99,1)))</f>
        <v>0</v>
      </c>
      <c r="C99">
        <f ca="1">IF($A99=1,OFFSET(C99,-1,0)+1,OFFSET(C99,-1,0))</f>
        <v>4</v>
      </c>
      <c r="D99">
        <f ca="1">IF($A99=1,0,IF($A99=2,OFFSET(D99,-1,0)+1,OFFSET(D99,-1,0)))</f>
        <v>5</v>
      </c>
      <c r="E99">
        <f ca="1">IF(AND($A99&lt;=2,$A99&lt;&gt;0),0,IF($A99=3,OFFSET(E99,-1,0)+1,OFFSET(E99,-1,0)))</f>
        <v>0</v>
      </c>
      <c r="F99">
        <f ca="1">IF(AND($A99&lt;=3,$A99&lt;&gt;0),0,IF($A99=4,OFFSET(F99,-1,0)+1,OFFSET(F99,-1,0)))</f>
        <v>0</v>
      </c>
      <c r="G99">
        <f ca="1">IF(AND($A99&lt;=4,$A99&lt;&gt;0),0,IF($A99="S",OFFSET(G99,-1,0)+1,OFFSET(G99,-1,0)))</f>
        <v>3</v>
      </c>
      <c r="H99">
        <f ca="1">IF(OR($A99="S",$A99=0),0,MATCH(0,OFFSET($B99,1,$A99,ROW($A$111)-ROW($A99)),0))</f>
        <v>0</v>
      </c>
      <c r="I99">
        <f ca="1">IF(OR($A99="S",$A99=0),0,MATCH(OFFSET($B99,0,$A99)+1,OFFSET($B99,1,$A99,ROW($A$111)-ROW($A99)),0))</f>
        <v>0</v>
      </c>
      <c r="J99" s="394" t="s">
        <v>103</v>
      </c>
      <c r="K99" s="162" t="str">
        <f ca="1">IF($A99=0,"-",CONCATENATE(C99&amp;".",IF(AND($A$5&gt;=2,$A99&gt;=2),D99&amp;".",""),IF(AND($A$5&gt;=3,$A99&gt;=3),E99&amp;".",""),IF(AND($A$5&gt;=4,$A99&gt;=4),F99&amp;".",""),IF($A99="S",G99&amp;".","")))</f>
        <v>4.5.3.</v>
      </c>
      <c r="L99" s="395" t="s">
        <v>260</v>
      </c>
      <c r="M99" s="395" t="s">
        <v>262</v>
      </c>
      <c r="N99" s="397" t="s">
        <v>106</v>
      </c>
      <c r="O99" s="398" t="s">
        <v>106</v>
      </c>
      <c r="P99" s="399">
        <v>55.21</v>
      </c>
      <c r="Q99" s="228"/>
      <c r="R99" s="231" t="s">
        <v>7</v>
      </c>
      <c r="S99" s="121">
        <f>IF($A99="S",IF($Q$10="Preço Unitário (R$)",PO.CustoUnitario,ROUND(PO.CustoUnitario*(1+$Z99),15-13*$X$6)),0)</f>
        <v>0</v>
      </c>
      <c r="T99" s="98">
        <f>IF($A99="S",VTOTAL1,IF($A99=0,0,ROUND(SomaAgrup,15-13*$X$7)))</f>
        <v>0</v>
      </c>
      <c r="U99" s="13" t="str">
        <f>IF($J99="","",IF($N99="","DESCRIÇÃO",IF(AND($J99="Serviço",$O99=""),"UNIDADE",IF($T99&lt;=0,"SEM VALOR",IF(AND($Y99&lt;&gt;"",$Q99&gt;$Y99),"ACIMA REF.","")))))</f>
        <v>DESCRIÇÃO</v>
      </c>
      <c r="V99" s="4" t="str">
        <f ca="1">IF(OR($A99=0,$A99="S",$A99&gt;CFF!$A$9),"",MAX(V$12:OFFSET(V99,-1,0))+1)</f>
        <v/>
      </c>
      <c r="W99" s="9" t="str">
        <f>IF(AND($J99="Serviço",$M99&lt;&gt;""),IF($L99="",$M99,CONCATENATE($L99,"-",$M99)))</f>
        <v>COTAÇÃO-02</v>
      </c>
      <c r="X99" s="4" t="e">
        <f ca="1">IF(AND(Fonte&lt;&gt;"",Código&lt;&gt;""),MATCH(Fonte&amp;" "&amp;IF(Fonte="sinapi",SUBSTITUTE(SUBSTITUTE(Código,"/00","/"),"/0","/"),Código),INDIRECT("'[Referência "&amp;_xlnm.Database&amp;".xls]Banco'!$a:$a"),0),"X")</f>
        <v>#REF!</v>
      </c>
      <c r="Y99" s="121">
        <v>0</v>
      </c>
      <c r="Z99" s="132">
        <f ca="1">ROUND(IF(ISNUMBER(R99),R99,IF(LEFT(R99,3)="BDI",HLOOKUP(R99,DADOS!$T$37:$X$38,2,FALSE),0)),15-11*$X$5)</f>
        <v>0.2303</v>
      </c>
      <c r="AA99" s="4"/>
    </row>
    <row r="100" spans="1:27" x14ac:dyDescent="0.2">
      <c r="A100">
        <f t="shared" si="0"/>
        <v>2</v>
      </c>
      <c r="B100">
        <f t="shared" ca="1" si="1"/>
        <v>3</v>
      </c>
      <c r="C100">
        <f t="shared" ca="1" si="2"/>
        <v>4</v>
      </c>
      <c r="D100">
        <f t="shared" ca="1" si="3"/>
        <v>6</v>
      </c>
      <c r="E100">
        <f t="shared" ca="1" si="4"/>
        <v>0</v>
      </c>
      <c r="F100">
        <f t="shared" ca="1" si="5"/>
        <v>0</v>
      </c>
      <c r="G100">
        <f t="shared" ca="1" si="6"/>
        <v>0</v>
      </c>
      <c r="H100">
        <f ca="1">IF(OR($A100="S",$A100=0),0,MATCH(0,OFFSET($B100,1,$A100,ROW($A$111)-ROW($A100)),0))</f>
        <v>11</v>
      </c>
      <c r="I100">
        <f ca="1">IF(OR($A100="S",$A100=0),0,MATCH(OFFSET($B100,0,$A100)+1,OFFSET($B100,1,$A100,ROW($A$111)-ROW($A100)),0))</f>
        <v>3</v>
      </c>
      <c r="J100" s="394" t="s">
        <v>100</v>
      </c>
      <c r="K100" s="162" t="str">
        <f t="shared" ca="1" si="7"/>
        <v>4.6.</v>
      </c>
      <c r="L100" s="395"/>
      <c r="M100" s="395"/>
      <c r="N100" s="397" t="s">
        <v>281</v>
      </c>
      <c r="O100" s="398" t="s">
        <v>106</v>
      </c>
      <c r="P100" s="399">
        <v>0</v>
      </c>
      <c r="Q100" s="228"/>
      <c r="R100" s="231" t="s">
        <v>7</v>
      </c>
      <c r="S100" s="121">
        <f t="shared" si="8"/>
        <v>0</v>
      </c>
      <c r="T100" s="98">
        <f t="shared" ca="1" si="9"/>
        <v>0</v>
      </c>
      <c r="U100" s="13" t="str">
        <f t="shared" ca="1" si="10"/>
        <v>SEM VALOR</v>
      </c>
      <c r="V100" s="4">
        <f ca="1">IF(OR($A100=0,$A100="S",$A100&gt;CFF!$A$9),"",MAX(V$12:OFFSET(V100,-1,0))+1)</f>
        <v>23</v>
      </c>
      <c r="W100" s="9" t="b">
        <f t="shared" si="11"/>
        <v>0</v>
      </c>
      <c r="X100" s="4" t="str">
        <f t="shared" ca="1" si="12"/>
        <v>X</v>
      </c>
      <c r="Y100" s="121">
        <v>0</v>
      </c>
      <c r="Z100" s="132">
        <f ca="1">ROUND(IF(ISNUMBER(R100),R100,IF(LEFT(R100,3)="BDI",HLOOKUP(R100,DADOS!$T$37:$X$38,2,FALSE),0)),15-11*$X$5)</f>
        <v>0.2303</v>
      </c>
      <c r="AA100" s="4"/>
    </row>
    <row r="101" spans="1:27" x14ac:dyDescent="0.2">
      <c r="A101" t="str">
        <f t="shared" si="0"/>
        <v>S</v>
      </c>
      <c r="B101">
        <f t="shared" si="1"/>
        <v>0</v>
      </c>
      <c r="C101">
        <f t="shared" ca="1" si="2"/>
        <v>4</v>
      </c>
      <c r="D101">
        <f t="shared" ca="1" si="3"/>
        <v>6</v>
      </c>
      <c r="E101">
        <f t="shared" ca="1" si="4"/>
        <v>0</v>
      </c>
      <c r="F101">
        <f t="shared" ca="1" si="5"/>
        <v>0</v>
      </c>
      <c r="G101">
        <f t="shared" ca="1" si="6"/>
        <v>1</v>
      </c>
      <c r="H101">
        <f ca="1">IF(OR($A101="S",$A101=0),0,MATCH(0,OFFSET($B101,1,$A101,ROW($A$111)-ROW($A101)),0))</f>
        <v>0</v>
      </c>
      <c r="I101">
        <f ca="1">IF(OR($A101="S",$A101=0),0,MATCH(OFFSET($B101,0,$A101)+1,OFFSET($B101,1,$A101,ROW($A$111)-ROW($A101)),0))</f>
        <v>0</v>
      </c>
      <c r="J101" s="394" t="s">
        <v>103</v>
      </c>
      <c r="K101" s="162" t="str">
        <f t="shared" ca="1" si="7"/>
        <v>4.6.1.</v>
      </c>
      <c r="L101" s="395" t="s">
        <v>236</v>
      </c>
      <c r="M101" s="395" t="s">
        <v>291</v>
      </c>
      <c r="N101" s="397" t="s">
        <v>106</v>
      </c>
      <c r="O101" s="398" t="s">
        <v>106</v>
      </c>
      <c r="P101" s="399">
        <v>10</v>
      </c>
      <c r="Q101" s="228"/>
      <c r="R101" s="231" t="s">
        <v>7</v>
      </c>
      <c r="S101" s="121">
        <f t="shared" si="8"/>
        <v>0</v>
      </c>
      <c r="T101" s="98">
        <f t="shared" si="9"/>
        <v>0</v>
      </c>
      <c r="U101" s="13" t="str">
        <f t="shared" si="10"/>
        <v>DESCRIÇÃO</v>
      </c>
      <c r="V101" s="4" t="str">
        <f ca="1">IF(OR($A101=0,$A101="S",$A101&gt;CFF!$A$9),"",MAX(V$12:OFFSET(V101,-1,0))+1)</f>
        <v/>
      </c>
      <c r="W101" s="9" t="str">
        <f t="shared" si="11"/>
        <v>SINAPI-100735</v>
      </c>
      <c r="X101" s="4" t="e">
        <f t="shared" ca="1" si="12"/>
        <v>#REF!</v>
      </c>
      <c r="Y101" s="121">
        <v>0</v>
      </c>
      <c r="Z101" s="132">
        <f ca="1">ROUND(IF(ISNUMBER(R101),R101,IF(LEFT(R101,3)="BDI",HLOOKUP(R101,DADOS!$T$37:$X$38,2,FALSE),0)),15-11*$X$5)</f>
        <v>0.2303</v>
      </c>
      <c r="AA101" s="4"/>
    </row>
    <row r="102" spans="1:27" x14ac:dyDescent="0.2">
      <c r="A102" t="str">
        <f>CHOOSE(1+LOG(1+2*(J102="Meta")+4*(J102="Nível 2")+8*(J102="Nível 3")+16*(J102="Nível 4")+32*(J102="Serviço"),2),0,1,2,3,4,"S")</f>
        <v>S</v>
      </c>
      <c r="B102">
        <f>IF(OR(A102="S",A102=0),0,IF(ISERROR(I102),H102,SMALL(H102:I102,1)))</f>
        <v>0</v>
      </c>
      <c r="C102">
        <f ca="1">IF($A102=1,OFFSET(C102,-1,0)+1,OFFSET(C102,-1,0))</f>
        <v>4</v>
      </c>
      <c r="D102">
        <f ca="1">IF($A102=1,0,IF($A102=2,OFFSET(D102,-1,0)+1,OFFSET(D102,-1,0)))</f>
        <v>6</v>
      </c>
      <c r="E102">
        <f ca="1">IF(AND($A102&lt;=2,$A102&lt;&gt;0),0,IF($A102=3,OFFSET(E102,-1,0)+1,OFFSET(E102,-1,0)))</f>
        <v>0</v>
      </c>
      <c r="F102">
        <f ca="1">IF(AND($A102&lt;=3,$A102&lt;&gt;0),0,IF($A102=4,OFFSET(F102,-1,0)+1,OFFSET(F102,-1,0)))</f>
        <v>0</v>
      </c>
      <c r="G102">
        <f ca="1">IF(AND($A102&lt;=4,$A102&lt;&gt;0),0,IF($A102="S",OFFSET(G102,-1,0)+1,OFFSET(G102,-1,0)))</f>
        <v>2</v>
      </c>
      <c r="H102">
        <f ca="1">IF(OR($A102="S",$A102=0),0,MATCH(0,OFFSET($B102,1,$A102,ROW($A$111)-ROW($A102)),0))</f>
        <v>0</v>
      </c>
      <c r="I102">
        <f ca="1">IF(OR($A102="S",$A102=0),0,MATCH(OFFSET($B102,0,$A102)+1,OFFSET($B102,1,$A102,ROW($A$111)-ROW($A102)),0))</f>
        <v>0</v>
      </c>
      <c r="J102" s="394" t="s">
        <v>103</v>
      </c>
      <c r="K102" s="162" t="str">
        <f ca="1">IF($A102=0,"-",CONCATENATE(C102&amp;".",IF(AND($A$5&gt;=2,$A102&gt;=2),D102&amp;".",""),IF(AND($A$5&gt;=3,$A102&gt;=3),E102&amp;".",""),IF(AND($A$5&gt;=4,$A102&gt;=4),F102&amp;".",""),IF($A102="S",G102&amp;".","")))</f>
        <v>4.6.2.</v>
      </c>
      <c r="L102" s="395" t="s">
        <v>236</v>
      </c>
      <c r="M102" s="395" t="s">
        <v>306</v>
      </c>
      <c r="N102" s="397" t="s">
        <v>106</v>
      </c>
      <c r="O102" s="398" t="s">
        <v>106</v>
      </c>
      <c r="P102" s="399">
        <v>8.2799999999999994</v>
      </c>
      <c r="Q102" s="228"/>
      <c r="R102" s="231" t="s">
        <v>7</v>
      </c>
      <c r="S102" s="121">
        <f>IF($A102="S",IF($Q$10="Preço Unitário (R$)",PO.CustoUnitario,ROUND(PO.CustoUnitario*(1+$Z102),15-13*$X$6)),0)</f>
        <v>0</v>
      </c>
      <c r="T102" s="98">
        <f>IF($A102="S",VTOTAL1,IF($A102=0,0,ROUND(SomaAgrup,15-13*$X$7)))</f>
        <v>0</v>
      </c>
      <c r="U102" s="13" t="str">
        <f>IF($J102="","",IF($N102="","DESCRIÇÃO",IF(AND($J102="Serviço",$O102=""),"UNIDADE",IF($T102&lt;=0,"SEM VALOR",IF(AND($Y102&lt;&gt;"",$Q102&gt;$Y102),"ACIMA REF.","")))))</f>
        <v>DESCRIÇÃO</v>
      </c>
      <c r="V102" s="4" t="str">
        <f ca="1">IF(OR($A102=0,$A102="S",$A102&gt;CFF!$A$9),"",MAX(V$12:OFFSET(V102,-1,0))+1)</f>
        <v/>
      </c>
      <c r="W102" s="9" t="str">
        <f>IF(AND($J102="Serviço",$M102&lt;&gt;""),IF($L102="",$M102,CONCATENATE($L102,"-",$M102)))</f>
        <v>SINAPI-102217</v>
      </c>
      <c r="X102" s="4" t="e">
        <f ca="1">IF(AND(Fonte&lt;&gt;"",Código&lt;&gt;""),MATCH(Fonte&amp;" "&amp;IF(Fonte="sinapi",SUBSTITUTE(SUBSTITUTE(Código,"/00","/"),"/0","/"),Código),INDIRECT("'[Referência "&amp;_xlnm.Database&amp;".xls]Banco'!$a:$a"),0),"X")</f>
        <v>#REF!</v>
      </c>
      <c r="Y102" s="121">
        <v>0</v>
      </c>
      <c r="Z102" s="132">
        <f ca="1">ROUND(IF(ISNUMBER(R102),R102,IF(LEFT(R102,3)="BDI",HLOOKUP(R102,DADOS!$T$37:$X$38,2,FALSE),0)),15-11*$X$5)</f>
        <v>0.2303</v>
      </c>
      <c r="AA102" s="4"/>
    </row>
    <row r="103" spans="1:27" x14ac:dyDescent="0.2">
      <c r="A103">
        <f>CHOOSE(1+LOG(1+2*(J103="Meta")+4*(J103="Nível 2")+8*(J103="Nível 3")+16*(J103="Nível 4")+32*(J103="Serviço"),2),0,1,2,3,4,"S")</f>
        <v>2</v>
      </c>
      <c r="B103">
        <f ca="1">IF(OR(A103="S",A103=0),0,IF(ISERROR(I103),H103,SMALL(H103:I103,1)))</f>
        <v>8</v>
      </c>
      <c r="C103">
        <f ca="1">IF($A103=1,OFFSET(C103,-1,0)+1,OFFSET(C103,-1,0))</f>
        <v>4</v>
      </c>
      <c r="D103">
        <f ca="1">IF($A103=1,0,IF($A103=2,OFFSET(D103,-1,0)+1,OFFSET(D103,-1,0)))</f>
        <v>7</v>
      </c>
      <c r="E103">
        <f ca="1">IF(AND($A103&lt;=2,$A103&lt;&gt;0),0,IF($A103=3,OFFSET(E103,-1,0)+1,OFFSET(E103,-1,0)))</f>
        <v>0</v>
      </c>
      <c r="F103">
        <f ca="1">IF(AND($A103&lt;=3,$A103&lt;&gt;0),0,IF($A103=4,OFFSET(F103,-1,0)+1,OFFSET(F103,-1,0)))</f>
        <v>0</v>
      </c>
      <c r="G103">
        <f ca="1">IF(AND($A103&lt;=4,$A103&lt;&gt;0),0,IF($A103="S",OFFSET(G103,-1,0)+1,OFFSET(G103,-1,0)))</f>
        <v>0</v>
      </c>
      <c r="H103">
        <f ca="1">IF(OR($A103="S",$A103=0),0,MATCH(0,OFFSET($B103,1,$A103,ROW($A$111)-ROW($A103)),0))</f>
        <v>8</v>
      </c>
      <c r="I103" t="e">
        <f ca="1">IF(OR($A103="S",$A103=0),0,MATCH(OFFSET($B103,0,$A103)+1,OFFSET($B103,1,$A103,ROW($A$111)-ROW($A103)),0))</f>
        <v>#N/A</v>
      </c>
      <c r="J103" s="394" t="s">
        <v>100</v>
      </c>
      <c r="K103" s="162" t="str">
        <f ca="1">IF($A103=0,"-",CONCATENATE(C103&amp;".",IF(AND($A$5&gt;=2,$A103&gt;=2),D103&amp;".",""),IF(AND($A$5&gt;=3,$A103&gt;=3),E103&amp;".",""),IF(AND($A$5&gt;=4,$A103&gt;=4),F103&amp;".",""),IF($A103="S",G103&amp;".","")))</f>
        <v>4.7.</v>
      </c>
      <c r="L103" s="395"/>
      <c r="M103" s="395"/>
      <c r="N103" s="397" t="s">
        <v>284</v>
      </c>
      <c r="O103" s="398" t="s">
        <v>106</v>
      </c>
      <c r="P103" s="399"/>
      <c r="Q103" s="228"/>
      <c r="R103" s="231" t="s">
        <v>7</v>
      </c>
      <c r="S103" s="121">
        <f t="shared" ref="S103:S110" si="49">IF($A103="S",IF($Q$10="Preço Unitário (R$)",PO.CustoUnitario,ROUND(PO.CustoUnitario*(1+$Z103),15-13*$X$6)),0)</f>
        <v>0</v>
      </c>
      <c r="T103" s="98">
        <f t="shared" ref="T103:T110" ca="1" si="50">IF($A103="S",VTOTAL1,IF($A103=0,0,ROUND(SomaAgrup,15-13*$X$7)))</f>
        <v>0</v>
      </c>
      <c r="U103" s="13" t="str">
        <f ca="1">IF($J103="","",IF($N103="","DESCRIÇÃO",IF(AND($J103="Serviço",$O103=""),"UNIDADE",IF($T103&lt;=0,"SEM VALOR",IF(AND($Y103&lt;&gt;"",$Q103&gt;$Y103),"ACIMA REF.","")))))</f>
        <v>SEM VALOR</v>
      </c>
      <c r="V103" s="4">
        <f ca="1">IF(OR($A103=0,$A103="S",$A103&gt;CFF!$A$9),"",MAX(V$12:OFFSET(V103,-1,0))+1)</f>
        <v>24</v>
      </c>
      <c r="W103" s="9" t="b">
        <f>IF(AND($J103="Serviço",$M103&lt;&gt;""),IF($L103="",$M103,CONCATENATE($L103,"-",$M103)))</f>
        <v>0</v>
      </c>
      <c r="X103" s="4" t="str">
        <f t="shared" ref="X103:X110" ca="1" si="51">IF(AND(Fonte&lt;&gt;"",Código&lt;&gt;""),MATCH(Fonte&amp;" "&amp;IF(Fonte="sinapi",SUBSTITUTE(SUBSTITUTE(Código,"/00","/"),"/0","/"),Código),INDIRECT("'[Referência "&amp;_xlnm.Database&amp;".xls]Banco'!$a:$a"),0),"X")</f>
        <v>X</v>
      </c>
      <c r="Y103" s="121">
        <v>0</v>
      </c>
      <c r="Z103" s="132">
        <f ca="1">ROUND(IF(ISNUMBER(R103),R103,IF(LEFT(R103,3)="BDI",HLOOKUP(R103,DADOS!$T$37:$X$38,2,FALSE),0)),15-11*$X$5)</f>
        <v>0.2303</v>
      </c>
      <c r="AA103" s="4"/>
    </row>
    <row r="104" spans="1:27" x14ac:dyDescent="0.2">
      <c r="A104" t="str">
        <f t="shared" ref="A104" si="52">CHOOSE(1+LOG(1+2*(J104="Meta")+4*(J104="Nível 2")+8*(J104="Nível 3")+16*(J104="Nível 4")+32*(J104="Serviço"),2),0,1,2,3,4,"S")</f>
        <v>S</v>
      </c>
      <c r="B104">
        <f t="shared" ref="B104" si="53">IF(OR(A104="S",A104=0),0,IF(ISERROR(I104),H104,SMALL(H104:I104,1)))</f>
        <v>0</v>
      </c>
      <c r="C104">
        <f t="shared" ref="C104" ca="1" si="54">IF($A104=1,OFFSET(C104,-1,0)+1,OFFSET(C104,-1,0))</f>
        <v>4</v>
      </c>
      <c r="D104">
        <f t="shared" ref="D104" ca="1" si="55">IF($A104=1,0,IF($A104=2,OFFSET(D104,-1,0)+1,OFFSET(D104,-1,0)))</f>
        <v>7</v>
      </c>
      <c r="E104">
        <f t="shared" ref="E104" ca="1" si="56">IF(AND($A104&lt;=2,$A104&lt;&gt;0),0,IF($A104=3,OFFSET(E104,-1,0)+1,OFFSET(E104,-1,0)))</f>
        <v>0</v>
      </c>
      <c r="F104">
        <f t="shared" ref="F104" ca="1" si="57">IF(AND($A104&lt;=3,$A104&lt;&gt;0),0,IF($A104=4,OFFSET(F104,-1,0)+1,OFFSET(F104,-1,0)))</f>
        <v>0</v>
      </c>
      <c r="G104">
        <f t="shared" ref="G104" ca="1" si="58">IF(AND($A104&lt;=4,$A104&lt;&gt;0),0,IF($A104="S",OFFSET(G104,-1,0)+1,OFFSET(G104,-1,0)))</f>
        <v>1</v>
      </c>
      <c r="H104">
        <f ca="1">IF(OR($A104="S",$A104=0),0,MATCH(0,OFFSET($B104,1,$A104,ROW($A$111)-ROW($A104)),0))</f>
        <v>0</v>
      </c>
      <c r="I104">
        <f ca="1">IF(OR($A104="S",$A104=0),0,MATCH(OFFSET($B104,0,$A104)+1,OFFSET($B104,1,$A104,ROW($A$111)-ROW($A104)),0))</f>
        <v>0</v>
      </c>
      <c r="J104" s="394" t="s">
        <v>103</v>
      </c>
      <c r="K104" s="162" t="str">
        <f t="shared" ref="K104" ca="1" si="59">IF($A104=0,"-",CONCATENATE(C104&amp;".",IF(AND($A$5&gt;=2,$A104&gt;=2),D104&amp;".",""),IF(AND($A$5&gt;=3,$A104&gt;=3),E104&amp;".",""),IF(AND($A$5&gt;=4,$A104&gt;=4),F104&amp;".",""),IF($A104="S",G104&amp;".","")))</f>
        <v>4.7.1.</v>
      </c>
      <c r="L104" s="395" t="s">
        <v>285</v>
      </c>
      <c r="M104" s="395" t="s">
        <v>261</v>
      </c>
      <c r="N104" s="397" t="s">
        <v>106</v>
      </c>
      <c r="O104" s="398" t="s">
        <v>106</v>
      </c>
      <c r="P104" s="399">
        <v>3</v>
      </c>
      <c r="Q104" s="228"/>
      <c r="R104" s="231" t="s">
        <v>7</v>
      </c>
      <c r="S104" s="121">
        <f t="shared" si="49"/>
        <v>0</v>
      </c>
      <c r="T104" s="98">
        <f t="shared" si="50"/>
        <v>0</v>
      </c>
      <c r="U104" s="13" t="str">
        <f t="shared" ref="U104" si="60">IF($J104="","",IF($N104="","DESCRIÇÃO",IF(AND($J104="Serviço",$O104=""),"UNIDADE",IF($T104&lt;=0,"SEM VALOR",IF(AND($Y104&lt;&gt;"",$Q104&gt;$Y104),"ACIMA REF.","")))))</f>
        <v>DESCRIÇÃO</v>
      </c>
      <c r="V104" s="4" t="str">
        <f ca="1">IF(OR($A104=0,$A104="S",$A104&gt;CFF!$A$9),"",MAX(V$12:OFFSET(V104,-1,0))+1)</f>
        <v/>
      </c>
      <c r="W104" s="9" t="str">
        <f t="shared" ref="W104" si="61">IF(AND($J104="Serviço",$M104&lt;&gt;""),IF($L104="",$M104,CONCATENATE($L104,"-",$M104)))</f>
        <v>COMPOSIÇÃO-01</v>
      </c>
      <c r="X104" s="4" t="e">
        <f t="shared" ca="1" si="51"/>
        <v>#REF!</v>
      </c>
      <c r="Y104" s="121">
        <v>0</v>
      </c>
      <c r="Z104" s="132">
        <f ca="1">ROUND(IF(ISNUMBER(R104),R104,IF(LEFT(R104,3)="BDI",HLOOKUP(R104,DADOS!$T$37:$X$38,2,FALSE),0)),15-11*$X$5)</f>
        <v>0.2303</v>
      </c>
      <c r="AA104" s="4"/>
    </row>
    <row r="105" spans="1:27" x14ac:dyDescent="0.2">
      <c r="A105" t="str">
        <f t="shared" ref="A105:A110" si="62">CHOOSE(1+LOG(1+2*(J105="Meta")+4*(J105="Nível 2")+8*(J105="Nível 3")+16*(J105="Nível 4")+32*(J105="Serviço"),2),0,1,2,3,4,"S")</f>
        <v>S</v>
      </c>
      <c r="B105">
        <f t="shared" ref="B105:B110" si="63">IF(OR(A105="S",A105=0),0,IF(ISERROR(I105),H105,SMALL(H105:I105,1)))</f>
        <v>0</v>
      </c>
      <c r="C105">
        <f t="shared" ref="C105:C110" ca="1" si="64">IF($A105=1,OFFSET(C105,-1,0)+1,OFFSET(C105,-1,0))</f>
        <v>4</v>
      </c>
      <c r="D105">
        <f t="shared" ref="D105:D110" ca="1" si="65">IF($A105=1,0,IF($A105=2,OFFSET(D105,-1,0)+1,OFFSET(D105,-1,0)))</f>
        <v>7</v>
      </c>
      <c r="E105">
        <f t="shared" ref="E105:E110" ca="1" si="66">IF(AND($A105&lt;=2,$A105&lt;&gt;0),0,IF($A105=3,OFFSET(E105,-1,0)+1,OFFSET(E105,-1,0)))</f>
        <v>0</v>
      </c>
      <c r="F105">
        <f t="shared" ref="F105:F110" ca="1" si="67">IF(AND($A105&lt;=3,$A105&lt;&gt;0),0,IF($A105=4,OFFSET(F105,-1,0)+1,OFFSET(F105,-1,0)))</f>
        <v>0</v>
      </c>
      <c r="G105">
        <f t="shared" ref="G105:G110" ca="1" si="68">IF(AND($A105&lt;=4,$A105&lt;&gt;0),0,IF($A105="S",OFFSET(G105,-1,0)+1,OFFSET(G105,-1,0)))</f>
        <v>2</v>
      </c>
      <c r="H105">
        <f ca="1">IF(OR($A105="S",$A105=0),0,MATCH(0,OFFSET($B105,1,$A105,ROW($A$111)-ROW($A105)),0))</f>
        <v>0</v>
      </c>
      <c r="I105">
        <f ca="1">IF(OR($A105="S",$A105=0),0,MATCH(OFFSET($B105,0,$A105)+1,OFFSET($B105,1,$A105,ROW($A$111)-ROW($A105)),0))</f>
        <v>0</v>
      </c>
      <c r="J105" s="394" t="s">
        <v>103</v>
      </c>
      <c r="K105" s="162" t="str">
        <f t="shared" ref="K105:K110" ca="1" si="69">IF($A105=0,"-",CONCATENATE(C105&amp;".",IF(AND($A$5&gt;=2,$A105&gt;=2),D105&amp;".",""),IF(AND($A$5&gt;=3,$A105&gt;=3),E105&amp;".",""),IF(AND($A$5&gt;=4,$A105&gt;=4),F105&amp;".",""),IF($A105="S",G105&amp;".","")))</f>
        <v>4.7.2.</v>
      </c>
      <c r="L105" s="395" t="s">
        <v>236</v>
      </c>
      <c r="M105" s="395" t="s">
        <v>287</v>
      </c>
      <c r="N105" s="397" t="s">
        <v>106</v>
      </c>
      <c r="O105" s="398" t="s">
        <v>106</v>
      </c>
      <c r="P105" s="399">
        <v>70.62</v>
      </c>
      <c r="Q105" s="228"/>
      <c r="R105" s="231" t="s">
        <v>7</v>
      </c>
      <c r="S105" s="121">
        <f t="shared" si="49"/>
        <v>0</v>
      </c>
      <c r="T105" s="98">
        <f t="shared" si="50"/>
        <v>0</v>
      </c>
      <c r="U105" s="13" t="str">
        <f t="shared" ref="U105:U110" si="70">IF($J105="","",IF($N105="","DESCRIÇÃO",IF(AND($J105="Serviço",$O105=""),"UNIDADE",IF($T105&lt;=0,"SEM VALOR",IF(AND($Y105&lt;&gt;"",$Q105&gt;$Y105),"ACIMA REF.","")))))</f>
        <v>DESCRIÇÃO</v>
      </c>
      <c r="V105" s="4" t="str">
        <f ca="1">IF(OR($A105=0,$A105="S",$A105&gt;CFF!$A$9),"",MAX(V$12:OFFSET(V105,-1,0))+1)</f>
        <v/>
      </c>
      <c r="W105" s="9" t="str">
        <f t="shared" ref="W105:W110" si="71">IF(AND($J105="Serviço",$M105&lt;&gt;""),IF($L105="",$M105,CONCATENATE($L105,"-",$M105)))</f>
        <v>SINAPI-94319</v>
      </c>
      <c r="X105" s="4" t="e">
        <f t="shared" ca="1" si="51"/>
        <v>#REF!</v>
      </c>
      <c r="Y105" s="121">
        <v>0</v>
      </c>
      <c r="Z105" s="132">
        <f ca="1">ROUND(IF(ISNUMBER(R105),R105,IF(LEFT(R105,3)="BDI",HLOOKUP(R105,DADOS!$T$37:$X$38,2,FALSE),0)),15-11*$X$5)</f>
        <v>0.2303</v>
      </c>
      <c r="AA105" s="4"/>
    </row>
    <row r="106" spans="1:27" x14ac:dyDescent="0.2">
      <c r="A106" t="str">
        <f t="shared" si="62"/>
        <v>S</v>
      </c>
      <c r="B106">
        <f t="shared" si="63"/>
        <v>0</v>
      </c>
      <c r="C106">
        <f t="shared" ca="1" si="64"/>
        <v>4</v>
      </c>
      <c r="D106">
        <f t="shared" ca="1" si="65"/>
        <v>7</v>
      </c>
      <c r="E106">
        <f t="shared" ca="1" si="66"/>
        <v>0</v>
      </c>
      <c r="F106">
        <f t="shared" ca="1" si="67"/>
        <v>0</v>
      </c>
      <c r="G106">
        <f t="shared" ca="1" si="68"/>
        <v>3</v>
      </c>
      <c r="H106">
        <f ca="1">IF(OR($A106="S",$A106=0),0,MATCH(0,OFFSET($B106,1,$A106,ROW($A$111)-ROW($A106)),0))</f>
        <v>0</v>
      </c>
      <c r="I106">
        <f ca="1">IF(OR($A106="S",$A106=0),0,MATCH(OFFSET($B106,0,$A106)+1,OFFSET($B106,1,$A106,ROW($A$111)-ROW($A106)),0))</f>
        <v>0</v>
      </c>
      <c r="J106" s="394" t="s">
        <v>103</v>
      </c>
      <c r="K106" s="162" t="str">
        <f t="shared" ca="1" si="69"/>
        <v>4.7.3.</v>
      </c>
      <c r="L106" s="395" t="s">
        <v>252</v>
      </c>
      <c r="M106" s="395" t="s">
        <v>289</v>
      </c>
      <c r="N106" s="397" t="s">
        <v>106</v>
      </c>
      <c r="O106" s="398" t="s">
        <v>106</v>
      </c>
      <c r="P106" s="399">
        <f>(39.23*0.03)</f>
        <v>1.1768999999999998</v>
      </c>
      <c r="Q106" s="228"/>
      <c r="R106" s="231" t="s">
        <v>7</v>
      </c>
      <c r="S106" s="121">
        <f t="shared" si="49"/>
        <v>0</v>
      </c>
      <c r="T106" s="98">
        <f t="shared" si="50"/>
        <v>0</v>
      </c>
      <c r="U106" s="13" t="str">
        <f t="shared" si="70"/>
        <v>DESCRIÇÃO</v>
      </c>
      <c r="V106" s="4" t="str">
        <f ca="1">IF(OR($A106=0,$A106="S",$A106&gt;CFF!$A$9),"",MAX(V$12:OFFSET(V106,-1,0))+1)</f>
        <v/>
      </c>
      <c r="W106" s="9" t="str">
        <f t="shared" si="71"/>
        <v>SINAPI-I-4729</v>
      </c>
      <c r="X106" s="4" t="e">
        <f t="shared" ca="1" si="51"/>
        <v>#REF!</v>
      </c>
      <c r="Y106" s="121">
        <v>0</v>
      </c>
      <c r="Z106" s="132">
        <f ca="1">ROUND(IF(ISNUMBER(R106),R106,IF(LEFT(R106,3)="BDI",HLOOKUP(R106,DADOS!$T$37:$X$38,2,FALSE),0)),15-11*$X$5)</f>
        <v>0.2303</v>
      </c>
      <c r="AA106" s="4"/>
    </row>
    <row r="107" spans="1:27" x14ac:dyDescent="0.2">
      <c r="A107" t="str">
        <f t="shared" si="62"/>
        <v>S</v>
      </c>
      <c r="B107">
        <f t="shared" si="63"/>
        <v>0</v>
      </c>
      <c r="C107">
        <f t="shared" ca="1" si="64"/>
        <v>4</v>
      </c>
      <c r="D107">
        <f t="shared" ca="1" si="65"/>
        <v>7</v>
      </c>
      <c r="E107">
        <f t="shared" ca="1" si="66"/>
        <v>0</v>
      </c>
      <c r="F107">
        <f t="shared" ca="1" si="67"/>
        <v>0</v>
      </c>
      <c r="G107">
        <f t="shared" ca="1" si="68"/>
        <v>4</v>
      </c>
      <c r="H107">
        <f ca="1">IF(OR($A107="S",$A107=0),0,MATCH(0,OFFSET($B107,1,$A107,ROW($A$111)-ROW($A107)),0))</f>
        <v>0</v>
      </c>
      <c r="I107">
        <f ca="1">IF(OR($A107="S",$A107=0),0,MATCH(OFFSET($B107,0,$A107)+1,OFFSET($B107,1,$A107,ROW($A$111)-ROW($A107)),0))</f>
        <v>0</v>
      </c>
      <c r="J107" s="394" t="s">
        <v>103</v>
      </c>
      <c r="K107" s="162" t="str">
        <f t="shared" ca="1" si="69"/>
        <v>4.7.4.</v>
      </c>
      <c r="L107" s="395" t="s">
        <v>236</v>
      </c>
      <c r="M107" s="395" t="s">
        <v>271</v>
      </c>
      <c r="N107" s="397" t="s">
        <v>106</v>
      </c>
      <c r="O107" s="398" t="s">
        <v>106</v>
      </c>
      <c r="P107" s="399">
        <f>(P106*13)</f>
        <v>15.299699999999998</v>
      </c>
      <c r="Q107" s="228"/>
      <c r="R107" s="231" t="s">
        <v>7</v>
      </c>
      <c r="S107" s="121">
        <f t="shared" si="49"/>
        <v>0</v>
      </c>
      <c r="T107" s="98">
        <f t="shared" si="50"/>
        <v>0</v>
      </c>
      <c r="U107" s="13" t="str">
        <f t="shared" si="70"/>
        <v>DESCRIÇÃO</v>
      </c>
      <c r="V107" s="4" t="str">
        <f ca="1">IF(OR($A107=0,$A107="S",$A107&gt;CFF!$A$9),"",MAX(V$12:OFFSET(V107,-1,0))+1)</f>
        <v/>
      </c>
      <c r="W107" s="9" t="str">
        <f t="shared" si="71"/>
        <v>SINAPI-93590</v>
      </c>
      <c r="X107" s="4" t="e">
        <f t="shared" ca="1" si="51"/>
        <v>#REF!</v>
      </c>
      <c r="Y107" s="121">
        <v>0</v>
      </c>
      <c r="Z107" s="132">
        <f ca="1">ROUND(IF(ISNUMBER(R107),R107,IF(LEFT(R107,3)="BDI",HLOOKUP(R107,DADOS!$T$37:$X$38,2,FALSE),0)),15-11*$X$5)</f>
        <v>0.2303</v>
      </c>
      <c r="AA107" s="4"/>
    </row>
    <row r="108" spans="1:27" x14ac:dyDescent="0.2">
      <c r="A108" t="str">
        <f t="shared" si="62"/>
        <v>S</v>
      </c>
      <c r="B108">
        <f t="shared" si="63"/>
        <v>0</v>
      </c>
      <c r="C108">
        <f t="shared" ca="1" si="64"/>
        <v>4</v>
      </c>
      <c r="D108">
        <f t="shared" ca="1" si="65"/>
        <v>7</v>
      </c>
      <c r="E108">
        <f t="shared" ca="1" si="66"/>
        <v>0</v>
      </c>
      <c r="F108">
        <f t="shared" ca="1" si="67"/>
        <v>0</v>
      </c>
      <c r="G108">
        <f t="shared" ca="1" si="68"/>
        <v>5</v>
      </c>
      <c r="H108">
        <f ca="1">IF(OR($A108="S",$A108=0),0,MATCH(0,OFFSET($B108,1,$A108,ROW($A$111)-ROW($A108)),0))</f>
        <v>0</v>
      </c>
      <c r="I108">
        <f ca="1">IF(OR($A108="S",$A108=0),0,MATCH(OFFSET($B108,0,$A108)+1,OFFSET($B108,1,$A108,ROW($A$111)-ROW($A108)),0))</f>
        <v>0</v>
      </c>
      <c r="J108" s="394" t="s">
        <v>103</v>
      </c>
      <c r="K108" s="162" t="str">
        <f t="shared" ca="1" si="69"/>
        <v>4.7.5.</v>
      </c>
      <c r="L108" s="395" t="s">
        <v>252</v>
      </c>
      <c r="M108" s="395" t="s">
        <v>290</v>
      </c>
      <c r="N108" s="397" t="s">
        <v>106</v>
      </c>
      <c r="O108" s="398" t="s">
        <v>106</v>
      </c>
      <c r="P108" s="399">
        <v>10</v>
      </c>
      <c r="Q108" s="228"/>
      <c r="R108" s="231" t="s">
        <v>7</v>
      </c>
      <c r="S108" s="121">
        <f t="shared" si="49"/>
        <v>0</v>
      </c>
      <c r="T108" s="98">
        <f t="shared" si="50"/>
        <v>0</v>
      </c>
      <c r="U108" s="13" t="str">
        <f t="shared" si="70"/>
        <v>DESCRIÇÃO</v>
      </c>
      <c r="V108" s="4" t="str">
        <f ca="1">IF(OR($A108=0,$A108="S",$A108&gt;CFF!$A$9),"",MAX(V$12:OFFSET(V108,-1,0))+1)</f>
        <v/>
      </c>
      <c r="W108" s="9" t="str">
        <f t="shared" si="71"/>
        <v>SINAPI-I-6111</v>
      </c>
      <c r="X108" s="4" t="e">
        <f t="shared" ca="1" si="51"/>
        <v>#REF!</v>
      </c>
      <c r="Y108" s="121">
        <v>0</v>
      </c>
      <c r="Z108" s="132">
        <f ca="1">ROUND(IF(ISNUMBER(R108),R108,IF(LEFT(R108,3)="BDI",HLOOKUP(R108,DADOS!$T$37:$X$38,2,FALSE),0)),15-11*$X$5)</f>
        <v>0.2303</v>
      </c>
      <c r="AA108" s="4"/>
    </row>
    <row r="109" spans="1:27" x14ac:dyDescent="0.2">
      <c r="A109" t="str">
        <f t="shared" si="62"/>
        <v>S</v>
      </c>
      <c r="B109">
        <f t="shared" si="63"/>
        <v>0</v>
      </c>
      <c r="C109">
        <f t="shared" ca="1" si="64"/>
        <v>4</v>
      </c>
      <c r="D109">
        <f t="shared" ca="1" si="65"/>
        <v>7</v>
      </c>
      <c r="E109">
        <f t="shared" ca="1" si="66"/>
        <v>0</v>
      </c>
      <c r="F109">
        <f t="shared" ca="1" si="67"/>
        <v>0</v>
      </c>
      <c r="G109">
        <f t="shared" ca="1" si="68"/>
        <v>6</v>
      </c>
      <c r="H109">
        <f ca="1">IF(OR($A109="S",$A109=0),0,MATCH(0,OFFSET($B109,1,$A109,ROW($A$111)-ROW($A109)),0))</f>
        <v>0</v>
      </c>
      <c r="I109">
        <f ca="1">IF(OR($A109="S",$A109=0),0,MATCH(OFFSET($B109,0,$A109)+1,OFFSET($B109,1,$A109,ROW($A$111)-ROW($A109)),0))</f>
        <v>0</v>
      </c>
      <c r="J109" s="394" t="s">
        <v>103</v>
      </c>
      <c r="K109" s="162" t="str">
        <f t="shared" ca="1" si="69"/>
        <v>4.7.6.</v>
      </c>
      <c r="L109" s="395" t="s">
        <v>236</v>
      </c>
      <c r="M109" s="395" t="s">
        <v>286</v>
      </c>
      <c r="N109" s="397" t="s">
        <v>106</v>
      </c>
      <c r="O109" s="398" t="s">
        <v>106</v>
      </c>
      <c r="P109" s="399">
        <v>39.229999999999997</v>
      </c>
      <c r="Q109" s="228"/>
      <c r="R109" s="231" t="s">
        <v>7</v>
      </c>
      <c r="S109" s="121">
        <f t="shared" si="49"/>
        <v>0</v>
      </c>
      <c r="T109" s="98">
        <f t="shared" si="50"/>
        <v>0</v>
      </c>
      <c r="U109" s="13" t="str">
        <f t="shared" si="70"/>
        <v>DESCRIÇÃO</v>
      </c>
      <c r="V109" s="4" t="str">
        <f ca="1">IF(OR($A109=0,$A109="S",$A109&gt;CFF!$A$9),"",MAX(V$12:OFFSET(V109,-1,0))+1)</f>
        <v/>
      </c>
      <c r="W109" s="9" t="str">
        <f t="shared" si="71"/>
        <v>SINAPI-101747</v>
      </c>
      <c r="X109" s="4" t="e">
        <f t="shared" ca="1" si="51"/>
        <v>#REF!</v>
      </c>
      <c r="Y109" s="121">
        <v>0</v>
      </c>
      <c r="Z109" s="132">
        <f ca="1">ROUND(IF(ISNUMBER(R109),R109,IF(LEFT(R109,3)="BDI",HLOOKUP(R109,DADOS!$T$37:$X$38,2,FALSE),0)),15-11*$X$5)</f>
        <v>0.2303</v>
      </c>
      <c r="AA109" s="4"/>
    </row>
    <row r="110" spans="1:27" x14ac:dyDescent="0.2">
      <c r="A110" t="str">
        <f t="shared" si="62"/>
        <v>S</v>
      </c>
      <c r="B110">
        <f t="shared" si="63"/>
        <v>0</v>
      </c>
      <c r="C110">
        <f t="shared" ca="1" si="64"/>
        <v>4</v>
      </c>
      <c r="D110">
        <f t="shared" ca="1" si="65"/>
        <v>7</v>
      </c>
      <c r="E110">
        <f t="shared" ca="1" si="66"/>
        <v>0</v>
      </c>
      <c r="F110">
        <f t="shared" ca="1" si="67"/>
        <v>0</v>
      </c>
      <c r="G110">
        <f t="shared" ca="1" si="68"/>
        <v>7</v>
      </c>
      <c r="H110">
        <f ca="1">IF(OR($A110="S",$A110=0),0,MATCH(0,OFFSET($B110,1,$A110,ROW($A$111)-ROW($A110)),0))</f>
        <v>0</v>
      </c>
      <c r="I110">
        <f ca="1">IF(OR($A110="S",$A110=0),0,MATCH(OFFSET($B110,0,$A110)+1,OFFSET($B110,1,$A110,ROW($A$111)-ROW($A110)),0))</f>
        <v>0</v>
      </c>
      <c r="J110" s="394" t="s">
        <v>103</v>
      </c>
      <c r="K110" s="162" t="str">
        <f t="shared" ca="1" si="69"/>
        <v>4.7.7.</v>
      </c>
      <c r="L110" s="395" t="s">
        <v>236</v>
      </c>
      <c r="M110" s="395" t="s">
        <v>288</v>
      </c>
      <c r="N110" s="397" t="s">
        <v>106</v>
      </c>
      <c r="O110" s="398" t="s">
        <v>106</v>
      </c>
      <c r="P110" s="399">
        <v>12.19</v>
      </c>
      <c r="Q110" s="228"/>
      <c r="R110" s="231" t="s">
        <v>7</v>
      </c>
      <c r="S110" s="121">
        <f t="shared" si="49"/>
        <v>0</v>
      </c>
      <c r="T110" s="98">
        <f t="shared" si="50"/>
        <v>0</v>
      </c>
      <c r="U110" s="13" t="str">
        <f t="shared" si="70"/>
        <v>DESCRIÇÃO</v>
      </c>
      <c r="V110" s="4" t="str">
        <f ca="1">IF(OR($A110=0,$A110="S",$A110&gt;CFF!$A$9),"",MAX(V$12:OFFSET(V110,-1,0))+1)</f>
        <v/>
      </c>
      <c r="W110" s="9" t="str">
        <f t="shared" si="71"/>
        <v>SINAPI-97091</v>
      </c>
      <c r="X110" s="4" t="e">
        <f t="shared" ca="1" si="51"/>
        <v>#REF!</v>
      </c>
      <c r="Y110" s="121">
        <v>0</v>
      </c>
      <c r="Z110" s="132">
        <f ca="1">ROUND(IF(ISNUMBER(R110),R110,IF(LEFT(R110,3)="BDI",HLOOKUP(R110,DADOS!$T$37:$X$38,2,FALSE),0)),15-11*$X$5)</f>
        <v>0.2303</v>
      </c>
      <c r="AA110" s="4"/>
    </row>
    <row r="111" spans="1:27" x14ac:dyDescent="0.2">
      <c r="A111">
        <v>-1</v>
      </c>
      <c r="C111">
        <v>0</v>
      </c>
      <c r="D111">
        <v>0</v>
      </c>
      <c r="E111">
        <v>0</v>
      </c>
      <c r="F111">
        <v>0</v>
      </c>
      <c r="G111">
        <v>0</v>
      </c>
      <c r="J111" s="83"/>
      <c r="K111" s="83"/>
      <c r="L111" s="83"/>
      <c r="M111" s="83"/>
      <c r="N111" s="83"/>
      <c r="O111" s="83"/>
      <c r="P111" s="83"/>
      <c r="Q111" s="83"/>
      <c r="R111" s="83"/>
      <c r="S111" s="83"/>
      <c r="T111" s="83"/>
      <c r="U111" s="4"/>
      <c r="V111" s="4"/>
      <c r="W111" s="4"/>
      <c r="X111" s="4"/>
      <c r="Y111" s="4"/>
      <c r="Z111" s="4"/>
      <c r="AA111" s="4"/>
    </row>
    <row r="112" spans="1:27" ht="14.25" x14ac:dyDescent="0.2">
      <c r="A112" s="4"/>
      <c r="B112" s="4"/>
      <c r="C112" s="4"/>
      <c r="D112" s="4"/>
      <c r="E112" s="4"/>
      <c r="F112" s="4"/>
      <c r="G112" s="4"/>
      <c r="H112" s="4"/>
      <c r="I112" s="4"/>
      <c r="J112" s="4"/>
      <c r="K112" s="84" t="s">
        <v>62</v>
      </c>
      <c r="L112" s="4"/>
      <c r="M112" s="366" t="s">
        <v>141</v>
      </c>
      <c r="N112" s="367"/>
      <c r="O112" s="367"/>
      <c r="P112" s="367"/>
      <c r="Q112" s="367"/>
      <c r="R112" s="367"/>
      <c r="S112" s="367"/>
      <c r="T112" s="368"/>
      <c r="U112" s="4"/>
      <c r="V112" s="4"/>
      <c r="W112" s="4"/>
      <c r="X112" s="4"/>
      <c r="Y112" s="4"/>
      <c r="Z112" s="4"/>
      <c r="AA112" s="4"/>
    </row>
    <row r="113" spans="1:27"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row>
    <row r="114" spans="1:27" ht="14.25" x14ac:dyDescent="0.2">
      <c r="A114" s="4"/>
      <c r="B114" s="4"/>
      <c r="C114" s="4"/>
      <c r="D114" s="4"/>
      <c r="E114" s="4"/>
      <c r="F114" s="4"/>
      <c r="G114" s="4"/>
      <c r="H114" s="4"/>
      <c r="I114" s="4"/>
      <c r="J114" s="4"/>
      <c r="K114" s="90" t="s">
        <v>21</v>
      </c>
      <c r="L114" s="20"/>
      <c r="M114" s="20"/>
      <c r="N114" s="20"/>
      <c r="O114" s="20"/>
      <c r="P114" s="20"/>
      <c r="Q114" s="20"/>
      <c r="R114" s="20"/>
      <c r="S114" s="20"/>
      <c r="T114" s="89"/>
      <c r="U114" s="4"/>
      <c r="V114" s="4"/>
      <c r="W114" s="4"/>
      <c r="X114" s="4"/>
      <c r="Y114" s="4"/>
      <c r="Z114" s="4"/>
      <c r="AA114" s="4"/>
    </row>
    <row r="115" spans="1:27" ht="12.75" customHeight="1" x14ac:dyDescent="0.2">
      <c r="A115" s="4"/>
      <c r="B115" s="4"/>
      <c r="C115" s="4"/>
      <c r="D115" s="4"/>
      <c r="E115" s="4"/>
      <c r="F115" s="4"/>
      <c r="G115" s="4"/>
      <c r="H115" s="4"/>
      <c r="I115" s="4"/>
      <c r="J115" s="4"/>
      <c r="K115" s="360"/>
      <c r="L115" s="361"/>
      <c r="M115" s="361"/>
      <c r="N115" s="361"/>
      <c r="O115" s="361"/>
      <c r="P115" s="361"/>
      <c r="Q115" s="361"/>
      <c r="R115" s="361"/>
      <c r="S115" s="361"/>
      <c r="T115" s="362"/>
      <c r="U115" s="4"/>
      <c r="V115" s="4"/>
      <c r="W115" s="4"/>
      <c r="X115" s="4"/>
      <c r="Y115" s="4"/>
      <c r="Z115" s="4"/>
      <c r="AA115" s="4"/>
    </row>
    <row r="116" spans="1:27" x14ac:dyDescent="0.2">
      <c r="A116" s="4"/>
      <c r="B116" s="4"/>
      <c r="C116" s="4"/>
      <c r="D116" s="4"/>
      <c r="E116" s="4"/>
      <c r="F116" s="4"/>
      <c r="G116" s="4"/>
      <c r="H116" s="4"/>
      <c r="I116" s="4"/>
      <c r="J116" s="4"/>
      <c r="K116" s="360"/>
      <c r="L116" s="361"/>
      <c r="M116" s="361"/>
      <c r="N116" s="361"/>
      <c r="O116" s="361"/>
      <c r="P116" s="361"/>
      <c r="Q116" s="361"/>
      <c r="R116" s="361"/>
      <c r="S116" s="361"/>
      <c r="T116" s="362"/>
      <c r="U116" s="4"/>
      <c r="V116" s="4"/>
      <c r="W116" s="4"/>
      <c r="X116" s="4"/>
      <c r="Y116" s="4"/>
      <c r="Z116" s="4"/>
      <c r="AA116" s="4"/>
    </row>
    <row r="117" spans="1:27" x14ac:dyDescent="0.2">
      <c r="A117" s="4"/>
      <c r="B117" s="4"/>
      <c r="C117" s="4"/>
      <c r="D117" s="4"/>
      <c r="E117" s="4"/>
      <c r="F117" s="4"/>
      <c r="G117" s="4"/>
      <c r="H117" s="4"/>
      <c r="I117" s="4"/>
      <c r="J117" s="4"/>
      <c r="K117" s="363"/>
      <c r="L117" s="364"/>
      <c r="M117" s="364"/>
      <c r="N117" s="364"/>
      <c r="O117" s="364"/>
      <c r="P117" s="364"/>
      <c r="Q117" s="364"/>
      <c r="R117" s="364"/>
      <c r="S117" s="364"/>
      <c r="T117" s="365"/>
      <c r="U117" s="4"/>
      <c r="V117" s="4"/>
      <c r="W117" s="4"/>
      <c r="X117" s="4"/>
      <c r="Y117" s="4"/>
      <c r="Z117" s="4"/>
      <c r="AA117" s="4"/>
    </row>
    <row r="118" spans="1:27" ht="14.25" x14ac:dyDescent="0.2">
      <c r="A118" s="4"/>
      <c r="B118" s="4"/>
      <c r="C118" s="4"/>
      <c r="D118" s="4"/>
      <c r="E118" s="4"/>
      <c r="F118" s="4"/>
      <c r="G118" s="4"/>
      <c r="H118" s="4"/>
      <c r="I118" s="4"/>
      <c r="J118" s="4"/>
      <c r="K118" s="213"/>
      <c r="L118" s="213"/>
      <c r="M118" s="213"/>
      <c r="N118" s="213"/>
      <c r="O118" s="213"/>
      <c r="P118" s="213"/>
      <c r="Q118" s="213"/>
      <c r="R118" s="213"/>
      <c r="S118" s="213"/>
      <c r="T118" s="213"/>
      <c r="U118" s="4"/>
      <c r="V118" s="4"/>
      <c r="W118" s="4"/>
      <c r="X118" s="4"/>
      <c r="Y118" s="4"/>
      <c r="Z118" s="4"/>
      <c r="AA118" s="4"/>
    </row>
    <row r="119" spans="1:27" ht="15" x14ac:dyDescent="0.25">
      <c r="A119" s="4"/>
      <c r="B119" s="4"/>
      <c r="C119" s="4"/>
      <c r="D119" s="4"/>
      <c r="E119" s="4"/>
      <c r="F119" s="4"/>
      <c r="G119" s="4"/>
      <c r="H119" s="4"/>
      <c r="I119" s="4"/>
      <c r="J119" s="4"/>
      <c r="K119" s="35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119" s="358"/>
      <c r="M119" s="358"/>
      <c r="N119" s="358"/>
      <c r="O119" s="358"/>
      <c r="P119" s="358"/>
      <c r="Q119" s="358"/>
      <c r="R119" s="358"/>
      <c r="S119" s="358"/>
      <c r="T119" s="359"/>
      <c r="U119" s="4"/>
      <c r="V119" s="4"/>
      <c r="W119" s="4"/>
      <c r="X119" s="4"/>
      <c r="Y119" s="4"/>
      <c r="Z119" s="4"/>
      <c r="AA119" s="4"/>
    </row>
    <row r="120" spans="1:27"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row>
    <row r="121" spans="1:27" ht="21"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row>
    <row r="122" spans="1:27" x14ac:dyDescent="0.2">
      <c r="A122" s="4"/>
      <c r="B122" s="4"/>
      <c r="C122" s="4"/>
      <c r="D122" s="4"/>
      <c r="E122" s="4"/>
      <c r="F122" s="4"/>
      <c r="G122" s="4"/>
      <c r="H122" s="4"/>
      <c r="I122" s="4"/>
      <c r="J122" s="4"/>
      <c r="K122" s="370" t="str">
        <f>Import.Município</f>
        <v>CONSTANTINA - RS</v>
      </c>
      <c r="L122" s="370"/>
      <c r="M122" s="370"/>
      <c r="N122" s="4"/>
      <c r="O122" s="4"/>
      <c r="P122" s="4"/>
      <c r="Q122" s="4"/>
      <c r="R122" s="4"/>
      <c r="S122" s="4"/>
      <c r="T122" s="4"/>
      <c r="U122" s="4"/>
      <c r="V122" s="4"/>
      <c r="W122" s="4"/>
      <c r="X122" s="4"/>
      <c r="Y122" s="4"/>
      <c r="Z122" s="4"/>
      <c r="AA122" s="4"/>
    </row>
    <row r="123" spans="1:27" x14ac:dyDescent="0.2">
      <c r="A123" s="4"/>
      <c r="B123" s="4"/>
      <c r="C123" s="4"/>
      <c r="D123" s="4"/>
      <c r="E123" s="4"/>
      <c r="F123" s="4"/>
      <c r="G123" s="4"/>
      <c r="H123" s="4"/>
      <c r="I123" s="4"/>
      <c r="J123" s="4"/>
      <c r="K123" s="112" t="s">
        <v>120</v>
      </c>
      <c r="L123" s="4"/>
      <c r="M123" s="4"/>
      <c r="N123" s="4"/>
      <c r="O123" s="4"/>
      <c r="P123" s="4"/>
      <c r="Q123" s="4"/>
      <c r="R123" s="4"/>
      <c r="S123" s="4"/>
      <c r="T123" s="4"/>
      <c r="U123" s="4"/>
      <c r="V123" s="4"/>
      <c r="W123" s="4"/>
      <c r="X123" s="4"/>
      <c r="Y123" s="4"/>
      <c r="Z123" s="4"/>
      <c r="AA123" s="4"/>
    </row>
    <row r="124" spans="1:27"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row>
    <row r="125" spans="1:27" x14ac:dyDescent="0.2">
      <c r="A125" s="4"/>
      <c r="B125" s="4"/>
      <c r="C125" s="4"/>
      <c r="D125" s="4"/>
      <c r="E125" s="4"/>
      <c r="F125" s="4"/>
      <c r="G125" s="4"/>
      <c r="H125" s="4"/>
      <c r="I125" s="4"/>
      <c r="J125" s="4"/>
      <c r="K125" s="369">
        <f ca="1">TODAY()</f>
        <v>45275</v>
      </c>
      <c r="L125" s="369"/>
      <c r="M125" s="369"/>
      <c r="N125" s="4"/>
      <c r="O125" s="4"/>
      <c r="P125" s="4"/>
      <c r="Q125" s="4"/>
      <c r="R125" s="4"/>
      <c r="S125" s="4"/>
      <c r="T125" s="4"/>
      <c r="U125" s="4"/>
      <c r="V125" s="4"/>
      <c r="W125" s="4"/>
      <c r="X125" s="4"/>
      <c r="Y125" s="4"/>
      <c r="Z125" s="4"/>
      <c r="AA125" s="4"/>
    </row>
    <row r="126" spans="1:27" x14ac:dyDescent="0.2">
      <c r="A126" s="4"/>
      <c r="B126" s="4"/>
      <c r="C126" s="4"/>
      <c r="D126" s="4"/>
      <c r="E126" s="4"/>
      <c r="F126" s="4"/>
      <c r="G126" s="4"/>
      <c r="H126" s="4"/>
      <c r="I126" s="4"/>
      <c r="J126" s="4"/>
      <c r="K126" s="141" t="s">
        <v>121</v>
      </c>
      <c r="L126" s="83"/>
      <c r="M126" s="83"/>
      <c r="N126" s="4"/>
      <c r="O126" s="4"/>
      <c r="P126" s="4"/>
      <c r="Q126" s="4"/>
      <c r="R126" s="4"/>
      <c r="S126" s="4"/>
      <c r="T126" s="4"/>
      <c r="U126" s="4"/>
      <c r="V126" s="4"/>
      <c r="W126" s="4"/>
      <c r="X126" s="4"/>
      <c r="Y126" s="4"/>
      <c r="Z126" s="4"/>
      <c r="AA126" s="4"/>
    </row>
  </sheetData>
  <sheetProtection algorithmName="SHA-512" hashValue="6m8mXkdq0O6rpxcUJw43i8HHYew5fhRLgQEHoNQzD9FskEwzY0Cvc5ubzp/tmK8BkOl/iv9/0NRUK9CYiqhMGA==" saltValue="oI73QoHcDbD+6mJq6yxCWw==" spinCount="100000" sheet="1" objects="1" scenarios="1"/>
  <mergeCells count="6">
    <mergeCell ref="W2:X2"/>
    <mergeCell ref="K119:T119"/>
    <mergeCell ref="K115:T117"/>
    <mergeCell ref="M112:T112"/>
    <mergeCell ref="K125:M125"/>
    <mergeCell ref="K122:M122"/>
  </mergeCells>
  <phoneticPr fontId="25" type="noConversion"/>
  <conditionalFormatting sqref="O12:R12 L12:M12">
    <cfRule type="expression" dxfId="640" priority="4132" stopIfTrue="1">
      <formula>$J12=$C$2</formula>
    </cfRule>
    <cfRule type="expression" dxfId="639" priority="4133" stopIfTrue="1">
      <formula>UPPER(LEFT($J12,5))="NÍVEL"</formula>
    </cfRule>
    <cfRule type="expression" dxfId="638" priority="4134" stopIfTrue="1">
      <formula>$J12=$C$8</formula>
    </cfRule>
  </conditionalFormatting>
  <conditionalFormatting sqref="Y12:Z12 S12:T12 K12">
    <cfRule type="expression" dxfId="637" priority="4135" stopIfTrue="1">
      <formula>$J12=$C$2</formula>
    </cfRule>
    <cfRule type="expression" dxfId="636" priority="4136" stopIfTrue="1">
      <formula>UPPER(LEFT($J12,5))="NÍVEL"</formula>
    </cfRule>
  </conditionalFormatting>
  <conditionalFormatting sqref="K11 K13 K27:K54 K67:K94 K56:K63 K96:K101 K103:K110">
    <cfRule type="expression" dxfId="635" priority="4148" stopIfTrue="1">
      <formula>$J11=$C$2</formula>
    </cfRule>
    <cfRule type="expression" dxfId="634" priority="4149" stopIfTrue="1">
      <formula>AND($J11&lt;&gt;"",$J11&lt;&gt;"Serviço")</formula>
    </cfRule>
    <cfRule type="expression" dxfId="633" priority="4150" stopIfTrue="1">
      <formula>$J11=""</formula>
    </cfRule>
  </conditionalFormatting>
  <conditionalFormatting sqref="P11 P13 P27:P54 P67:P94 P56:P63 P96:P101 P103:P110">
    <cfRule type="expression" dxfId="632" priority="2475" stopIfTrue="1">
      <formula>$J11=$C$2</formula>
    </cfRule>
    <cfRule type="expression" dxfId="631" priority="4154" stopIfTrue="1">
      <formula>AND($J11&lt;&gt;"Serviço")</formula>
    </cfRule>
    <cfRule type="expression" dxfId="630" priority="4155" stopIfTrue="1">
      <formula>CELL("proteger",P11)</formula>
    </cfRule>
  </conditionalFormatting>
  <conditionalFormatting sqref="Q11:R11 Q13:R13 Q27:R54 Q67:R94 Q56:R63 Q96:R101 Q103:R110">
    <cfRule type="expression" dxfId="629" priority="4156" stopIfTrue="1">
      <formula>$J11=$C$2</formula>
    </cfRule>
    <cfRule type="expression" dxfId="628" priority="4157" stopIfTrue="1">
      <formula>$J11&lt;&gt;"Serviço"</formula>
    </cfRule>
    <cfRule type="expression" dxfId="627" priority="4158" stopIfTrue="1">
      <formula>CELL("proteger",Q11)</formula>
    </cfRule>
  </conditionalFormatting>
  <conditionalFormatting sqref="S11:T11 Y11:Z11 S13:T13 Y13:Z13 Y27:Z54 S27:T54 S67:T94 Y67:Z94 S56:T63 Y56:Z63 Y96:Z101 S96:T101 Y103:Z110 S103:T110">
    <cfRule type="expression" dxfId="626" priority="4159" stopIfTrue="1">
      <formula>$J11=$C$2</formula>
    </cfRule>
    <cfRule type="expression" dxfId="625" priority="4160" stopIfTrue="1">
      <formula>$J11&lt;&gt;"Serviço"</formula>
    </cfRule>
  </conditionalFormatting>
  <conditionalFormatting sqref="L11:M11 L13:M13 L36:M54 L27:M34 L68:M94 L56:M63 L96:M101 L103:M110">
    <cfRule type="expression" dxfId="624" priority="4180" stopIfTrue="1">
      <formula>$J11=$C$2</formula>
    </cfRule>
    <cfRule type="expression" dxfId="623" priority="4181" stopIfTrue="1">
      <formula>$J11&lt;&gt;"Serviço"</formula>
    </cfRule>
    <cfRule type="expression" dxfId="622" priority="4182" stopIfTrue="1">
      <formula>OR(CELL("proteger",L11),$J11="",TipoOrçamento="Licitado")</formula>
    </cfRule>
  </conditionalFormatting>
  <conditionalFormatting sqref="K112:T112">
    <cfRule type="expression" dxfId="621" priority="4161" stopIfTrue="1">
      <formula>OR(Tipo.Orçamento="LICITADO",Tipo.Orçamento="REPROGRAMADOAC")</formula>
    </cfRule>
    <cfRule type="expression" dxfId="620" priority="4162" stopIfTrue="1">
      <formula>$M$112=""</formula>
    </cfRule>
  </conditionalFormatting>
  <conditionalFormatting sqref="J11 J74 J13 J90:J92 J28 J76 J85:J86">
    <cfRule type="expression" dxfId="619" priority="4189" stopIfTrue="1">
      <formula>TipoOrçamento="Licitado"</formula>
    </cfRule>
  </conditionalFormatting>
  <conditionalFormatting sqref="O11 O13 O27:O54 O67:O94 O56:O63 O96:O101 O103:O110">
    <cfRule type="expression" dxfId="618" priority="2495" stopIfTrue="1">
      <formula>$J11=$C$2</formula>
    </cfRule>
    <cfRule type="expression" dxfId="617" priority="2496" stopIfTrue="1">
      <formula>AND($J11&lt;&gt;"Serviço")</formula>
    </cfRule>
    <cfRule type="expression" dxfId="616" priority="2497" stopIfTrue="1">
      <formula>CELL("proteger",O11)</formula>
    </cfRule>
  </conditionalFormatting>
  <conditionalFormatting sqref="N11 N27:N54 N67:N94 N56:N63 N96:N101 N103:N110">
    <cfRule type="expression" dxfId="615" priority="2498" stopIfTrue="1">
      <formula>$J11=$C$2</formula>
    </cfRule>
    <cfRule type="expression" dxfId="614" priority="2499" stopIfTrue="1">
      <formula>$J11&lt;&gt;"Serviço"</formula>
    </cfRule>
    <cfRule type="expression" dxfId="613" priority="2500" stopIfTrue="1">
      <formula>CELL("proteger",N11)</formula>
    </cfRule>
  </conditionalFormatting>
  <conditionalFormatting sqref="J29 J56 J47:J51">
    <cfRule type="expression" dxfId="612" priority="2387" stopIfTrue="1">
      <formula>TipoOrçamento="Licitado"</formula>
    </cfRule>
  </conditionalFormatting>
  <conditionalFormatting sqref="N13">
    <cfRule type="expression" dxfId="611" priority="2364" stopIfTrue="1">
      <formula>$J13=$C$2</formula>
    </cfRule>
    <cfRule type="expression" dxfId="610" priority="2365" stopIfTrue="1">
      <formula>$J13&lt;&gt;"Serviço"</formula>
    </cfRule>
    <cfRule type="expression" dxfId="609" priority="2366" stopIfTrue="1">
      <formula>CELL("proteger",N13)</formula>
    </cfRule>
  </conditionalFormatting>
  <conditionalFormatting sqref="J41:J42">
    <cfRule type="expression" dxfId="608" priority="2321" stopIfTrue="1">
      <formula>TipoOrçamento="Licitado"</formula>
    </cfRule>
  </conditionalFormatting>
  <conditionalFormatting sqref="J80 J68 J83">
    <cfRule type="expression" dxfId="607" priority="2300" stopIfTrue="1">
      <formula>TipoOrçamento="Licitado"</formula>
    </cfRule>
  </conditionalFormatting>
  <conditionalFormatting sqref="J87 J100:J101 J89">
    <cfRule type="expression" dxfId="606" priority="2279" stopIfTrue="1">
      <formula>TipoOrçamento="Licitado"</formula>
    </cfRule>
  </conditionalFormatting>
  <conditionalFormatting sqref="J30">
    <cfRule type="expression" dxfId="605" priority="2195" stopIfTrue="1">
      <formula>TipoOrçamento="Licitado"</formula>
    </cfRule>
  </conditionalFormatting>
  <conditionalFormatting sqref="J45:J46">
    <cfRule type="expression" dxfId="604" priority="2174" stopIfTrue="1">
      <formula>TipoOrçamento="Licitado"</formula>
    </cfRule>
  </conditionalFormatting>
  <conditionalFormatting sqref="J96:J98">
    <cfRule type="expression" dxfId="603" priority="2087" stopIfTrue="1">
      <formula>TipoOrçamento="Licitado"</formula>
    </cfRule>
  </conditionalFormatting>
  <conditionalFormatting sqref="J103">
    <cfRule type="expression" dxfId="602" priority="2066" stopIfTrue="1">
      <formula>TipoOrçamento="Licitado"</formula>
    </cfRule>
  </conditionalFormatting>
  <conditionalFormatting sqref="J104">
    <cfRule type="expression" dxfId="601" priority="2045" stopIfTrue="1">
      <formula>TipoOrçamento="Licitado"</formula>
    </cfRule>
  </conditionalFormatting>
  <conditionalFormatting sqref="J31:J32">
    <cfRule type="expression" dxfId="600" priority="1928" stopIfTrue="1">
      <formula>TipoOrçamento="Licitado"</formula>
    </cfRule>
  </conditionalFormatting>
  <conditionalFormatting sqref="J44">
    <cfRule type="expression" dxfId="599" priority="1865" stopIfTrue="1">
      <formula>TipoOrçamento="Licitado"</formula>
    </cfRule>
  </conditionalFormatting>
  <conditionalFormatting sqref="J77">
    <cfRule type="expression" dxfId="598" priority="1757" stopIfTrue="1">
      <formula>TipoOrçamento="Licitado"</formula>
    </cfRule>
  </conditionalFormatting>
  <conditionalFormatting sqref="J99">
    <cfRule type="expression" dxfId="597" priority="1736" stopIfTrue="1">
      <formula>TipoOrçamento="Licitado"</formula>
    </cfRule>
  </conditionalFormatting>
  <conditionalFormatting sqref="J84">
    <cfRule type="expression" dxfId="596" priority="1694" stopIfTrue="1">
      <formula>TipoOrçamento="Licitado"</formula>
    </cfRule>
  </conditionalFormatting>
  <conditionalFormatting sqref="J57:J61">
    <cfRule type="expression" dxfId="595" priority="1610" stopIfTrue="1">
      <formula>TipoOrçamento="Licitado"</formula>
    </cfRule>
  </conditionalFormatting>
  <conditionalFormatting sqref="J62">
    <cfRule type="expression" dxfId="594" priority="1586" stopIfTrue="1">
      <formula>TipoOrçamento="Licitado"</formula>
    </cfRule>
  </conditionalFormatting>
  <conditionalFormatting sqref="J63">
    <cfRule type="expression" dxfId="593" priority="1565" stopIfTrue="1">
      <formula>TipoOrçamento="Licitado"</formula>
    </cfRule>
  </conditionalFormatting>
  <conditionalFormatting sqref="J88">
    <cfRule type="expression" dxfId="592" priority="1449" stopIfTrue="1">
      <formula>TipoOrçamento="Licitado"</formula>
    </cfRule>
  </conditionalFormatting>
  <conditionalFormatting sqref="J34">
    <cfRule type="expression" dxfId="591" priority="1299" stopIfTrue="1">
      <formula>TipoOrçamento="Licitado"</formula>
    </cfRule>
  </conditionalFormatting>
  <conditionalFormatting sqref="J27">
    <cfRule type="expression" dxfId="590" priority="1194" stopIfTrue="1">
      <formula>TipoOrçamento="Licitado"</formula>
    </cfRule>
  </conditionalFormatting>
  <conditionalFormatting sqref="J33">
    <cfRule type="expression" dxfId="589" priority="1131" stopIfTrue="1">
      <formula>TipoOrçamento="Licitado"</formula>
    </cfRule>
  </conditionalFormatting>
  <conditionalFormatting sqref="J43">
    <cfRule type="expression" dxfId="588" priority="1059" stopIfTrue="1">
      <formula>TipoOrçamento="Licitado"</formula>
    </cfRule>
  </conditionalFormatting>
  <conditionalFormatting sqref="J52">
    <cfRule type="expression" dxfId="587" priority="714" stopIfTrue="1">
      <formula>TipoOrçamento="Licitado"</formula>
    </cfRule>
  </conditionalFormatting>
  <conditionalFormatting sqref="J53:J54">
    <cfRule type="expression" dxfId="586" priority="651" stopIfTrue="1">
      <formula>TipoOrçamento="Licitado"</formula>
    </cfRule>
  </conditionalFormatting>
  <conditionalFormatting sqref="J75">
    <cfRule type="expression" dxfId="585" priority="609" stopIfTrue="1">
      <formula>TipoOrçamento="Licitado"</formula>
    </cfRule>
  </conditionalFormatting>
  <conditionalFormatting sqref="J81">
    <cfRule type="expression" dxfId="584" priority="588" stopIfTrue="1">
      <formula>TipoOrçamento="Licitado"</formula>
    </cfRule>
  </conditionalFormatting>
  <conditionalFormatting sqref="J93">
    <cfRule type="expression" dxfId="583" priority="567" stopIfTrue="1">
      <formula>TipoOrçamento="Licitado"</formula>
    </cfRule>
  </conditionalFormatting>
  <conditionalFormatting sqref="J109">
    <cfRule type="expression" dxfId="582" priority="546" stopIfTrue="1">
      <formula>TipoOrçamento="Licitado"</formula>
    </cfRule>
  </conditionalFormatting>
  <conditionalFormatting sqref="J78">
    <cfRule type="expression" dxfId="581" priority="525" stopIfTrue="1">
      <formula>TipoOrçamento="Licitado"</formula>
    </cfRule>
  </conditionalFormatting>
  <conditionalFormatting sqref="J79">
    <cfRule type="expression" dxfId="580" priority="504" stopIfTrue="1">
      <formula>TipoOrçamento="Licitado"</formula>
    </cfRule>
  </conditionalFormatting>
  <conditionalFormatting sqref="J82">
    <cfRule type="expression" dxfId="579" priority="483" stopIfTrue="1">
      <formula>TipoOrçamento="Licitado"</formula>
    </cfRule>
  </conditionalFormatting>
  <conditionalFormatting sqref="J105">
    <cfRule type="expression" dxfId="578" priority="459" stopIfTrue="1">
      <formula>TipoOrçamento="Licitado"</formula>
    </cfRule>
  </conditionalFormatting>
  <conditionalFormatting sqref="J110">
    <cfRule type="expression" dxfId="577" priority="438" stopIfTrue="1">
      <formula>TipoOrçamento="Licitado"</formula>
    </cfRule>
  </conditionalFormatting>
  <conditionalFormatting sqref="J106">
    <cfRule type="expression" dxfId="576" priority="417" stopIfTrue="1">
      <formula>TipoOrçamento="Licitado"</formula>
    </cfRule>
  </conditionalFormatting>
  <conditionalFormatting sqref="J108">
    <cfRule type="expression" dxfId="575" priority="396" stopIfTrue="1">
      <formula>TipoOrçamento="Licitado"</formula>
    </cfRule>
  </conditionalFormatting>
  <conditionalFormatting sqref="J107">
    <cfRule type="expression" dxfId="574" priority="375" stopIfTrue="1">
      <formula>TipoOrçamento="Licitado"</formula>
    </cfRule>
  </conditionalFormatting>
  <conditionalFormatting sqref="L35:M35">
    <cfRule type="expression" dxfId="573" priority="330" stopIfTrue="1">
      <formula>$J35=$C$2</formula>
    </cfRule>
    <cfRule type="expression" dxfId="572" priority="331" stopIfTrue="1">
      <formula>$J35&lt;&gt;"Serviço"</formula>
    </cfRule>
    <cfRule type="expression" dxfId="571" priority="332" stopIfTrue="1">
      <formula>OR(CELL("proteger",L35),$J35="",TipoOrçamento="Licitado")</formula>
    </cfRule>
  </conditionalFormatting>
  <conditionalFormatting sqref="J35:J36">
    <cfRule type="expression" dxfId="570" priority="333" stopIfTrue="1">
      <formula>TipoOrçamento="Licitado"</formula>
    </cfRule>
  </conditionalFormatting>
  <conditionalFormatting sqref="J37:J40">
    <cfRule type="expression" dxfId="569" priority="312" stopIfTrue="1">
      <formula>TipoOrçamento="Licitado"</formula>
    </cfRule>
  </conditionalFormatting>
  <conditionalFormatting sqref="J94">
    <cfRule type="expression" dxfId="568" priority="288" stopIfTrue="1">
      <formula>TipoOrçamento="Licitado"</formula>
    </cfRule>
  </conditionalFormatting>
  <conditionalFormatting sqref="K64:K66">
    <cfRule type="expression" dxfId="567" priority="254" stopIfTrue="1">
      <formula>$J64=$C$2</formula>
    </cfRule>
    <cfRule type="expression" dxfId="566" priority="255" stopIfTrue="1">
      <formula>AND($J64&lt;&gt;"",$J64&lt;&gt;"Serviço")</formula>
    </cfRule>
    <cfRule type="expression" dxfId="565" priority="256" stopIfTrue="1">
      <formula>$J64=""</formula>
    </cfRule>
  </conditionalFormatting>
  <conditionalFormatting sqref="P64:P66">
    <cfRule type="expression" dxfId="564" priority="247" stopIfTrue="1">
      <formula>$J64=$C$2</formula>
    </cfRule>
    <cfRule type="expression" dxfId="563" priority="257" stopIfTrue="1">
      <formula>AND($J64&lt;&gt;"Serviço")</formula>
    </cfRule>
    <cfRule type="expression" dxfId="562" priority="258" stopIfTrue="1">
      <formula>CELL("proteger",P64)</formula>
    </cfRule>
  </conditionalFormatting>
  <conditionalFormatting sqref="Q64:R66">
    <cfRule type="expression" dxfId="561" priority="259" stopIfTrue="1">
      <formula>$J64=$C$2</formula>
    </cfRule>
    <cfRule type="expression" dxfId="560" priority="260" stopIfTrue="1">
      <formula>$J64&lt;&gt;"Serviço"</formula>
    </cfRule>
    <cfRule type="expression" dxfId="559" priority="261" stopIfTrue="1">
      <formula>CELL("proteger",Q64)</formula>
    </cfRule>
  </conditionalFormatting>
  <conditionalFormatting sqref="S64:T66 Y64:Z66">
    <cfRule type="expression" dxfId="558" priority="262" stopIfTrue="1">
      <formula>$J64=$C$2</formula>
    </cfRule>
    <cfRule type="expression" dxfId="557" priority="263" stopIfTrue="1">
      <formula>$J64&lt;&gt;"Serviço"</formula>
    </cfRule>
  </conditionalFormatting>
  <conditionalFormatting sqref="L64:M65">
    <cfRule type="expression" dxfId="556" priority="264" stopIfTrue="1">
      <formula>$J64=$C$2</formula>
    </cfRule>
    <cfRule type="expression" dxfId="555" priority="265" stopIfTrue="1">
      <formula>$J64&lt;&gt;"Serviço"</formula>
    </cfRule>
    <cfRule type="expression" dxfId="554" priority="266" stopIfTrue="1">
      <formula>OR(CELL("proteger",L64),$J64="",TipoOrçamento="Licitado")</formula>
    </cfRule>
  </conditionalFormatting>
  <conditionalFormatting sqref="J64:J66">
    <cfRule type="expression" dxfId="553" priority="267" stopIfTrue="1">
      <formula>TipoOrçamento="Licitado"</formula>
    </cfRule>
  </conditionalFormatting>
  <conditionalFormatting sqref="O64:O66">
    <cfRule type="expression" dxfId="552" priority="248" stopIfTrue="1">
      <formula>$J64=$C$2</formula>
    </cfRule>
    <cfRule type="expression" dxfId="551" priority="249" stopIfTrue="1">
      <formula>AND($J64&lt;&gt;"Serviço")</formula>
    </cfRule>
    <cfRule type="expression" dxfId="550" priority="250" stopIfTrue="1">
      <formula>CELL("proteger",O64)</formula>
    </cfRule>
  </conditionalFormatting>
  <conditionalFormatting sqref="N64:N66">
    <cfRule type="expression" dxfId="549" priority="251" stopIfTrue="1">
      <formula>$J64=$C$2</formula>
    </cfRule>
    <cfRule type="expression" dxfId="548" priority="252" stopIfTrue="1">
      <formula>$J64&lt;&gt;"Serviço"</formula>
    </cfRule>
    <cfRule type="expression" dxfId="547" priority="253" stopIfTrue="1">
      <formula>CELL("proteger",N64)</formula>
    </cfRule>
  </conditionalFormatting>
  <conditionalFormatting sqref="K14 K16:K18 K21:K26">
    <cfRule type="expression" dxfId="546" priority="212" stopIfTrue="1">
      <formula>$J14=$C$2</formula>
    </cfRule>
    <cfRule type="expression" dxfId="545" priority="213" stopIfTrue="1">
      <formula>AND($J14&lt;&gt;"",$J14&lt;&gt;"Serviço")</formula>
    </cfRule>
    <cfRule type="expression" dxfId="544" priority="214" stopIfTrue="1">
      <formula>$J14=""</formula>
    </cfRule>
  </conditionalFormatting>
  <conditionalFormatting sqref="P14 P16:P18 P21:P26">
    <cfRule type="expression" dxfId="543" priority="205" stopIfTrue="1">
      <formula>$J14=$C$2</formula>
    </cfRule>
    <cfRule type="expression" dxfId="542" priority="215" stopIfTrue="1">
      <formula>AND($J14&lt;&gt;"Serviço")</formula>
    </cfRule>
    <cfRule type="expression" dxfId="541" priority="216" stopIfTrue="1">
      <formula>CELL("proteger",P14)</formula>
    </cfRule>
  </conditionalFormatting>
  <conditionalFormatting sqref="Q14:R14 Q16:R18 Q21:R26">
    <cfRule type="expression" dxfId="540" priority="217" stopIfTrue="1">
      <formula>$J14=$C$2</formula>
    </cfRule>
    <cfRule type="expression" dxfId="539" priority="218" stopIfTrue="1">
      <formula>$J14&lt;&gt;"Serviço"</formula>
    </cfRule>
    <cfRule type="expression" dxfId="538" priority="219" stopIfTrue="1">
      <formula>CELL("proteger",Q14)</formula>
    </cfRule>
  </conditionalFormatting>
  <conditionalFormatting sqref="S14:T14 Y14:Z14 Y16:Z18 S16:T18 S21:T26 Y21:Z26">
    <cfRule type="expression" dxfId="537" priority="220" stopIfTrue="1">
      <formula>$J14=$C$2</formula>
    </cfRule>
    <cfRule type="expression" dxfId="536" priority="221" stopIfTrue="1">
      <formula>$J14&lt;&gt;"Serviço"</formula>
    </cfRule>
  </conditionalFormatting>
  <conditionalFormatting sqref="L14:M14 L16:M18 L21:M26">
    <cfRule type="expression" dxfId="535" priority="222" stopIfTrue="1">
      <formula>$J14=$C$2</formula>
    </cfRule>
    <cfRule type="expression" dxfId="534" priority="223" stopIfTrue="1">
      <formula>$J14&lt;&gt;"Serviço"</formula>
    </cfRule>
    <cfRule type="expression" dxfId="533" priority="224" stopIfTrue="1">
      <formula>OR(CELL("proteger",L14),$J14="",TipoOrçamento="Licitado")</formula>
    </cfRule>
  </conditionalFormatting>
  <conditionalFormatting sqref="J14 J16:J18 J21:J26">
    <cfRule type="expression" dxfId="532" priority="225" stopIfTrue="1">
      <formula>TipoOrçamento="Licitado"</formula>
    </cfRule>
  </conditionalFormatting>
  <conditionalFormatting sqref="O14 O16:O18 O21:O26">
    <cfRule type="expression" dxfId="531" priority="206" stopIfTrue="1">
      <formula>$J14=$C$2</formula>
    </cfRule>
    <cfRule type="expression" dxfId="530" priority="207" stopIfTrue="1">
      <formula>AND($J14&lt;&gt;"Serviço")</formula>
    </cfRule>
    <cfRule type="expression" dxfId="529" priority="208" stopIfTrue="1">
      <formula>CELL("proteger",O14)</formula>
    </cfRule>
  </conditionalFormatting>
  <conditionalFormatting sqref="N14 N16:N18 N21:N26">
    <cfRule type="expression" dxfId="528" priority="209" stopIfTrue="1">
      <formula>$J14=$C$2</formula>
    </cfRule>
    <cfRule type="expression" dxfId="527" priority="210" stopIfTrue="1">
      <formula>$J14&lt;&gt;"Serviço"</formula>
    </cfRule>
    <cfRule type="expression" dxfId="526" priority="211" stopIfTrue="1">
      <formula>CELL("proteger",N14)</formula>
    </cfRule>
  </conditionalFormatting>
  <conditionalFormatting sqref="K15">
    <cfRule type="expression" dxfId="525" priority="191" stopIfTrue="1">
      <formula>$J15=$C$2</formula>
    </cfRule>
    <cfRule type="expression" dxfId="524" priority="192" stopIfTrue="1">
      <formula>AND($J15&lt;&gt;"",$J15&lt;&gt;"Serviço")</formula>
    </cfRule>
    <cfRule type="expression" dxfId="523" priority="193" stopIfTrue="1">
      <formula>$J15=""</formula>
    </cfRule>
  </conditionalFormatting>
  <conditionalFormatting sqref="P15">
    <cfRule type="expression" dxfId="522" priority="184" stopIfTrue="1">
      <formula>$J15=$C$2</formula>
    </cfRule>
    <cfRule type="expression" dxfId="521" priority="194" stopIfTrue="1">
      <formula>AND($J15&lt;&gt;"Serviço")</formula>
    </cfRule>
    <cfRule type="expression" dxfId="520" priority="195" stopIfTrue="1">
      <formula>CELL("proteger",P15)</formula>
    </cfRule>
  </conditionalFormatting>
  <conditionalFormatting sqref="Q15:R15">
    <cfRule type="expression" dxfId="519" priority="196" stopIfTrue="1">
      <formula>$J15=$C$2</formula>
    </cfRule>
    <cfRule type="expression" dxfId="518" priority="197" stopIfTrue="1">
      <formula>$J15&lt;&gt;"Serviço"</formula>
    </cfRule>
    <cfRule type="expression" dxfId="517" priority="198" stopIfTrue="1">
      <formula>CELL("proteger",Q15)</formula>
    </cfRule>
  </conditionalFormatting>
  <conditionalFormatting sqref="S15:T15 Y15:Z15">
    <cfRule type="expression" dxfId="516" priority="199" stopIfTrue="1">
      <formula>$J15=$C$2</formula>
    </cfRule>
    <cfRule type="expression" dxfId="515" priority="200" stopIfTrue="1">
      <formula>$J15&lt;&gt;"Serviço"</formula>
    </cfRule>
  </conditionalFormatting>
  <conditionalFormatting sqref="L15:M15">
    <cfRule type="expression" dxfId="514" priority="201" stopIfTrue="1">
      <formula>$J15=$C$2</formula>
    </cfRule>
    <cfRule type="expression" dxfId="513" priority="202" stopIfTrue="1">
      <formula>$J15&lt;&gt;"Serviço"</formula>
    </cfRule>
    <cfRule type="expression" dxfId="512" priority="203" stopIfTrue="1">
      <formula>OR(CELL("proteger",L15),$J15="",TipoOrçamento="Licitado")</formula>
    </cfRule>
  </conditionalFormatting>
  <conditionalFormatting sqref="J15">
    <cfRule type="expression" dxfId="511" priority="204" stopIfTrue="1">
      <formula>TipoOrçamento="Licitado"</formula>
    </cfRule>
  </conditionalFormatting>
  <conditionalFormatting sqref="O15">
    <cfRule type="expression" dxfId="510" priority="185" stopIfTrue="1">
      <formula>$J15=$C$2</formula>
    </cfRule>
    <cfRule type="expression" dxfId="509" priority="186" stopIfTrue="1">
      <formula>AND($J15&lt;&gt;"Serviço")</formula>
    </cfRule>
    <cfRule type="expression" dxfId="508" priority="187" stopIfTrue="1">
      <formula>CELL("proteger",O15)</formula>
    </cfRule>
  </conditionalFormatting>
  <conditionalFormatting sqref="N15">
    <cfRule type="expression" dxfId="507" priority="188" stopIfTrue="1">
      <formula>$J15=$C$2</formula>
    </cfRule>
    <cfRule type="expression" dxfId="506" priority="189" stopIfTrue="1">
      <formula>$J15&lt;&gt;"Serviço"</formula>
    </cfRule>
    <cfRule type="expression" dxfId="505" priority="190" stopIfTrue="1">
      <formula>CELL("proteger",N15)</formula>
    </cfRule>
  </conditionalFormatting>
  <conditionalFormatting sqref="J67">
    <cfRule type="expression" dxfId="504" priority="183" stopIfTrue="1">
      <formula>TipoOrçamento="Licitado"</formula>
    </cfRule>
  </conditionalFormatting>
  <conditionalFormatting sqref="K19:K20">
    <cfRule type="expression" dxfId="503" priority="128" stopIfTrue="1">
      <formula>$J19=$C$2</formula>
    </cfRule>
    <cfRule type="expression" dxfId="502" priority="129" stopIfTrue="1">
      <formula>AND($J19&lt;&gt;"",$J19&lt;&gt;"Serviço")</formula>
    </cfRule>
    <cfRule type="expression" dxfId="501" priority="130" stopIfTrue="1">
      <formula>$J19=""</formula>
    </cfRule>
  </conditionalFormatting>
  <conditionalFormatting sqref="P19:P20">
    <cfRule type="expression" dxfId="500" priority="121" stopIfTrue="1">
      <formula>$J19=$C$2</formula>
    </cfRule>
    <cfRule type="expression" dxfId="499" priority="131" stopIfTrue="1">
      <formula>AND($J19&lt;&gt;"Serviço")</formula>
    </cfRule>
    <cfRule type="expression" dxfId="498" priority="132" stopIfTrue="1">
      <formula>CELL("proteger",P19)</formula>
    </cfRule>
  </conditionalFormatting>
  <conditionalFormatting sqref="Q19:R20">
    <cfRule type="expression" dxfId="497" priority="133" stopIfTrue="1">
      <formula>$J19=$C$2</formula>
    </cfRule>
    <cfRule type="expression" dxfId="496" priority="134" stopIfTrue="1">
      <formula>$J19&lt;&gt;"Serviço"</formula>
    </cfRule>
    <cfRule type="expression" dxfId="495" priority="135" stopIfTrue="1">
      <formula>CELL("proteger",Q19)</formula>
    </cfRule>
  </conditionalFormatting>
  <conditionalFormatting sqref="S19:T20 Y19:Z20">
    <cfRule type="expression" dxfId="494" priority="136" stopIfTrue="1">
      <formula>$J19=$C$2</formula>
    </cfRule>
    <cfRule type="expression" dxfId="493" priority="137" stopIfTrue="1">
      <formula>$J19&lt;&gt;"Serviço"</formula>
    </cfRule>
  </conditionalFormatting>
  <conditionalFormatting sqref="L19:M20">
    <cfRule type="expression" dxfId="492" priority="138" stopIfTrue="1">
      <formula>$J19=$C$2</formula>
    </cfRule>
    <cfRule type="expression" dxfId="491" priority="139" stopIfTrue="1">
      <formula>$J19&lt;&gt;"Serviço"</formula>
    </cfRule>
    <cfRule type="expression" dxfId="490" priority="140" stopIfTrue="1">
      <formula>OR(CELL("proteger",L19),$J19="",TipoOrçamento="Licitado")</formula>
    </cfRule>
  </conditionalFormatting>
  <conditionalFormatting sqref="J19:J20">
    <cfRule type="expression" dxfId="489" priority="141" stopIfTrue="1">
      <formula>TipoOrçamento="Licitado"</formula>
    </cfRule>
  </conditionalFormatting>
  <conditionalFormatting sqref="O19:O20">
    <cfRule type="expression" dxfId="488" priority="122" stopIfTrue="1">
      <formula>$J19=$C$2</formula>
    </cfRule>
    <cfRule type="expression" dxfId="487" priority="123" stopIfTrue="1">
      <formula>AND($J19&lt;&gt;"Serviço")</formula>
    </cfRule>
    <cfRule type="expression" dxfId="486" priority="124" stopIfTrue="1">
      <formula>CELL("proteger",O19)</formula>
    </cfRule>
  </conditionalFormatting>
  <conditionalFormatting sqref="N19:N20">
    <cfRule type="expression" dxfId="485" priority="125" stopIfTrue="1">
      <formula>$J19=$C$2</formula>
    </cfRule>
    <cfRule type="expression" dxfId="484" priority="126" stopIfTrue="1">
      <formula>$J19&lt;&gt;"Serviço"</formula>
    </cfRule>
    <cfRule type="expression" dxfId="483" priority="127" stopIfTrue="1">
      <formula>CELL("proteger",N19)</formula>
    </cfRule>
  </conditionalFormatting>
  <conditionalFormatting sqref="J69:J73">
    <cfRule type="expression" dxfId="482" priority="99" stopIfTrue="1">
      <formula>TipoOrçamento="Licitado"</formula>
    </cfRule>
  </conditionalFormatting>
  <conditionalFormatting sqref="K55">
    <cfRule type="expression" dxfId="481" priority="50" stopIfTrue="1">
      <formula>$J55=$C$2</formula>
    </cfRule>
    <cfRule type="expression" dxfId="480" priority="51" stopIfTrue="1">
      <formula>AND($J55&lt;&gt;"",$J55&lt;&gt;"Serviço")</formula>
    </cfRule>
    <cfRule type="expression" dxfId="479" priority="52" stopIfTrue="1">
      <formula>$J55=""</formula>
    </cfRule>
  </conditionalFormatting>
  <conditionalFormatting sqref="P55">
    <cfRule type="expression" dxfId="478" priority="43" stopIfTrue="1">
      <formula>$J55=$C$2</formula>
    </cfRule>
    <cfRule type="expression" dxfId="477" priority="53" stopIfTrue="1">
      <formula>AND($J55&lt;&gt;"Serviço")</formula>
    </cfRule>
    <cfRule type="expression" dxfId="476" priority="54" stopIfTrue="1">
      <formula>CELL("proteger",P55)</formula>
    </cfRule>
  </conditionalFormatting>
  <conditionalFormatting sqref="Q55:R55">
    <cfRule type="expression" dxfId="475" priority="55" stopIfTrue="1">
      <formula>$J55=$C$2</formula>
    </cfRule>
    <cfRule type="expression" dxfId="474" priority="56" stopIfTrue="1">
      <formula>$J55&lt;&gt;"Serviço"</formula>
    </cfRule>
    <cfRule type="expression" dxfId="473" priority="57" stopIfTrue="1">
      <formula>CELL("proteger",Q55)</formula>
    </cfRule>
  </conditionalFormatting>
  <conditionalFormatting sqref="S55:T55 Y55:Z55">
    <cfRule type="expression" dxfId="472" priority="58" stopIfTrue="1">
      <formula>$J55=$C$2</formula>
    </cfRule>
    <cfRule type="expression" dxfId="471" priority="59" stopIfTrue="1">
      <formula>$J55&lt;&gt;"Serviço"</formula>
    </cfRule>
  </conditionalFormatting>
  <conditionalFormatting sqref="L55:M55">
    <cfRule type="expression" dxfId="470" priority="60" stopIfTrue="1">
      <formula>$J55=$C$2</formula>
    </cfRule>
    <cfRule type="expression" dxfId="469" priority="61" stopIfTrue="1">
      <formula>$J55&lt;&gt;"Serviço"</formula>
    </cfRule>
    <cfRule type="expression" dxfId="468" priority="62" stopIfTrue="1">
      <formula>OR(CELL("proteger",L55),$J55="",TipoOrçamento="Licitado")</formula>
    </cfRule>
  </conditionalFormatting>
  <conditionalFormatting sqref="J55">
    <cfRule type="expression" dxfId="467" priority="63" stopIfTrue="1">
      <formula>TipoOrçamento="Licitado"</formula>
    </cfRule>
  </conditionalFormatting>
  <conditionalFormatting sqref="O55">
    <cfRule type="expression" dxfId="466" priority="44" stopIfTrue="1">
      <formula>$J55=$C$2</formula>
    </cfRule>
    <cfRule type="expression" dxfId="465" priority="45" stopIfTrue="1">
      <formula>AND($J55&lt;&gt;"Serviço")</formula>
    </cfRule>
    <cfRule type="expression" dxfId="464" priority="46" stopIfTrue="1">
      <formula>CELL("proteger",O55)</formula>
    </cfRule>
  </conditionalFormatting>
  <conditionalFormatting sqref="N55">
    <cfRule type="expression" dxfId="463" priority="47" stopIfTrue="1">
      <formula>$J55=$C$2</formula>
    </cfRule>
    <cfRule type="expression" dxfId="462" priority="48" stopIfTrue="1">
      <formula>$J55&lt;&gt;"Serviço"</formula>
    </cfRule>
    <cfRule type="expression" dxfId="461" priority="49" stopIfTrue="1">
      <formula>CELL("proteger",N55)</formula>
    </cfRule>
  </conditionalFormatting>
  <conditionalFormatting sqref="K102">
    <cfRule type="expression" dxfId="460" priority="29" stopIfTrue="1">
      <formula>$J102=$C$2</formula>
    </cfRule>
    <cfRule type="expression" dxfId="459" priority="30" stopIfTrue="1">
      <formula>AND($J102&lt;&gt;"",$J102&lt;&gt;"Serviço")</formula>
    </cfRule>
    <cfRule type="expression" dxfId="458" priority="31" stopIfTrue="1">
      <formula>$J102=""</formula>
    </cfRule>
  </conditionalFormatting>
  <conditionalFormatting sqref="P102">
    <cfRule type="expression" dxfId="457" priority="22" stopIfTrue="1">
      <formula>$J102=$C$2</formula>
    </cfRule>
    <cfRule type="expression" dxfId="456" priority="32" stopIfTrue="1">
      <formula>AND($J102&lt;&gt;"Serviço")</formula>
    </cfRule>
    <cfRule type="expression" dxfId="455" priority="33" stopIfTrue="1">
      <formula>CELL("proteger",P102)</formula>
    </cfRule>
  </conditionalFormatting>
  <conditionalFormatting sqref="Q102:R102">
    <cfRule type="expression" dxfId="454" priority="34" stopIfTrue="1">
      <formula>$J102=$C$2</formula>
    </cfRule>
    <cfRule type="expression" dxfId="453" priority="35" stopIfTrue="1">
      <formula>$J102&lt;&gt;"Serviço"</formula>
    </cfRule>
    <cfRule type="expression" dxfId="452" priority="36" stopIfTrue="1">
      <formula>CELL("proteger",Q102)</formula>
    </cfRule>
  </conditionalFormatting>
  <conditionalFormatting sqref="S102:T102 Y102:Z102">
    <cfRule type="expression" dxfId="451" priority="37" stopIfTrue="1">
      <formula>$J102=$C$2</formula>
    </cfRule>
    <cfRule type="expression" dxfId="450" priority="38" stopIfTrue="1">
      <formula>$J102&lt;&gt;"Serviço"</formula>
    </cfRule>
  </conditionalFormatting>
  <conditionalFormatting sqref="L102:M102">
    <cfRule type="expression" dxfId="449" priority="39" stopIfTrue="1">
      <formula>$J102=$C$2</formula>
    </cfRule>
    <cfRule type="expression" dxfId="448" priority="40" stopIfTrue="1">
      <formula>$J102&lt;&gt;"Serviço"</formula>
    </cfRule>
    <cfRule type="expression" dxfId="447" priority="41" stopIfTrue="1">
      <formula>OR(CELL("proteger",L102),$J102="",TipoOrçamento="Licitado")</formula>
    </cfRule>
  </conditionalFormatting>
  <conditionalFormatting sqref="J102">
    <cfRule type="expression" dxfId="446" priority="42" stopIfTrue="1">
      <formula>TipoOrçamento="Licitado"</formula>
    </cfRule>
  </conditionalFormatting>
  <conditionalFormatting sqref="O102">
    <cfRule type="expression" dxfId="445" priority="23" stopIfTrue="1">
      <formula>$J102=$C$2</formula>
    </cfRule>
    <cfRule type="expression" dxfId="444" priority="24" stopIfTrue="1">
      <formula>AND($J102&lt;&gt;"Serviço")</formula>
    </cfRule>
    <cfRule type="expression" dxfId="443" priority="25" stopIfTrue="1">
      <formula>CELL("proteger",O102)</formula>
    </cfRule>
  </conditionalFormatting>
  <conditionalFormatting sqref="N102">
    <cfRule type="expression" dxfId="442" priority="26" stopIfTrue="1">
      <formula>$J102=$C$2</formula>
    </cfRule>
    <cfRule type="expression" dxfId="441" priority="27" stopIfTrue="1">
      <formula>$J102&lt;&gt;"Serviço"</formula>
    </cfRule>
    <cfRule type="expression" dxfId="440" priority="28" stopIfTrue="1">
      <formula>CELL("proteger",N102)</formula>
    </cfRule>
  </conditionalFormatting>
  <conditionalFormatting sqref="K95">
    <cfRule type="expression" dxfId="439" priority="8" stopIfTrue="1">
      <formula>$J95=$C$2</formula>
    </cfRule>
    <cfRule type="expression" dxfId="438" priority="9" stopIfTrue="1">
      <formula>AND($J95&lt;&gt;"",$J95&lt;&gt;"Serviço")</formula>
    </cfRule>
    <cfRule type="expression" dxfId="437" priority="10" stopIfTrue="1">
      <formula>$J95=""</formula>
    </cfRule>
  </conditionalFormatting>
  <conditionalFormatting sqref="P95">
    <cfRule type="expression" dxfId="436" priority="1" stopIfTrue="1">
      <formula>$J95=$C$2</formula>
    </cfRule>
    <cfRule type="expression" dxfId="435" priority="11" stopIfTrue="1">
      <formula>AND($J95&lt;&gt;"Serviço")</formula>
    </cfRule>
    <cfRule type="expression" dxfId="434" priority="12" stopIfTrue="1">
      <formula>CELL("proteger",P95)</formula>
    </cfRule>
  </conditionalFormatting>
  <conditionalFormatting sqref="Q95:R95">
    <cfRule type="expression" dxfId="433" priority="13" stopIfTrue="1">
      <formula>$J95=$C$2</formula>
    </cfRule>
    <cfRule type="expression" dxfId="432" priority="14" stopIfTrue="1">
      <formula>$J95&lt;&gt;"Serviço"</formula>
    </cfRule>
    <cfRule type="expression" dxfId="431" priority="15" stopIfTrue="1">
      <formula>CELL("proteger",Q95)</formula>
    </cfRule>
  </conditionalFormatting>
  <conditionalFormatting sqref="S95:T95 Y95:Z95">
    <cfRule type="expression" dxfId="430" priority="16" stopIfTrue="1">
      <formula>$J95=$C$2</formula>
    </cfRule>
    <cfRule type="expression" dxfId="429" priority="17" stopIfTrue="1">
      <formula>$J95&lt;&gt;"Serviço"</formula>
    </cfRule>
  </conditionalFormatting>
  <conditionalFormatting sqref="L95:M95">
    <cfRule type="expression" dxfId="428" priority="18" stopIfTrue="1">
      <formula>$J95=$C$2</formula>
    </cfRule>
    <cfRule type="expression" dxfId="427" priority="19" stopIfTrue="1">
      <formula>$J95&lt;&gt;"Serviço"</formula>
    </cfRule>
    <cfRule type="expression" dxfId="426" priority="20" stopIfTrue="1">
      <formula>OR(CELL("proteger",L95),$J95="",TipoOrçamento="Licitado")</formula>
    </cfRule>
  </conditionalFormatting>
  <conditionalFormatting sqref="J95">
    <cfRule type="expression" dxfId="425" priority="21" stopIfTrue="1">
      <formula>TipoOrçamento="Licitado"</formula>
    </cfRule>
  </conditionalFormatting>
  <conditionalFormatting sqref="O95">
    <cfRule type="expression" dxfId="424" priority="2" stopIfTrue="1">
      <formula>$J95=$C$2</formula>
    </cfRule>
    <cfRule type="expression" dxfId="423" priority="3" stopIfTrue="1">
      <formula>AND($J95&lt;&gt;"Serviço")</formula>
    </cfRule>
    <cfRule type="expression" dxfId="422" priority="4" stopIfTrue="1">
      <formula>CELL("proteger",O95)</formula>
    </cfRule>
  </conditionalFormatting>
  <conditionalFormatting sqref="N95">
    <cfRule type="expression" dxfId="421" priority="5" stopIfTrue="1">
      <formula>$J95=$C$2</formula>
    </cfRule>
    <cfRule type="expression" dxfId="420" priority="6" stopIfTrue="1">
      <formula>$J95&lt;&gt;"Serviço"</formula>
    </cfRule>
    <cfRule type="expression" dxfId="419" priority="7" stopIfTrue="1">
      <formula>CELL("proteger",N95)</formula>
    </cfRule>
  </conditionalFormatting>
  <dataValidations count="3">
    <dataValidation type="decimal" operator="greaterThan" allowBlank="1" showInputMessage="1" showErrorMessage="1" error="Apenas números decimais maiores que zero." sqref="Q11 Q13:Q110"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110"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110" xr:uid="{00000000-0002-0000-02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122 K125"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117"/>
  <sheetViews>
    <sheetView showGridLines="0" zoomScale="85" zoomScaleNormal="85" zoomScaleSheetLayoutView="100" workbookViewId="0">
      <pane xSplit="5" ySplit="10" topLeftCell="F11" activePane="bottomRight" state="frozen"/>
      <selection pane="topRight"/>
      <selection pane="bottomLeft"/>
      <selection pane="bottomRight" activeCell="K120" sqref="K120"/>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401" t="s">
        <v>237</v>
      </c>
      <c r="G9" s="401"/>
      <c r="H9" s="401"/>
      <c r="I9" s="401"/>
      <c r="J9" s="401"/>
      <c r="K9" s="401"/>
      <c r="L9" s="401"/>
      <c r="M9" s="401"/>
      <c r="N9" s="401"/>
      <c r="O9" s="401"/>
      <c r="U9" s="122"/>
    </row>
    <row r="10" spans="1:21" s="15" customFormat="1" ht="30" customHeight="1" x14ac:dyDescent="0.2">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
      <c r="A12" s="76" t="str">
        <f>PO!J12</f>
        <v>CTEF</v>
      </c>
      <c r="B12" s="76"/>
      <c r="C12" s="76">
        <f>PO!N12</f>
        <v>0</v>
      </c>
      <c r="D12" s="76"/>
      <c r="E12" s="216"/>
      <c r="F12" s="217"/>
      <c r="G12" s="217"/>
      <c r="H12" s="217"/>
      <c r="I12" s="217"/>
      <c r="J12" s="217"/>
      <c r="K12" s="217"/>
      <c r="L12" s="217"/>
      <c r="M12" s="217"/>
      <c r="N12" s="217"/>
      <c r="O12" s="217"/>
      <c r="U12" s="217"/>
    </row>
    <row r="13" spans="1:21" s="4" customFormat="1" x14ac:dyDescent="0.2">
      <c r="A13" s="126" t="str">
        <f ca="1">OFFSET(PO!J$12,ROW(A13)-ROW($A$12),0)</f>
        <v>Meta</v>
      </c>
      <c r="B13" s="130" t="str">
        <f ca="1">IF($A13=0,"",OFFSET(PO!K$12,ROW(B13)-ROW(B$12),0))</f>
        <v>1.</v>
      </c>
      <c r="C13" s="127" t="str">
        <f ca="1">IF(OFFSET(PO!N$12,ROW(C13)-ROW(C$12),0)=0,"",OFFSET(PO!N$12,ROW(C13)-ROW(C$12),0))</f>
        <v>SERVIÇO INICIAIS</v>
      </c>
      <c r="D13" s="129" t="str">
        <f ca="1">IF(OFFSET(PO!O$12,ROW(D13)-ROW(D$12),0)=0,"",OFFSET(PO!O$12,ROW(D13)-ROW(D$12),0))</f>
        <v/>
      </c>
      <c r="E13" s="165">
        <f ca="1">IF($A13&lt;&gt;"Serviço",0,ROUND(SUMIF($F$9:$P$9,"&lt;&gt;",$F13:$P13),15-13*PO!$X$3))</f>
        <v>0</v>
      </c>
      <c r="F13" s="400">
        <f ca="1">OFFSET(PO!$P$12,ROW($E13)-ROW(F$12),0)</f>
        <v>0</v>
      </c>
      <c r="G13" s="400"/>
      <c r="H13" s="400"/>
      <c r="I13" s="400"/>
      <c r="J13" s="400"/>
      <c r="K13" s="400"/>
      <c r="L13" s="400"/>
      <c r="M13" s="400"/>
      <c r="N13" s="400"/>
      <c r="O13" s="400"/>
      <c r="U13" s="215"/>
    </row>
    <row r="14" spans="1:21" s="4" customFormat="1" x14ac:dyDescent="0.2">
      <c r="A14" s="128" t="str">
        <f ca="1">OFFSET(PO!J$12,ROW(A14)-ROW($A$12),0)</f>
        <v>Meta</v>
      </c>
      <c r="B14" s="130" t="str">
        <f ca="1">IF($A14=0,"",OFFSET(PO!K$12,ROW(B14)-ROW(B$12),0))</f>
        <v>2.</v>
      </c>
      <c r="C14" s="127" t="str">
        <f ca="1">IF(OFFSET(PO!N$12,ROW(C14)-ROW(C$12),0)=0,"",OFFSET(PO!N$12,ROW(C14)-ROW(C$12),0))</f>
        <v>BLOCO B</v>
      </c>
      <c r="D14" s="129" t="str">
        <f ca="1">IF(OFFSET(PO!O$12,ROW(D14)-ROW(D$12),0)=0,"",OFFSET(PO!O$12,ROW(D14)-ROW(D$12),0))</f>
        <v/>
      </c>
      <c r="E14" s="165">
        <f ca="1">IF($A14&lt;&gt;"Serviço",0,ROUND(SUMIF($F$9:$P$9,"&lt;&gt;",$F14:$P14),15-13*PO!$X$3))</f>
        <v>0</v>
      </c>
      <c r="F14" s="400">
        <f ca="1">OFFSET(PO!$P$12,ROW($E14)-ROW(F$12),0)</f>
        <v>0</v>
      </c>
      <c r="G14" s="400"/>
      <c r="H14" s="400"/>
      <c r="I14" s="400"/>
      <c r="J14" s="400"/>
      <c r="K14" s="400"/>
      <c r="L14" s="400"/>
      <c r="M14" s="400"/>
      <c r="N14" s="400"/>
      <c r="O14" s="400"/>
      <c r="U14" s="215"/>
    </row>
    <row r="15" spans="1:21" s="4" customFormat="1" x14ac:dyDescent="0.2">
      <c r="A15" s="128" t="str">
        <f ca="1">OFFSET(PO!J$12,ROW(A15)-ROW($A$12),0)</f>
        <v>Nível 2</v>
      </c>
      <c r="B15" s="130" t="str">
        <f ca="1">IF($A15=0,"",OFFSET(PO!K$12,ROW(B15)-ROW(B$12),0))</f>
        <v>2.1.</v>
      </c>
      <c r="C15" s="127" t="str">
        <f ca="1">IF(OFFSET(PO!N$12,ROW(C15)-ROW(C$12),0)=0,"",OFFSET(PO!N$12,ROW(C15)-ROW(C$12),0))</f>
        <v>FORRO</v>
      </c>
      <c r="D15" s="129" t="str">
        <f ca="1">IF(OFFSET(PO!O$12,ROW(D15)-ROW(D$12),0)=0,"",OFFSET(PO!O$12,ROW(D15)-ROW(D$12),0))</f>
        <v/>
      </c>
      <c r="E15" s="165">
        <f ca="1">IF($A15&lt;&gt;"Serviço",0,ROUND(SUMIF($F$9:$P$9,"&lt;&gt;",$F15:$P15),15-13*PO!$X$3))</f>
        <v>0</v>
      </c>
      <c r="F15" s="400">
        <f ca="1">OFFSET(PO!$P$12,ROW($E15)-ROW(F$12),0)</f>
        <v>0</v>
      </c>
      <c r="G15" s="400"/>
      <c r="H15" s="400"/>
      <c r="I15" s="400"/>
      <c r="J15" s="400"/>
      <c r="K15" s="400"/>
      <c r="L15" s="400"/>
      <c r="M15" s="400"/>
      <c r="N15" s="400"/>
      <c r="O15" s="400"/>
      <c r="U15" s="215"/>
    </row>
    <row r="16" spans="1:21" s="4" customFormat="1" ht="25.5" x14ac:dyDescent="0.2">
      <c r="A16" s="128" t="str">
        <f ca="1">OFFSET(PO!J$12,ROW(A16)-ROW($A$12),0)</f>
        <v>Serviço</v>
      </c>
      <c r="B16" s="130" t="str">
        <f ca="1">IF($A16=0,"",OFFSET(PO!K$12,ROW(B16)-ROW(B$12),0))</f>
        <v>2.1.1.</v>
      </c>
      <c r="C16" s="127" t="str">
        <f ca="1">IF(OFFSET(PO!N$12,ROW(C16)-ROW(C$12),0)=0,"",OFFSET(PO!N$12,ROW(C16)-ROW(C$12),0))</f>
        <v/>
      </c>
      <c r="D16" s="129" t="str">
        <f ca="1">IF(OFFSET(PO!O$12,ROW(D16)-ROW(D$12),0)=0,"",OFFSET(PO!O$12,ROW(D16)-ROW(D$12),0))</f>
        <v/>
      </c>
      <c r="E16" s="165">
        <f ca="1">IF($A16&lt;&gt;"Serviço",0,ROUND(SUMIF($F$9:$P$9,"&lt;&gt;",$F16:$P16),15-13*PO!$X$3))</f>
        <v>103.41</v>
      </c>
      <c r="F16" s="400">
        <f ca="1">OFFSET(PO!$P$12,ROW($E16)-ROW(F$12),0)</f>
        <v>103.41</v>
      </c>
      <c r="G16" s="400"/>
      <c r="H16" s="400"/>
      <c r="I16" s="400"/>
      <c r="J16" s="400"/>
      <c r="K16" s="400"/>
      <c r="L16" s="400"/>
      <c r="M16" s="400"/>
      <c r="N16" s="400"/>
      <c r="O16" s="400"/>
      <c r="U16" s="215"/>
    </row>
    <row r="17" spans="1:21" s="4" customFormat="1" ht="38.25" x14ac:dyDescent="0.2">
      <c r="A17" s="128" t="str">
        <f ca="1">OFFSET(PO!J$12,ROW(A17)-ROW($A$12),0)</f>
        <v>Serviço</v>
      </c>
      <c r="B17" s="130" t="str">
        <f ca="1">IF($A17=0,"",OFFSET(PO!K$12,ROW(B17)-ROW(B$12),0))</f>
        <v>2.1.2.</v>
      </c>
      <c r="C17" s="127" t="str">
        <f ca="1">IF(OFFSET(PO!N$12,ROW(C17)-ROW(C$12),0)=0,"",OFFSET(PO!N$12,ROW(C17)-ROW(C$12),0))</f>
        <v/>
      </c>
      <c r="D17" s="129" t="str">
        <f ca="1">IF(OFFSET(PO!O$12,ROW(D17)-ROW(D$12),0)=0,"",OFFSET(PO!O$12,ROW(D17)-ROW(D$12),0))</f>
        <v/>
      </c>
      <c r="E17" s="165">
        <f ca="1">IF($A17&lt;&gt;"Serviço",0,ROUND(SUMIF($F$9:$P$9,"&lt;&gt;",$F17:$P17),15-13*PO!$X$3))</f>
        <v>103.41</v>
      </c>
      <c r="F17" s="400">
        <f ca="1">OFFSET(PO!$P$12,ROW($E17)-ROW(F$12),0)</f>
        <v>103.41</v>
      </c>
      <c r="G17" s="400"/>
      <c r="H17" s="400"/>
      <c r="I17" s="400"/>
      <c r="J17" s="400"/>
      <c r="K17" s="400"/>
      <c r="L17" s="400"/>
      <c r="M17" s="400"/>
      <c r="N17" s="400"/>
      <c r="O17" s="400"/>
      <c r="U17" s="215"/>
    </row>
    <row r="18" spans="1:21" s="4" customFormat="1" ht="25.5" x14ac:dyDescent="0.2">
      <c r="A18" s="128" t="str">
        <f ca="1">OFFSET(PO!J$12,ROW(A18)-ROW($A$12),0)</f>
        <v>Serviço</v>
      </c>
      <c r="B18" s="130" t="str">
        <f ca="1">IF($A18=0,"",OFFSET(PO!K$12,ROW(B18)-ROW(B$12),0))</f>
        <v>2.1.3.</v>
      </c>
      <c r="C18" s="127" t="str">
        <f ca="1">IF(OFFSET(PO!N$12,ROW(C18)-ROW(C$12),0)=0,"",OFFSET(PO!N$12,ROW(C18)-ROW(C$12),0))</f>
        <v/>
      </c>
      <c r="D18" s="129" t="str">
        <f ca="1">IF(OFFSET(PO!O$12,ROW(D18)-ROW(D$12),0)=0,"",OFFSET(PO!O$12,ROW(D18)-ROW(D$12),0))</f>
        <v/>
      </c>
      <c r="E18" s="165">
        <f ca="1">IF($A18&lt;&gt;"Serviço",0,ROUND(SUMIF($F$9:$P$9,"&lt;&gt;",$F18:$P18),15-13*PO!$X$3))</f>
        <v>85.4</v>
      </c>
      <c r="F18" s="400">
        <f ca="1">OFFSET(PO!$P$12,ROW($E18)-ROW(F$12),0)</f>
        <v>85.4</v>
      </c>
      <c r="G18" s="400"/>
      <c r="H18" s="400"/>
      <c r="I18" s="400"/>
      <c r="J18" s="400"/>
      <c r="K18" s="400"/>
      <c r="L18" s="400"/>
      <c r="M18" s="400"/>
      <c r="N18" s="400"/>
      <c r="O18" s="400"/>
      <c r="U18" s="215"/>
    </row>
    <row r="19" spans="1:21" s="4" customFormat="1" x14ac:dyDescent="0.2">
      <c r="A19" s="128" t="str">
        <f ca="1">OFFSET(PO!J$12,ROW(A19)-ROW($A$12),0)</f>
        <v>Nível 2</v>
      </c>
      <c r="B19" s="130" t="str">
        <f ca="1">IF($A19=0,"",OFFSET(PO!K$12,ROW(B19)-ROW(B$12),0))</f>
        <v>2.2.</v>
      </c>
      <c r="C19" s="127" t="str">
        <f ca="1">IF(OFFSET(PO!N$12,ROW(C19)-ROW(C$12),0)=0,"",OFFSET(PO!N$12,ROW(C19)-ROW(C$12),0))</f>
        <v>REFORÇO TESOURAS</v>
      </c>
      <c r="D19" s="129" t="str">
        <f ca="1">IF(OFFSET(PO!O$12,ROW(D19)-ROW(D$12),0)=0,"",OFFSET(PO!O$12,ROW(D19)-ROW(D$12),0))</f>
        <v/>
      </c>
      <c r="E19" s="165">
        <f ca="1">IF($A19&lt;&gt;"Serviço",0,ROUND(SUMIF($F$9:$P$9,"&lt;&gt;",$F19:$P19),15-13*PO!$X$3))</f>
        <v>0</v>
      </c>
      <c r="F19" s="400">
        <f ca="1">OFFSET(PO!$P$12,ROW($E19)-ROW(F$12),0)</f>
        <v>0</v>
      </c>
      <c r="G19" s="400"/>
      <c r="H19" s="400"/>
      <c r="I19" s="400"/>
      <c r="J19" s="400"/>
      <c r="K19" s="400"/>
      <c r="L19" s="400"/>
      <c r="M19" s="400"/>
      <c r="N19" s="400"/>
      <c r="O19" s="400"/>
      <c r="U19" s="215"/>
    </row>
    <row r="20" spans="1:21" s="4" customFormat="1" ht="25.5" x14ac:dyDescent="0.2">
      <c r="A20" s="128" t="str">
        <f ca="1">OFFSET(PO!J$12,ROW(A20)-ROW($A$12),0)</f>
        <v>Serviço</v>
      </c>
      <c r="B20" s="130" t="str">
        <f ca="1">IF($A20=0,"",OFFSET(PO!K$12,ROW(B20)-ROW(B$12),0))</f>
        <v>2.2.1.</v>
      </c>
      <c r="C20" s="127" t="str">
        <f ca="1">IF(OFFSET(PO!N$12,ROW(C20)-ROW(C$12),0)=0,"",OFFSET(PO!N$12,ROW(C20)-ROW(C$12),0))</f>
        <v/>
      </c>
      <c r="D20" s="129" t="str">
        <f ca="1">IF(OFFSET(PO!O$12,ROW(D20)-ROW(D$12),0)=0,"",OFFSET(PO!O$12,ROW(D20)-ROW(D$12),0))</f>
        <v/>
      </c>
      <c r="E20" s="165">
        <f ca="1">IF($A20&lt;&gt;"Serviço",0,ROUND(SUMIF($F$9:$P$9,"&lt;&gt;",$F20:$P20),15-13*PO!$X$3))</f>
        <v>258</v>
      </c>
      <c r="F20" s="400">
        <f ca="1">OFFSET(PO!$P$12,ROW($E20)-ROW(F$12),0)</f>
        <v>258</v>
      </c>
      <c r="G20" s="400"/>
      <c r="H20" s="400"/>
      <c r="I20" s="400"/>
      <c r="J20" s="400"/>
      <c r="K20" s="400"/>
      <c r="L20" s="400"/>
      <c r="M20" s="400"/>
      <c r="N20" s="400"/>
      <c r="O20" s="400"/>
      <c r="U20" s="215"/>
    </row>
    <row r="21" spans="1:21" s="4" customFormat="1" x14ac:dyDescent="0.2">
      <c r="A21" s="128" t="str">
        <f ca="1">OFFSET(PO!J$12,ROW(A21)-ROW($A$12),0)</f>
        <v>Nível 2</v>
      </c>
      <c r="B21" s="130" t="str">
        <f ca="1">IF($A21=0,"",OFFSET(PO!K$12,ROW(B21)-ROW(B$12),0))</f>
        <v>2.3.</v>
      </c>
      <c r="C21" s="127" t="str">
        <f ca="1">IF(OFFSET(PO!N$12,ROW(C21)-ROW(C$12),0)=0,"",OFFSET(PO!N$12,ROW(C21)-ROW(C$12),0))</f>
        <v>PISOS</v>
      </c>
      <c r="D21" s="129" t="str">
        <f ca="1">IF(OFFSET(PO!O$12,ROW(D21)-ROW(D$12),0)=0,"",OFFSET(PO!O$12,ROW(D21)-ROW(D$12),0))</f>
        <v/>
      </c>
      <c r="E21" s="165">
        <f ca="1">IF($A21&lt;&gt;"Serviço",0,ROUND(SUMIF($F$9:$P$9,"&lt;&gt;",$F21:$P21),15-13*PO!$X$3))</f>
        <v>0</v>
      </c>
      <c r="F21" s="400">
        <f ca="1">OFFSET(PO!$P$12,ROW($E21)-ROW(F$12),0)</f>
        <v>0</v>
      </c>
      <c r="G21" s="400"/>
      <c r="H21" s="400"/>
      <c r="I21" s="400"/>
      <c r="J21" s="400"/>
      <c r="K21" s="400"/>
      <c r="L21" s="400"/>
      <c r="M21" s="400"/>
      <c r="N21" s="400"/>
      <c r="O21" s="400"/>
      <c r="U21" s="215"/>
    </row>
    <row r="22" spans="1:21" s="4" customFormat="1" ht="25.5" x14ac:dyDescent="0.2">
      <c r="A22" s="128" t="str">
        <f ca="1">OFFSET(PO!J$12,ROW(A22)-ROW($A$12),0)</f>
        <v>Serviço</v>
      </c>
      <c r="B22" s="130" t="str">
        <f ca="1">IF($A22=0,"",OFFSET(PO!K$12,ROW(B22)-ROW(B$12),0))</f>
        <v>2.3.1.</v>
      </c>
      <c r="C22" s="127" t="str">
        <f ca="1">IF(OFFSET(PO!N$12,ROW(C22)-ROW(C$12),0)=0,"",OFFSET(PO!N$12,ROW(C22)-ROW(C$12),0))</f>
        <v/>
      </c>
      <c r="D22" s="129" t="str">
        <f ca="1">IF(OFFSET(PO!O$12,ROW(D22)-ROW(D$12),0)=0,"",OFFSET(PO!O$12,ROW(D22)-ROW(D$12),0))</f>
        <v/>
      </c>
      <c r="E22" s="165">
        <f ca="1">IF($A22&lt;&gt;"Serviço",0,ROUND(SUMIF($F$9:$P$9,"&lt;&gt;",$F22:$P22),15-13*PO!$X$3))</f>
        <v>29.44</v>
      </c>
      <c r="F22" s="400">
        <f ca="1">OFFSET(PO!$P$12,ROW($E22)-ROW(F$12),0)</f>
        <v>29.44</v>
      </c>
      <c r="G22" s="400"/>
      <c r="H22" s="400"/>
      <c r="I22" s="400"/>
      <c r="J22" s="400"/>
      <c r="K22" s="400"/>
      <c r="L22" s="400"/>
      <c r="M22" s="400"/>
      <c r="N22" s="400"/>
      <c r="O22" s="400"/>
      <c r="U22" s="215"/>
    </row>
    <row r="23" spans="1:21" s="4" customFormat="1" x14ac:dyDescent="0.2">
      <c r="A23" s="128" t="str">
        <f ca="1">OFFSET(PO!J$12,ROW(A23)-ROW($A$12),0)</f>
        <v>Serviço</v>
      </c>
      <c r="B23" s="130" t="str">
        <f ca="1">IF($A23=0,"",OFFSET(PO!K$12,ROW(B23)-ROW(B$12),0))</f>
        <v>2.3.2.</v>
      </c>
      <c r="C23" s="127" t="str">
        <f ca="1">IF(OFFSET(PO!N$12,ROW(C23)-ROW(C$12),0)=0,"",OFFSET(PO!N$12,ROW(C23)-ROW(C$12),0))</f>
        <v/>
      </c>
      <c r="D23" s="129" t="str">
        <f ca="1">IF(OFFSET(PO!O$12,ROW(D23)-ROW(D$12),0)=0,"",OFFSET(PO!O$12,ROW(D23)-ROW(D$12),0))</f>
        <v/>
      </c>
      <c r="E23" s="165">
        <f ca="1">IF($A23&lt;&gt;"Serviço",0,ROUND(SUMIF($F$9:$P$9,"&lt;&gt;",$F23:$P23),15-13*PO!$X$3))</f>
        <v>29.44</v>
      </c>
      <c r="F23" s="400">
        <f ca="1">OFFSET(PO!$P$12,ROW($E23)-ROW(F$12),0)</f>
        <v>29.44</v>
      </c>
      <c r="G23" s="400"/>
      <c r="H23" s="400"/>
      <c r="I23" s="400"/>
      <c r="J23" s="400"/>
      <c r="K23" s="400"/>
      <c r="L23" s="400"/>
      <c r="M23" s="400"/>
      <c r="N23" s="400"/>
      <c r="O23" s="400"/>
      <c r="U23" s="215"/>
    </row>
    <row r="24" spans="1:21" s="4" customFormat="1" x14ac:dyDescent="0.2">
      <c r="A24" s="128" t="str">
        <f ca="1">OFFSET(PO!J$12,ROW(A24)-ROW($A$12),0)</f>
        <v>Nível 2</v>
      </c>
      <c r="B24" s="130" t="str">
        <f ca="1">IF($A24=0,"",OFFSET(PO!K$12,ROW(B24)-ROW(B$12),0))</f>
        <v>2.4.</v>
      </c>
      <c r="C24" s="127" t="str">
        <f ca="1">IF(OFFSET(PO!N$12,ROW(C24)-ROW(C$12),0)=0,"",OFFSET(PO!N$12,ROW(C24)-ROW(C$12),0))</f>
        <v>PINTURA</v>
      </c>
      <c r="D24" s="129" t="str">
        <f ca="1">IF(OFFSET(PO!O$12,ROW(D24)-ROW(D$12),0)=0,"",OFFSET(PO!O$12,ROW(D24)-ROW(D$12),0))</f>
        <v/>
      </c>
      <c r="E24" s="165">
        <f ca="1">IF($A24&lt;&gt;"Serviço",0,ROUND(SUMIF($F$9:$P$9,"&lt;&gt;",$F24:$P24),15-13*PO!$X$3))</f>
        <v>0</v>
      </c>
      <c r="F24" s="400">
        <f ca="1">OFFSET(PO!$P$12,ROW($E24)-ROW(F$12),0)</f>
        <v>0</v>
      </c>
      <c r="G24" s="400"/>
      <c r="H24" s="400"/>
      <c r="I24" s="400"/>
      <c r="J24" s="400"/>
      <c r="K24" s="400"/>
      <c r="L24" s="400"/>
      <c r="M24" s="400"/>
      <c r="N24" s="400"/>
      <c r="O24" s="400"/>
      <c r="U24" s="215"/>
    </row>
    <row r="25" spans="1:21" s="4" customFormat="1" ht="25.5" x14ac:dyDescent="0.2">
      <c r="A25" s="128" t="str">
        <f ca="1">OFFSET(PO!J$12,ROW(A25)-ROW($A$12),0)</f>
        <v>Serviço</v>
      </c>
      <c r="B25" s="130" t="str">
        <f ca="1">IF($A25=0,"",OFFSET(PO!K$12,ROW(B25)-ROW(B$12),0))</f>
        <v>2.4.1.</v>
      </c>
      <c r="C25" s="127" t="str">
        <f ca="1">IF(OFFSET(PO!N$12,ROW(C25)-ROW(C$12),0)=0,"",OFFSET(PO!N$12,ROW(C25)-ROW(C$12),0))</f>
        <v/>
      </c>
      <c r="D25" s="129" t="str">
        <f ca="1">IF(OFFSET(PO!O$12,ROW(D25)-ROW(D$12),0)=0,"",OFFSET(PO!O$12,ROW(D25)-ROW(D$12),0))</f>
        <v/>
      </c>
      <c r="E25" s="165">
        <f ca="1">IF($A25&lt;&gt;"Serviço",0,ROUND(SUMIF($F$9:$P$9,"&lt;&gt;",$F25:$P25),15-13*PO!$X$3))</f>
        <v>22.96</v>
      </c>
      <c r="F25" s="400">
        <f ca="1">OFFSET(PO!$P$12,ROW($E25)-ROW(F$12),0)</f>
        <v>22.96</v>
      </c>
      <c r="G25" s="400"/>
      <c r="H25" s="400"/>
      <c r="I25" s="400"/>
      <c r="J25" s="400"/>
      <c r="K25" s="400"/>
      <c r="L25" s="400"/>
      <c r="M25" s="400"/>
      <c r="N25" s="400"/>
      <c r="O25" s="400"/>
      <c r="U25" s="215"/>
    </row>
    <row r="26" spans="1:21" s="4" customFormat="1" x14ac:dyDescent="0.2">
      <c r="A26" s="128" t="str">
        <f ca="1">OFFSET(PO!J$12,ROW(A26)-ROW($A$12),0)</f>
        <v>Serviço</v>
      </c>
      <c r="B26" s="130" t="str">
        <f ca="1">IF($A26=0,"",OFFSET(PO!K$12,ROW(B26)-ROW(B$12),0))</f>
        <v>2.4.2.</v>
      </c>
      <c r="C26" s="127" t="str">
        <f ca="1">IF(OFFSET(PO!N$12,ROW(C26)-ROW(C$12),0)=0,"",OFFSET(PO!N$12,ROW(C26)-ROW(C$12),0))</f>
        <v/>
      </c>
      <c r="D26" s="129" t="str">
        <f ca="1">IF(OFFSET(PO!O$12,ROW(D26)-ROW(D$12),0)=0,"",OFFSET(PO!O$12,ROW(D26)-ROW(D$12),0))</f>
        <v/>
      </c>
      <c r="E26" s="165">
        <f ca="1">IF($A26&lt;&gt;"Serviço",0,ROUND(SUMIF($F$9:$P$9,"&lt;&gt;",$F26:$P26),15-13*PO!$X$3))</f>
        <v>0</v>
      </c>
      <c r="F26" s="400">
        <f ca="1">OFFSET(PO!$P$12,ROW($E26)-ROW(F$12),0)</f>
        <v>0</v>
      </c>
      <c r="G26" s="400"/>
      <c r="H26" s="400"/>
      <c r="I26" s="400"/>
      <c r="J26" s="400"/>
      <c r="K26" s="400"/>
      <c r="L26" s="400"/>
      <c r="M26" s="400"/>
      <c r="N26" s="400"/>
      <c r="O26" s="400"/>
      <c r="U26" s="215"/>
    </row>
    <row r="27" spans="1:21" s="4" customFormat="1" x14ac:dyDescent="0.2">
      <c r="A27" s="128" t="str">
        <f ca="1">OFFSET(PO!J$12,ROW(A27)-ROW($A$12),0)</f>
        <v>Meta</v>
      </c>
      <c r="B27" s="130" t="str">
        <f ca="1">IF($A27=0,"",OFFSET(PO!K$12,ROW(B27)-ROW(B$12),0))</f>
        <v>3.</v>
      </c>
      <c r="C27" s="127" t="str">
        <f ca="1">IF(OFFSET(PO!N$12,ROW(C27)-ROW(C$12),0)=0,"",OFFSET(PO!N$12,ROW(C27)-ROW(C$12),0))</f>
        <v>BLOCO C -</v>
      </c>
      <c r="D27" s="129" t="str">
        <f ca="1">IF(OFFSET(PO!O$12,ROW(D27)-ROW(D$12),0)=0,"",OFFSET(PO!O$12,ROW(D27)-ROW(D$12),0))</f>
        <v/>
      </c>
      <c r="E27" s="165">
        <f ca="1">IF($A27&lt;&gt;"Serviço",0,ROUND(SUMIF($F$9:$P$9,"&lt;&gt;",$F27:$P27),15-13*PO!$X$3))</f>
        <v>0</v>
      </c>
      <c r="F27" s="400">
        <f ca="1">OFFSET(PO!$P$12,ROW($E27)-ROW(F$12),0)</f>
        <v>0</v>
      </c>
      <c r="G27" s="400"/>
      <c r="H27" s="400"/>
      <c r="I27" s="400"/>
      <c r="J27" s="400"/>
      <c r="K27" s="400"/>
      <c r="L27" s="400"/>
      <c r="M27" s="400"/>
      <c r="N27" s="400"/>
      <c r="O27" s="400"/>
      <c r="U27" s="215"/>
    </row>
    <row r="28" spans="1:21" s="4" customFormat="1" x14ac:dyDescent="0.2">
      <c r="A28" s="128" t="str">
        <f ca="1">OFFSET(PO!J$12,ROW(A28)-ROW($A$12),0)</f>
        <v>Nível 2</v>
      </c>
      <c r="B28" s="130" t="str">
        <f ca="1">IF($A28=0,"",OFFSET(PO!K$12,ROW(B28)-ROW(B$12),0))</f>
        <v>3.1.</v>
      </c>
      <c r="C28" s="127" t="str">
        <f ca="1">IF(OFFSET(PO!N$12,ROW(C28)-ROW(C$12),0)=0,"",OFFSET(PO!N$12,ROW(C28)-ROW(C$12),0))</f>
        <v>RETIRADAS</v>
      </c>
      <c r="D28" s="129" t="str">
        <f ca="1">IF(OFFSET(PO!O$12,ROW(D28)-ROW(D$12),0)=0,"",OFFSET(PO!O$12,ROW(D28)-ROW(D$12),0))</f>
        <v/>
      </c>
      <c r="E28" s="165">
        <f ca="1">IF($A28&lt;&gt;"Serviço",0,ROUND(SUMIF($F$9:$P$9,"&lt;&gt;",$F28:$P28),15-13*PO!$X$3))</f>
        <v>0</v>
      </c>
      <c r="F28" s="400">
        <f ca="1">OFFSET(PO!$P$12,ROW($E28)-ROW(F$12),0)</f>
        <v>0</v>
      </c>
      <c r="G28" s="400"/>
      <c r="H28" s="400"/>
      <c r="I28" s="400"/>
      <c r="J28" s="400"/>
      <c r="K28" s="400"/>
      <c r="L28" s="400"/>
      <c r="M28" s="400"/>
      <c r="N28" s="400"/>
      <c r="O28" s="400"/>
      <c r="U28" s="215"/>
    </row>
    <row r="29" spans="1:21" s="4" customFormat="1" ht="38.25" x14ac:dyDescent="0.2">
      <c r="A29" s="128" t="str">
        <f ca="1">OFFSET(PO!J$12,ROW(A29)-ROW($A$12),0)</f>
        <v>Serviço</v>
      </c>
      <c r="B29" s="130" t="str">
        <f ca="1">IF($A29=0,"",OFFSET(PO!K$12,ROW(B29)-ROW(B$12),0))</f>
        <v>3.1.1.</v>
      </c>
      <c r="C29" s="127" t="str">
        <f ca="1">IF(OFFSET(PO!N$12,ROW(C29)-ROW(C$12),0)=0,"",OFFSET(PO!N$12,ROW(C29)-ROW(C$12),0))</f>
        <v/>
      </c>
      <c r="D29" s="129" t="str">
        <f ca="1">IF(OFFSET(PO!O$12,ROW(D29)-ROW(D$12),0)=0,"",OFFSET(PO!O$12,ROW(D29)-ROW(D$12),0))</f>
        <v/>
      </c>
      <c r="E29" s="165">
        <f ca="1">IF($A29&lt;&gt;"Serviço",0,ROUND(SUMIF($F$9:$P$9,"&lt;&gt;",$F29:$P29),15-13*PO!$X$3))</f>
        <v>22</v>
      </c>
      <c r="F29" s="400">
        <f ca="1">OFFSET(PO!$P$12,ROW($E29)-ROW(F$12),0)</f>
        <v>22</v>
      </c>
      <c r="G29" s="400"/>
      <c r="H29" s="400"/>
      <c r="I29" s="400"/>
      <c r="J29" s="400"/>
      <c r="K29" s="400"/>
      <c r="L29" s="400"/>
      <c r="M29" s="400"/>
      <c r="N29" s="400"/>
      <c r="O29" s="400"/>
      <c r="U29" s="215"/>
    </row>
    <row r="30" spans="1:21" s="4" customFormat="1" ht="38.25" x14ac:dyDescent="0.2">
      <c r="A30" s="128" t="str">
        <f ca="1">OFFSET(PO!J$12,ROW(A30)-ROW($A$12),0)</f>
        <v>Serviço</v>
      </c>
      <c r="B30" s="130" t="str">
        <f ca="1">IF($A30=0,"",OFFSET(PO!K$12,ROW(B30)-ROW(B$12),0))</f>
        <v>3.1.2.</v>
      </c>
      <c r="C30" s="127" t="str">
        <f ca="1">IF(OFFSET(PO!N$12,ROW(C30)-ROW(C$12),0)=0,"",OFFSET(PO!N$12,ROW(C30)-ROW(C$12),0))</f>
        <v/>
      </c>
      <c r="D30" s="129" t="str">
        <f ca="1">IF(OFFSET(PO!O$12,ROW(D30)-ROW(D$12),0)=0,"",OFFSET(PO!O$12,ROW(D30)-ROW(D$12),0))</f>
        <v/>
      </c>
      <c r="E30" s="165">
        <f ca="1">IF($A30&lt;&gt;"Serviço",0,ROUND(SUMIF($F$9:$P$9,"&lt;&gt;",$F30:$P30),15-13*PO!$X$3))</f>
        <v>336.89</v>
      </c>
      <c r="F30" s="400">
        <f ca="1">OFFSET(PO!$P$12,ROW($E30)-ROW(F$12),0)</f>
        <v>336.89</v>
      </c>
      <c r="G30" s="400"/>
      <c r="H30" s="400"/>
      <c r="I30" s="400"/>
      <c r="J30" s="400"/>
      <c r="K30" s="400"/>
      <c r="L30" s="400"/>
      <c r="M30" s="400"/>
      <c r="N30" s="400"/>
      <c r="O30" s="400"/>
      <c r="U30" s="215"/>
    </row>
    <row r="31" spans="1:21" s="4" customFormat="1" ht="25.5" x14ac:dyDescent="0.2">
      <c r="A31" s="128" t="str">
        <f ca="1">OFFSET(PO!J$12,ROW(A31)-ROW($A$12),0)</f>
        <v>Serviço</v>
      </c>
      <c r="B31" s="130" t="str">
        <f ca="1">IF($A31=0,"",OFFSET(PO!K$12,ROW(B31)-ROW(B$12),0))</f>
        <v>3.1.3.</v>
      </c>
      <c r="C31" s="127" t="str">
        <f ca="1">IF(OFFSET(PO!N$12,ROW(C31)-ROW(C$12),0)=0,"",OFFSET(PO!N$12,ROW(C31)-ROW(C$12),0))</f>
        <v/>
      </c>
      <c r="D31" s="129" t="str">
        <f ca="1">IF(OFFSET(PO!O$12,ROW(D31)-ROW(D$12),0)=0,"",OFFSET(PO!O$12,ROW(D31)-ROW(D$12),0))</f>
        <v/>
      </c>
      <c r="E31" s="165">
        <f ca="1">IF($A31&lt;&gt;"Serviço",0,ROUND(SUMIF($F$9:$P$9,"&lt;&gt;",$F31:$P31),15-13*PO!$X$3))</f>
        <v>350</v>
      </c>
      <c r="F31" s="400">
        <f ca="1">OFFSET(PO!$P$12,ROW($E31)-ROW(F$12),0)</f>
        <v>350</v>
      </c>
      <c r="G31" s="400"/>
      <c r="H31" s="400"/>
      <c r="I31" s="400"/>
      <c r="J31" s="400"/>
      <c r="K31" s="400"/>
      <c r="L31" s="400"/>
      <c r="M31" s="400"/>
      <c r="N31" s="400"/>
      <c r="O31" s="400"/>
      <c r="U31" s="215"/>
    </row>
    <row r="32" spans="1:21" s="4" customFormat="1" x14ac:dyDescent="0.2">
      <c r="A32" s="128" t="str">
        <f ca="1">OFFSET(PO!J$12,ROW(A32)-ROW($A$12),0)</f>
        <v>Serviço</v>
      </c>
      <c r="B32" s="130" t="str">
        <f ca="1">IF($A32=0,"",OFFSET(PO!K$12,ROW(B32)-ROW(B$12),0))</f>
        <v>3.1.4.</v>
      </c>
      <c r="C32" s="127" t="str">
        <f ca="1">IF(OFFSET(PO!N$12,ROW(C32)-ROW(C$12),0)=0,"",OFFSET(PO!N$12,ROW(C32)-ROW(C$12),0))</f>
        <v/>
      </c>
      <c r="D32" s="129" t="str">
        <f ca="1">IF(OFFSET(PO!O$12,ROW(D32)-ROW(D$12),0)=0,"",OFFSET(PO!O$12,ROW(D32)-ROW(D$12),0))</f>
        <v/>
      </c>
      <c r="E32" s="165">
        <f ca="1">IF($A32&lt;&gt;"Serviço",0,ROUND(SUMIF($F$9:$P$9,"&lt;&gt;",$F32:$P32),15-13*PO!$X$3))</f>
        <v>54.1</v>
      </c>
      <c r="F32" s="400">
        <f ca="1">OFFSET(PO!$P$12,ROW($E32)-ROW(F$12),0)</f>
        <v>54.1</v>
      </c>
      <c r="G32" s="400"/>
      <c r="H32" s="400"/>
      <c r="I32" s="400"/>
      <c r="J32" s="400"/>
      <c r="K32" s="400"/>
      <c r="L32" s="400"/>
      <c r="M32" s="400"/>
      <c r="N32" s="400"/>
      <c r="O32" s="400"/>
      <c r="U32" s="215"/>
    </row>
    <row r="33" spans="1:21" s="4" customFormat="1" ht="25.5" x14ac:dyDescent="0.2">
      <c r="A33" s="128" t="str">
        <f ca="1">OFFSET(PO!J$12,ROW(A33)-ROW($A$12),0)</f>
        <v>Serviço</v>
      </c>
      <c r="B33" s="130" t="str">
        <f ca="1">IF($A33=0,"",OFFSET(PO!K$12,ROW(B33)-ROW(B$12),0))</f>
        <v>3.1.5.</v>
      </c>
      <c r="C33" s="127" t="str">
        <f ca="1">IF(OFFSET(PO!N$12,ROW(C33)-ROW(C$12),0)=0,"",OFFSET(PO!N$12,ROW(C33)-ROW(C$12),0))</f>
        <v/>
      </c>
      <c r="D33" s="129" t="str">
        <f ca="1">IF(OFFSET(PO!O$12,ROW(D33)-ROW(D$12),0)=0,"",OFFSET(PO!O$12,ROW(D33)-ROW(D$12),0))</f>
        <v/>
      </c>
      <c r="E33" s="165">
        <f ca="1">IF($A33&lt;&gt;"Serviço",0,ROUND(SUMIF($F$9:$P$9,"&lt;&gt;",$F33:$P33),15-13*PO!$X$3))</f>
        <v>336.89</v>
      </c>
      <c r="F33" s="400">
        <f ca="1">OFFSET(PO!$P$12,ROW($E33)-ROW(F$12),0)</f>
        <v>336.89</v>
      </c>
      <c r="G33" s="400"/>
      <c r="H33" s="400"/>
      <c r="I33" s="400"/>
      <c r="J33" s="400"/>
      <c r="K33" s="400"/>
      <c r="L33" s="400"/>
      <c r="M33" s="400"/>
      <c r="N33" s="400"/>
      <c r="O33" s="400"/>
      <c r="U33" s="215"/>
    </row>
    <row r="34" spans="1:21" s="4" customFormat="1" ht="38.25" x14ac:dyDescent="0.2">
      <c r="A34" s="128" t="str">
        <f ca="1">OFFSET(PO!J$12,ROW(A34)-ROW($A$12),0)</f>
        <v>Serviço</v>
      </c>
      <c r="B34" s="130" t="str">
        <f ca="1">IF($A34=0,"",OFFSET(PO!K$12,ROW(B34)-ROW(B$12),0))</f>
        <v>3.1.6.</v>
      </c>
      <c r="C34" s="127" t="str">
        <f ca="1">IF(OFFSET(PO!N$12,ROW(C34)-ROW(C$12),0)=0,"",OFFSET(PO!N$12,ROW(C34)-ROW(C$12),0))</f>
        <v/>
      </c>
      <c r="D34" s="129" t="str">
        <f ca="1">IF(OFFSET(PO!O$12,ROW(D34)-ROW(D$12),0)=0,"",OFFSET(PO!O$12,ROW(D34)-ROW(D$12),0))</f>
        <v/>
      </c>
      <c r="E34" s="165">
        <f ca="1">IF($A34&lt;&gt;"Serviço",0,ROUND(SUMIF($F$9:$P$9,"&lt;&gt;",$F34:$P34),15-13*PO!$X$3))</f>
        <v>303.2</v>
      </c>
      <c r="F34" s="400">
        <f ca="1">OFFSET(PO!$P$12,ROW($E34)-ROW(F$12),0)</f>
        <v>303.2</v>
      </c>
      <c r="G34" s="400"/>
      <c r="H34" s="400"/>
      <c r="I34" s="400"/>
      <c r="J34" s="400"/>
      <c r="K34" s="400"/>
      <c r="L34" s="400"/>
      <c r="M34" s="400"/>
      <c r="N34" s="400"/>
      <c r="O34" s="400"/>
      <c r="U34" s="215"/>
    </row>
    <row r="35" spans="1:21" s="4" customFormat="1" x14ac:dyDescent="0.2">
      <c r="A35" s="128" t="str">
        <f ca="1">OFFSET(PO!J$12,ROW(A35)-ROW($A$12),0)</f>
        <v>Nível 2</v>
      </c>
      <c r="B35" s="130" t="str">
        <f ca="1">IF($A35=0,"",OFFSET(PO!K$12,ROW(B35)-ROW(B$12),0))</f>
        <v>3.2.</v>
      </c>
      <c r="C35" s="127" t="str">
        <f ca="1">IF(OFFSET(PO!N$12,ROW(C35)-ROW(C$12),0)=0,"",OFFSET(PO!N$12,ROW(C35)-ROW(C$12),0))</f>
        <v>INFRAESTRUTURA</v>
      </c>
      <c r="D35" s="129" t="str">
        <f ca="1">IF(OFFSET(PO!O$12,ROW(D35)-ROW(D$12),0)=0,"",OFFSET(PO!O$12,ROW(D35)-ROW(D$12),0))</f>
        <v/>
      </c>
      <c r="E35" s="165">
        <f ca="1">IF($A35&lt;&gt;"Serviço",0,ROUND(SUMIF($F$9:$P$9,"&lt;&gt;",$F35:$P35),15-13*PO!$X$3))</f>
        <v>0</v>
      </c>
      <c r="F35" s="400">
        <f ca="1">OFFSET(PO!$P$12,ROW($E35)-ROW(F$12),0)</f>
        <v>0</v>
      </c>
      <c r="G35" s="400"/>
      <c r="H35" s="400"/>
      <c r="I35" s="400"/>
      <c r="J35" s="400"/>
      <c r="K35" s="400"/>
      <c r="L35" s="400"/>
      <c r="M35" s="400"/>
      <c r="N35" s="400"/>
      <c r="O35" s="400"/>
      <c r="U35" s="215"/>
    </row>
    <row r="36" spans="1:21" s="4" customFormat="1" ht="25.5" x14ac:dyDescent="0.2">
      <c r="A36" s="128" t="str">
        <f ca="1">OFFSET(PO!J$12,ROW(A36)-ROW($A$12),0)</f>
        <v>Serviço</v>
      </c>
      <c r="B36" s="130" t="str">
        <f ca="1">IF($A36=0,"",OFFSET(PO!K$12,ROW(B36)-ROW(B$12),0))</f>
        <v>3.2.1.</v>
      </c>
      <c r="C36" s="127" t="str">
        <f ca="1">IF(OFFSET(PO!N$12,ROW(C36)-ROW(C$12),0)=0,"",OFFSET(PO!N$12,ROW(C36)-ROW(C$12),0))</f>
        <v/>
      </c>
      <c r="D36" s="129" t="str">
        <f ca="1">IF(OFFSET(PO!O$12,ROW(D36)-ROW(D$12),0)=0,"",OFFSET(PO!O$12,ROW(D36)-ROW(D$12),0))</f>
        <v/>
      </c>
      <c r="E36" s="165">
        <f ca="1">IF($A36&lt;&gt;"Serviço",0,ROUND(SUMIF($F$9:$P$9,"&lt;&gt;",$F36:$P36),15-13*PO!$X$3))</f>
        <v>4.9000000000000004</v>
      </c>
      <c r="F36" s="400">
        <f ca="1">OFFSET(PO!$P$12,ROW($E36)-ROW(F$12),0)</f>
        <v>4.9000000000000004</v>
      </c>
      <c r="G36" s="400"/>
      <c r="H36" s="400"/>
      <c r="I36" s="400"/>
      <c r="J36" s="400"/>
      <c r="K36" s="400"/>
      <c r="L36" s="400"/>
      <c r="M36" s="400"/>
      <c r="N36" s="400"/>
      <c r="O36" s="400"/>
      <c r="U36" s="215"/>
    </row>
    <row r="37" spans="1:21" s="4" customFormat="1" ht="38.25" x14ac:dyDescent="0.2">
      <c r="A37" s="128" t="str">
        <f ca="1">OFFSET(PO!J$12,ROW(A37)-ROW($A$12),0)</f>
        <v>Serviço</v>
      </c>
      <c r="B37" s="130" t="str">
        <f ca="1">IF($A37=0,"",OFFSET(PO!K$12,ROW(B37)-ROW(B$12),0))</f>
        <v>3.2.2.</v>
      </c>
      <c r="C37" s="127" t="str">
        <f ca="1">IF(OFFSET(PO!N$12,ROW(C37)-ROW(C$12),0)=0,"",OFFSET(PO!N$12,ROW(C37)-ROW(C$12),0))</f>
        <v/>
      </c>
      <c r="D37" s="129" t="str">
        <f ca="1">IF(OFFSET(PO!O$12,ROW(D37)-ROW(D$12),0)=0,"",OFFSET(PO!O$12,ROW(D37)-ROW(D$12),0))</f>
        <v/>
      </c>
      <c r="E37" s="165">
        <f ca="1">IF($A37&lt;&gt;"Serviço",0,ROUND(SUMIF($F$9:$P$9,"&lt;&gt;",$F37:$P37),15-13*PO!$X$3))</f>
        <v>0.02</v>
      </c>
      <c r="F37" s="400">
        <f ca="1">OFFSET(PO!$P$12,ROW($E37)-ROW(F$12),0)</f>
        <v>2.4E-2</v>
      </c>
      <c r="G37" s="400"/>
      <c r="H37" s="400"/>
      <c r="I37" s="400"/>
      <c r="J37" s="400"/>
      <c r="K37" s="400"/>
      <c r="L37" s="400"/>
      <c r="M37" s="400"/>
      <c r="N37" s="400"/>
      <c r="O37" s="400"/>
      <c r="U37" s="215"/>
    </row>
    <row r="38" spans="1:21" s="4" customFormat="1" ht="38.25" x14ac:dyDescent="0.2">
      <c r="A38" s="128" t="str">
        <f ca="1">OFFSET(PO!J$12,ROW(A38)-ROW($A$12),0)</f>
        <v>Serviço</v>
      </c>
      <c r="B38" s="130" t="str">
        <f ca="1">IF($A38=0,"",OFFSET(PO!K$12,ROW(B38)-ROW(B$12),0))</f>
        <v>3.2.3.</v>
      </c>
      <c r="C38" s="127" t="str">
        <f ca="1">IF(OFFSET(PO!N$12,ROW(C38)-ROW(C$12),0)=0,"",OFFSET(PO!N$12,ROW(C38)-ROW(C$12),0))</f>
        <v/>
      </c>
      <c r="D38" s="129" t="str">
        <f ca="1">IF(OFFSET(PO!O$12,ROW(D38)-ROW(D$12),0)=0,"",OFFSET(PO!O$12,ROW(D38)-ROW(D$12),0))</f>
        <v/>
      </c>
      <c r="E38" s="165">
        <f ca="1">IF($A38&lt;&gt;"Serviço",0,ROUND(SUMIF($F$9:$P$9,"&lt;&gt;",$F38:$P38),15-13*PO!$X$3))</f>
        <v>0.56000000000000005</v>
      </c>
      <c r="F38" s="400">
        <f ca="1">OFFSET(PO!$P$12,ROW($E38)-ROW(F$12),0)</f>
        <v>0.56000000000000005</v>
      </c>
      <c r="G38" s="400"/>
      <c r="H38" s="400"/>
      <c r="I38" s="400"/>
      <c r="J38" s="400"/>
      <c r="K38" s="400"/>
      <c r="L38" s="400"/>
      <c r="M38" s="400"/>
      <c r="N38" s="400"/>
      <c r="O38" s="400"/>
      <c r="U38" s="215"/>
    </row>
    <row r="39" spans="1:21" s="4" customFormat="1" x14ac:dyDescent="0.2">
      <c r="A39" s="128" t="str">
        <f ca="1">OFFSET(PO!J$12,ROW(A39)-ROW($A$12),0)</f>
        <v>Nível 2</v>
      </c>
      <c r="B39" s="130" t="str">
        <f ca="1">IF($A39=0,"",OFFSET(PO!K$12,ROW(B39)-ROW(B$12),0))</f>
        <v>3.3.</v>
      </c>
      <c r="C39" s="127" t="str">
        <f ca="1">IF(OFFSET(PO!N$12,ROW(C39)-ROW(C$12),0)=0,"",OFFSET(PO!N$12,ROW(C39)-ROW(C$12),0))</f>
        <v>SUPRAESTRUTURA</v>
      </c>
      <c r="D39" s="129" t="str">
        <f ca="1">IF(OFFSET(PO!O$12,ROW(D39)-ROW(D$12),0)=0,"",OFFSET(PO!O$12,ROW(D39)-ROW(D$12),0))</f>
        <v/>
      </c>
      <c r="E39" s="165">
        <f ca="1">IF($A39&lt;&gt;"Serviço",0,ROUND(SUMIF($F$9:$P$9,"&lt;&gt;",$F39:$P39),15-13*PO!$X$3))</f>
        <v>0</v>
      </c>
      <c r="F39" s="400">
        <f ca="1">OFFSET(PO!$P$12,ROW($E39)-ROW(F$12),0)</f>
        <v>0</v>
      </c>
      <c r="G39" s="400"/>
      <c r="H39" s="400"/>
      <c r="I39" s="400"/>
      <c r="J39" s="400"/>
      <c r="K39" s="400"/>
      <c r="L39" s="400"/>
      <c r="M39" s="400"/>
      <c r="N39" s="400"/>
      <c r="O39" s="400"/>
      <c r="U39" s="215"/>
    </row>
    <row r="40" spans="1:21" s="4" customFormat="1" ht="51" x14ac:dyDescent="0.2">
      <c r="A40" s="128" t="str">
        <f ca="1">OFFSET(PO!J$12,ROW(A40)-ROW($A$12),0)</f>
        <v>Serviço</v>
      </c>
      <c r="B40" s="130" t="str">
        <f ca="1">IF($A40=0,"",OFFSET(PO!K$12,ROW(B40)-ROW(B$12),0))</f>
        <v>3.3.1.</v>
      </c>
      <c r="C40" s="127" t="str">
        <f ca="1">IF(OFFSET(PO!N$12,ROW(C40)-ROW(C$12),0)=0,"",OFFSET(PO!N$12,ROW(C40)-ROW(C$12),0))</f>
        <v/>
      </c>
      <c r="D40" s="129" t="str">
        <f ca="1">IF(OFFSET(PO!O$12,ROW(D40)-ROW(D$12),0)=0,"",OFFSET(PO!O$12,ROW(D40)-ROW(D$12),0))</f>
        <v/>
      </c>
      <c r="E40" s="165">
        <f ca="1">IF($A40&lt;&gt;"Serviço",0,ROUND(SUMIF($F$9:$P$9,"&lt;&gt;",$F40:$P40),15-13*PO!$X$3))</f>
        <v>40</v>
      </c>
      <c r="F40" s="400">
        <f ca="1">OFFSET(PO!$P$12,ROW($E40)-ROW(F$12),0)</f>
        <v>40</v>
      </c>
      <c r="G40" s="400"/>
      <c r="H40" s="400"/>
      <c r="I40" s="400"/>
      <c r="J40" s="400"/>
      <c r="K40" s="400"/>
      <c r="L40" s="400"/>
      <c r="M40" s="400"/>
      <c r="N40" s="400"/>
      <c r="O40" s="400"/>
      <c r="U40" s="215"/>
    </row>
    <row r="41" spans="1:21" s="4" customFormat="1" x14ac:dyDescent="0.2">
      <c r="A41" s="128" t="str">
        <f ca="1">OFFSET(PO!J$12,ROW(A41)-ROW($A$12),0)</f>
        <v>Nível 2</v>
      </c>
      <c r="B41" s="130" t="str">
        <f ca="1">IF($A41=0,"",OFFSET(PO!K$12,ROW(B41)-ROW(B$12),0))</f>
        <v>3.4.</v>
      </c>
      <c r="C41" s="127" t="str">
        <f ca="1">IF(OFFSET(PO!N$12,ROW(C41)-ROW(C$12),0)=0,"",OFFSET(PO!N$12,ROW(C41)-ROW(C$12),0))</f>
        <v>CALHAS</v>
      </c>
      <c r="D41" s="129" t="str">
        <f ca="1">IF(OFFSET(PO!O$12,ROW(D41)-ROW(D$12),0)=0,"",OFFSET(PO!O$12,ROW(D41)-ROW(D$12),0))</f>
        <v/>
      </c>
      <c r="E41" s="165">
        <f ca="1">IF($A41&lt;&gt;"Serviço",0,ROUND(SUMIF($F$9:$P$9,"&lt;&gt;",$F41:$P41),15-13*PO!$X$3))</f>
        <v>0</v>
      </c>
      <c r="F41" s="400">
        <f ca="1">OFFSET(PO!$P$12,ROW($E41)-ROW(F$12),0)</f>
        <v>0</v>
      </c>
      <c r="G41" s="400"/>
      <c r="H41" s="400"/>
      <c r="I41" s="400"/>
      <c r="J41" s="400"/>
      <c r="K41" s="400"/>
      <c r="L41" s="400"/>
      <c r="M41" s="400"/>
      <c r="N41" s="400"/>
      <c r="O41" s="400"/>
      <c r="U41" s="215"/>
    </row>
    <row r="42" spans="1:21" s="4" customFormat="1" ht="38.25" x14ac:dyDescent="0.2">
      <c r="A42" s="128" t="str">
        <f ca="1">OFFSET(PO!J$12,ROW(A42)-ROW($A$12),0)</f>
        <v>Serviço</v>
      </c>
      <c r="B42" s="130" t="str">
        <f ca="1">IF($A42=0,"",OFFSET(PO!K$12,ROW(B42)-ROW(B$12),0))</f>
        <v>3.4.1.</v>
      </c>
      <c r="C42" s="127" t="str">
        <f ca="1">IF(OFFSET(PO!N$12,ROW(C42)-ROW(C$12),0)=0,"",OFFSET(PO!N$12,ROW(C42)-ROW(C$12),0))</f>
        <v/>
      </c>
      <c r="D42" s="129" t="str">
        <f ca="1">IF(OFFSET(PO!O$12,ROW(D42)-ROW(D$12),0)=0,"",OFFSET(PO!O$12,ROW(D42)-ROW(D$12),0))</f>
        <v/>
      </c>
      <c r="E42" s="165">
        <f ca="1">IF($A42&lt;&gt;"Serviço",0,ROUND(SUMIF($F$9:$P$9,"&lt;&gt;",$F42:$P42),15-13*PO!$X$3))</f>
        <v>93.33</v>
      </c>
      <c r="F42" s="400">
        <f ca="1">OFFSET(PO!$P$12,ROW($E42)-ROW(F$12),0)</f>
        <v>93.33</v>
      </c>
      <c r="G42" s="400"/>
      <c r="H42" s="400"/>
      <c r="I42" s="400"/>
      <c r="J42" s="400"/>
      <c r="K42" s="400"/>
      <c r="L42" s="400"/>
      <c r="M42" s="400"/>
      <c r="N42" s="400"/>
      <c r="O42" s="400"/>
      <c r="U42" s="215"/>
    </row>
    <row r="43" spans="1:21" s="4" customFormat="1" ht="25.5" x14ac:dyDescent="0.2">
      <c r="A43" s="128" t="str">
        <f ca="1">OFFSET(PO!J$12,ROW(A43)-ROW($A$12),0)</f>
        <v>Serviço</v>
      </c>
      <c r="B43" s="130" t="str">
        <f ca="1">IF($A43=0,"",OFFSET(PO!K$12,ROW(B43)-ROW(B$12),0))</f>
        <v>3.4.2.</v>
      </c>
      <c r="C43" s="127" t="str">
        <f ca="1">IF(OFFSET(PO!N$12,ROW(C43)-ROW(C$12),0)=0,"",OFFSET(PO!N$12,ROW(C43)-ROW(C$12),0))</f>
        <v/>
      </c>
      <c r="D43" s="129" t="str">
        <f ca="1">IF(OFFSET(PO!O$12,ROW(D43)-ROW(D$12),0)=0,"",OFFSET(PO!O$12,ROW(D43)-ROW(D$12),0))</f>
        <v/>
      </c>
      <c r="E43" s="165">
        <f ca="1">IF($A43&lt;&gt;"Serviço",0,ROUND(SUMIF($F$9:$P$9,"&lt;&gt;",$F43:$P43),15-13*PO!$X$3))</f>
        <v>10.83</v>
      </c>
      <c r="F43" s="400">
        <f ca="1">OFFSET(PO!$P$12,ROW($E43)-ROW(F$12),0)</f>
        <v>10.83</v>
      </c>
      <c r="G43" s="400"/>
      <c r="H43" s="400"/>
      <c r="I43" s="400"/>
      <c r="J43" s="400"/>
      <c r="K43" s="400"/>
      <c r="L43" s="400"/>
      <c r="M43" s="400"/>
      <c r="N43" s="400"/>
      <c r="O43" s="400"/>
      <c r="U43" s="215"/>
    </row>
    <row r="44" spans="1:21" s="4" customFormat="1" x14ac:dyDescent="0.2">
      <c r="A44" s="128" t="str">
        <f ca="1">OFFSET(PO!J$12,ROW(A44)-ROW($A$12),0)</f>
        <v>Nível 2</v>
      </c>
      <c r="B44" s="130" t="str">
        <f ca="1">IF($A44=0,"",OFFSET(PO!K$12,ROW(B44)-ROW(B$12),0))</f>
        <v>3.5.</v>
      </c>
      <c r="C44" s="127" t="str">
        <f ca="1">IF(OFFSET(PO!N$12,ROW(C44)-ROW(C$12),0)=0,"",OFFSET(PO!N$12,ROW(C44)-ROW(C$12),0))</f>
        <v>COBERTURA</v>
      </c>
      <c r="D44" s="129" t="str">
        <f ca="1">IF(OFFSET(PO!O$12,ROW(D44)-ROW(D$12),0)=0,"",OFFSET(PO!O$12,ROW(D44)-ROW(D$12),0))</f>
        <v/>
      </c>
      <c r="E44" s="165">
        <f ca="1">IF($A44&lt;&gt;"Serviço",0,ROUND(SUMIF($F$9:$P$9,"&lt;&gt;",$F44:$P44),15-13*PO!$X$3))</f>
        <v>0</v>
      </c>
      <c r="F44" s="400">
        <f ca="1">OFFSET(PO!$P$12,ROW($E44)-ROW(F$12),0)</f>
        <v>0</v>
      </c>
      <c r="G44" s="400"/>
      <c r="H44" s="400"/>
      <c r="I44" s="400"/>
      <c r="J44" s="400"/>
      <c r="K44" s="400"/>
      <c r="L44" s="400"/>
      <c r="M44" s="400"/>
      <c r="N44" s="400"/>
      <c r="O44" s="400"/>
      <c r="U44" s="215"/>
    </row>
    <row r="45" spans="1:21" s="4" customFormat="1" ht="51" x14ac:dyDescent="0.2">
      <c r="A45" s="128" t="str">
        <f ca="1">OFFSET(PO!J$12,ROW(A45)-ROW($A$12),0)</f>
        <v>Serviço</v>
      </c>
      <c r="B45" s="130" t="str">
        <f ca="1">IF($A45=0,"",OFFSET(PO!K$12,ROW(B45)-ROW(B$12),0))</f>
        <v>3.5.1.</v>
      </c>
      <c r="C45" s="127" t="str">
        <f ca="1">IF(OFFSET(PO!N$12,ROW(C45)-ROW(C$12),0)=0,"",OFFSET(PO!N$12,ROW(C45)-ROW(C$12),0))</f>
        <v/>
      </c>
      <c r="D45" s="129" t="str">
        <f ca="1">IF(OFFSET(PO!O$12,ROW(D45)-ROW(D$12),0)=0,"",OFFSET(PO!O$12,ROW(D45)-ROW(D$12),0))</f>
        <v/>
      </c>
      <c r="E45" s="165">
        <f ca="1">IF($A45&lt;&gt;"Serviço",0,ROUND(SUMIF($F$9:$P$9,"&lt;&gt;",$F45:$P45),15-13*PO!$X$3))</f>
        <v>336.89</v>
      </c>
      <c r="F45" s="400">
        <f ca="1">OFFSET(PO!$P$12,ROW($E45)-ROW(F$12),0)</f>
        <v>336.89</v>
      </c>
      <c r="G45" s="400"/>
      <c r="H45" s="400"/>
      <c r="I45" s="400"/>
      <c r="J45" s="400"/>
      <c r="K45" s="400"/>
      <c r="L45" s="400"/>
      <c r="M45" s="400"/>
      <c r="N45" s="400"/>
      <c r="O45" s="400"/>
      <c r="U45" s="215"/>
    </row>
    <row r="46" spans="1:21" s="4" customFormat="1" ht="38.25" x14ac:dyDescent="0.2">
      <c r="A46" s="128" t="str">
        <f ca="1">OFFSET(PO!J$12,ROW(A46)-ROW($A$12),0)</f>
        <v>Serviço</v>
      </c>
      <c r="B46" s="130" t="str">
        <f ca="1">IF($A46=0,"",OFFSET(PO!K$12,ROW(B46)-ROW(B$12),0))</f>
        <v>3.5.2.</v>
      </c>
      <c r="C46" s="127" t="str">
        <f ca="1">IF(OFFSET(PO!N$12,ROW(C46)-ROW(C$12),0)=0,"",OFFSET(PO!N$12,ROW(C46)-ROW(C$12),0))</f>
        <v/>
      </c>
      <c r="D46" s="129" t="str">
        <f ca="1">IF(OFFSET(PO!O$12,ROW(D46)-ROW(D$12),0)=0,"",OFFSET(PO!O$12,ROW(D46)-ROW(D$12),0))</f>
        <v/>
      </c>
      <c r="E46" s="165">
        <f ca="1">IF($A46&lt;&gt;"Serviço",0,ROUND(SUMIF($F$9:$P$9,"&lt;&gt;",$F46:$P46),15-13*PO!$X$3))</f>
        <v>734.1</v>
      </c>
      <c r="F46" s="400">
        <f ca="1">OFFSET(PO!$P$12,ROW($E46)-ROW(F$12),0)</f>
        <v>734.1</v>
      </c>
      <c r="G46" s="400"/>
      <c r="H46" s="400"/>
      <c r="I46" s="400"/>
      <c r="J46" s="400"/>
      <c r="K46" s="400"/>
      <c r="L46" s="400"/>
      <c r="M46" s="400"/>
      <c r="N46" s="400"/>
      <c r="O46" s="400"/>
      <c r="U46" s="215"/>
    </row>
    <row r="47" spans="1:21" s="4" customFormat="1" ht="25.5" x14ac:dyDescent="0.2">
      <c r="A47" s="128" t="str">
        <f ca="1">OFFSET(PO!J$12,ROW(A47)-ROW($A$12),0)</f>
        <v>Serviço</v>
      </c>
      <c r="B47" s="130" t="str">
        <f ca="1">IF($A47=0,"",OFFSET(PO!K$12,ROW(B47)-ROW(B$12),0))</f>
        <v>3.5.3.</v>
      </c>
      <c r="C47" s="127" t="str">
        <f ca="1">IF(OFFSET(PO!N$12,ROW(C47)-ROW(C$12),0)=0,"",OFFSET(PO!N$12,ROW(C47)-ROW(C$12),0))</f>
        <v/>
      </c>
      <c r="D47" s="129" t="str">
        <f ca="1">IF(OFFSET(PO!O$12,ROW(D47)-ROW(D$12),0)=0,"",OFFSET(PO!O$12,ROW(D47)-ROW(D$12),0))</f>
        <v/>
      </c>
      <c r="E47" s="165">
        <f ca="1">IF($A47&lt;&gt;"Serviço",0,ROUND(SUMIF($F$9:$P$9,"&lt;&gt;",$F47:$P47),15-13*PO!$X$3))</f>
        <v>336.89</v>
      </c>
      <c r="F47" s="400">
        <f ca="1">OFFSET(PO!$P$12,ROW($E47)-ROW(F$12),0)</f>
        <v>336.89</v>
      </c>
      <c r="G47" s="400"/>
      <c r="H47" s="400"/>
      <c r="I47" s="400"/>
      <c r="J47" s="400"/>
      <c r="K47" s="400"/>
      <c r="L47" s="400"/>
      <c r="M47" s="400"/>
      <c r="N47" s="400"/>
      <c r="O47" s="400"/>
      <c r="U47" s="215"/>
    </row>
    <row r="48" spans="1:21" s="4" customFormat="1" x14ac:dyDescent="0.2">
      <c r="A48" s="128" t="str">
        <f ca="1">OFFSET(PO!J$12,ROW(A48)-ROW($A$12),0)</f>
        <v>Serviço</v>
      </c>
      <c r="B48" s="130" t="str">
        <f ca="1">IF($A48=0,"",OFFSET(PO!K$12,ROW(B48)-ROW(B$12),0))</f>
        <v>3.5.4.</v>
      </c>
      <c r="C48" s="127" t="str">
        <f ca="1">IF(OFFSET(PO!N$12,ROW(C48)-ROW(C$12),0)=0,"",OFFSET(PO!N$12,ROW(C48)-ROW(C$12),0))</f>
        <v/>
      </c>
      <c r="D48" s="129" t="str">
        <f ca="1">IF(OFFSET(PO!O$12,ROW(D48)-ROW(D$12),0)=0,"",OFFSET(PO!O$12,ROW(D48)-ROW(D$12),0))</f>
        <v/>
      </c>
      <c r="E48" s="165">
        <f ca="1">IF($A48&lt;&gt;"Serviço",0,ROUND(SUMIF($F$9:$P$9,"&lt;&gt;",$F48:$P48),15-13*PO!$X$3))</f>
        <v>28.4</v>
      </c>
      <c r="F48" s="400">
        <f ca="1">OFFSET(PO!$P$12,ROW($E48)-ROW(F$12),0)</f>
        <v>28.4</v>
      </c>
      <c r="G48" s="400"/>
      <c r="H48" s="400"/>
      <c r="I48" s="400"/>
      <c r="J48" s="400"/>
      <c r="K48" s="400"/>
      <c r="L48" s="400"/>
      <c r="M48" s="400"/>
      <c r="N48" s="400"/>
      <c r="O48" s="400"/>
      <c r="U48" s="215"/>
    </row>
    <row r="49" spans="1:21" s="4" customFormat="1" x14ac:dyDescent="0.2">
      <c r="A49" s="128" t="str">
        <f ca="1">OFFSET(PO!J$12,ROW(A49)-ROW($A$12),0)</f>
        <v>Nível 2</v>
      </c>
      <c r="B49" s="130" t="str">
        <f ca="1">IF($A49=0,"",OFFSET(PO!K$12,ROW(B49)-ROW(B$12),0))</f>
        <v>3.6.</v>
      </c>
      <c r="C49" s="127" t="str">
        <f ca="1">IF(OFFSET(PO!N$12,ROW(C49)-ROW(C$12),0)=0,"",OFFSET(PO!N$12,ROW(C49)-ROW(C$12),0))</f>
        <v>FORRO</v>
      </c>
      <c r="D49" s="129" t="str">
        <f ca="1">IF(OFFSET(PO!O$12,ROW(D49)-ROW(D$12),0)=0,"",OFFSET(PO!O$12,ROW(D49)-ROW(D$12),0))</f>
        <v/>
      </c>
      <c r="E49" s="165">
        <f ca="1">IF($A49&lt;&gt;"Serviço",0,ROUND(SUMIF($F$9:$P$9,"&lt;&gt;",$F49:$P49),15-13*PO!$X$3))</f>
        <v>0</v>
      </c>
      <c r="F49" s="400">
        <f ca="1">OFFSET(PO!$P$12,ROW($E49)-ROW(F$12),0)</f>
        <v>0</v>
      </c>
      <c r="G49" s="400"/>
      <c r="H49" s="400"/>
      <c r="I49" s="400"/>
      <c r="J49" s="400"/>
      <c r="K49" s="400"/>
      <c r="L49" s="400"/>
      <c r="M49" s="400"/>
      <c r="N49" s="400"/>
      <c r="O49" s="400"/>
      <c r="U49" s="215"/>
    </row>
    <row r="50" spans="1:21" s="4" customFormat="1" ht="38.25" x14ac:dyDescent="0.2">
      <c r="A50" s="128" t="str">
        <f ca="1">OFFSET(PO!J$12,ROW(A50)-ROW($A$12),0)</f>
        <v>Serviço</v>
      </c>
      <c r="B50" s="130" t="str">
        <f ca="1">IF($A50=0,"",OFFSET(PO!K$12,ROW(B50)-ROW(B$12),0))</f>
        <v>3.6.1.</v>
      </c>
      <c r="C50" s="127" t="str">
        <f ca="1">IF(OFFSET(PO!N$12,ROW(C50)-ROW(C$12),0)=0,"",OFFSET(PO!N$12,ROW(C50)-ROW(C$12),0))</f>
        <v/>
      </c>
      <c r="D50" s="129" t="str">
        <f ca="1">IF(OFFSET(PO!O$12,ROW(D50)-ROW(D$12),0)=0,"",OFFSET(PO!O$12,ROW(D50)-ROW(D$12),0))</f>
        <v/>
      </c>
      <c r="E50" s="165">
        <f ca="1">IF($A50&lt;&gt;"Serviço",0,ROUND(SUMIF($F$9:$P$9,"&lt;&gt;",$F50:$P50),15-13*PO!$X$3))</f>
        <v>336.89</v>
      </c>
      <c r="F50" s="400">
        <f ca="1">OFFSET(PO!$P$12,ROW($E50)-ROW(F$12),0)</f>
        <v>336.89</v>
      </c>
      <c r="G50" s="400"/>
      <c r="H50" s="400"/>
      <c r="I50" s="400"/>
      <c r="J50" s="400"/>
      <c r="K50" s="400"/>
      <c r="L50" s="400"/>
      <c r="M50" s="400"/>
      <c r="N50" s="400"/>
      <c r="O50" s="400"/>
      <c r="U50" s="215"/>
    </row>
    <row r="51" spans="1:21" s="4" customFormat="1" ht="25.5" x14ac:dyDescent="0.2">
      <c r="A51" s="128" t="str">
        <f ca="1">OFFSET(PO!J$12,ROW(A51)-ROW($A$12),0)</f>
        <v>Serviço</v>
      </c>
      <c r="B51" s="130" t="str">
        <f ca="1">IF($A51=0,"",OFFSET(PO!K$12,ROW(B51)-ROW(B$12),0))</f>
        <v>3.6.2.</v>
      </c>
      <c r="C51" s="127" t="str">
        <f ca="1">IF(OFFSET(PO!N$12,ROW(C51)-ROW(C$12),0)=0,"",OFFSET(PO!N$12,ROW(C51)-ROW(C$12),0))</f>
        <v/>
      </c>
      <c r="D51" s="129" t="str">
        <f ca="1">IF(OFFSET(PO!O$12,ROW(D51)-ROW(D$12),0)=0,"",OFFSET(PO!O$12,ROW(D51)-ROW(D$12),0))</f>
        <v/>
      </c>
      <c r="E51" s="165">
        <f ca="1">IF($A51&lt;&gt;"Serviço",0,ROUND(SUMIF($F$9:$P$9,"&lt;&gt;",$F51:$P51),15-13*PO!$X$3))</f>
        <v>257.18</v>
      </c>
      <c r="F51" s="400">
        <f ca="1">OFFSET(PO!$P$12,ROW($E51)-ROW(F$12),0)</f>
        <v>257.18</v>
      </c>
      <c r="G51" s="400"/>
      <c r="H51" s="400"/>
      <c r="I51" s="400"/>
      <c r="J51" s="400"/>
      <c r="K51" s="400"/>
      <c r="L51" s="400"/>
      <c r="M51" s="400"/>
      <c r="N51" s="400"/>
      <c r="O51" s="400"/>
      <c r="U51" s="215"/>
    </row>
    <row r="52" spans="1:21" s="4" customFormat="1" x14ac:dyDescent="0.2">
      <c r="A52" s="128" t="str">
        <f ca="1">OFFSET(PO!J$12,ROW(A52)-ROW($A$12),0)</f>
        <v>Serviço</v>
      </c>
      <c r="B52" s="130" t="str">
        <f ca="1">IF($A52=0,"",OFFSET(PO!K$12,ROW(B52)-ROW(B$12),0))</f>
        <v>3.6.3.</v>
      </c>
      <c r="C52" s="127" t="str">
        <f ca="1">IF(OFFSET(PO!N$12,ROW(C52)-ROW(C$12),0)=0,"",OFFSET(PO!N$12,ROW(C52)-ROW(C$12),0))</f>
        <v/>
      </c>
      <c r="D52" s="129" t="str">
        <f ca="1">IF(OFFSET(PO!O$12,ROW(D52)-ROW(D$12),0)=0,"",OFFSET(PO!O$12,ROW(D52)-ROW(D$12),0))</f>
        <v/>
      </c>
      <c r="E52" s="165">
        <f ca="1">IF($A52&lt;&gt;"Serviço",0,ROUND(SUMIF($F$9:$P$9,"&lt;&gt;",$F52:$P52),15-13*PO!$X$3))</f>
        <v>83.13</v>
      </c>
      <c r="F52" s="400">
        <f ca="1">OFFSET(PO!$P$12,ROW($E52)-ROW(F$12),0)</f>
        <v>83.13</v>
      </c>
      <c r="G52" s="400"/>
      <c r="H52" s="400"/>
      <c r="I52" s="400"/>
      <c r="J52" s="400"/>
      <c r="K52" s="400"/>
      <c r="L52" s="400"/>
      <c r="M52" s="400"/>
      <c r="N52" s="400"/>
      <c r="O52" s="400"/>
      <c r="U52" s="215"/>
    </row>
    <row r="53" spans="1:21" s="4" customFormat="1" x14ac:dyDescent="0.2">
      <c r="A53" s="128" t="str">
        <f ca="1">OFFSET(PO!J$12,ROW(A53)-ROW($A$12),0)</f>
        <v>Nível 2</v>
      </c>
      <c r="B53" s="130" t="str">
        <f ca="1">IF($A53=0,"",OFFSET(PO!K$12,ROW(B53)-ROW(B$12),0))</f>
        <v>3.7.</v>
      </c>
      <c r="C53" s="127" t="str">
        <f ca="1">IF(OFFSET(PO!N$12,ROW(C53)-ROW(C$12),0)=0,"",OFFSET(PO!N$12,ROW(C53)-ROW(C$12),0))</f>
        <v>PINTURA</v>
      </c>
      <c r="D53" s="129" t="str">
        <f ca="1">IF(OFFSET(PO!O$12,ROW(D53)-ROW(D$12),0)=0,"",OFFSET(PO!O$12,ROW(D53)-ROW(D$12),0))</f>
        <v/>
      </c>
      <c r="E53" s="165">
        <f ca="1">IF($A53&lt;&gt;"Serviço",0,ROUND(SUMIF($F$9:$P$9,"&lt;&gt;",$F53:$P53),15-13*PO!$X$3))</f>
        <v>0</v>
      </c>
      <c r="F53" s="400">
        <f ca="1">OFFSET(PO!$P$12,ROW($E53)-ROW(F$12),0)</f>
        <v>0</v>
      </c>
      <c r="G53" s="400"/>
      <c r="H53" s="400"/>
      <c r="I53" s="400"/>
      <c r="J53" s="400"/>
      <c r="K53" s="400"/>
      <c r="L53" s="400"/>
      <c r="M53" s="400"/>
      <c r="N53" s="400"/>
      <c r="O53" s="400"/>
      <c r="U53" s="215"/>
    </row>
    <row r="54" spans="1:21" s="4" customFormat="1" ht="38.25" x14ac:dyDescent="0.2">
      <c r="A54" s="128" t="str">
        <f ca="1">OFFSET(PO!J$12,ROW(A54)-ROW($A$12),0)</f>
        <v>Serviço</v>
      </c>
      <c r="B54" s="130" t="str">
        <f ca="1">IF($A54=0,"",OFFSET(PO!K$12,ROW(B54)-ROW(B$12),0))</f>
        <v>3.7.1.</v>
      </c>
      <c r="C54" s="127" t="str">
        <f ca="1">IF(OFFSET(PO!N$12,ROW(C54)-ROW(C$12),0)=0,"",OFFSET(PO!N$12,ROW(C54)-ROW(C$12),0))</f>
        <v/>
      </c>
      <c r="D54" s="129" t="str">
        <f ca="1">IF(OFFSET(PO!O$12,ROW(D54)-ROW(D$12),0)=0,"",OFFSET(PO!O$12,ROW(D54)-ROW(D$12),0))</f>
        <v/>
      </c>
      <c r="E54" s="165">
        <f ca="1">IF($A54&lt;&gt;"Serviço",0,ROUND(SUMIF($F$9:$P$9,"&lt;&gt;",$F54:$P54),15-13*PO!$X$3))</f>
        <v>12.46</v>
      </c>
      <c r="F54" s="400">
        <f ca="1">OFFSET(PO!$P$12,ROW($E54)-ROW(F$12),0)</f>
        <v>12.46</v>
      </c>
      <c r="G54" s="400"/>
      <c r="H54" s="400"/>
      <c r="I54" s="400"/>
      <c r="J54" s="400"/>
      <c r="K54" s="400"/>
      <c r="L54" s="400"/>
      <c r="M54" s="400"/>
      <c r="N54" s="400"/>
      <c r="O54" s="400"/>
      <c r="U54" s="215"/>
    </row>
    <row r="55" spans="1:21" s="4" customFormat="1" x14ac:dyDescent="0.2">
      <c r="A55" s="128" t="str">
        <f ca="1">OFFSET(PO!J$12,ROW(A55)-ROW($A$12),0)</f>
        <v>Serviço</v>
      </c>
      <c r="B55" s="130" t="str">
        <f ca="1">IF($A55=0,"",OFFSET(PO!K$12,ROW(B55)-ROW(B$12),0))</f>
        <v>3.7.2.</v>
      </c>
      <c r="C55" s="127" t="str">
        <f ca="1">IF(OFFSET(PO!N$12,ROW(C55)-ROW(C$12),0)=0,"",OFFSET(PO!N$12,ROW(C55)-ROW(C$12),0))</f>
        <v/>
      </c>
      <c r="D55" s="129" t="str">
        <f ca="1">IF(OFFSET(PO!O$12,ROW(D55)-ROW(D$12),0)=0,"",OFFSET(PO!O$12,ROW(D55)-ROW(D$12),0))</f>
        <v/>
      </c>
      <c r="E55" s="165">
        <f ca="1">IF($A55&lt;&gt;"Serviço",0,ROUND(SUMIF($F$9:$P$9,"&lt;&gt;",$F55:$P55),15-13*PO!$X$3))</f>
        <v>12.46</v>
      </c>
      <c r="F55" s="400">
        <f ca="1">OFFSET(PO!$P$12,ROW($E55)-ROW(F$12),0)</f>
        <v>12.46</v>
      </c>
      <c r="G55" s="400"/>
      <c r="H55" s="400"/>
      <c r="I55" s="400"/>
      <c r="J55" s="400"/>
      <c r="K55" s="400"/>
      <c r="L55" s="400"/>
      <c r="M55" s="400"/>
      <c r="N55" s="400"/>
      <c r="O55" s="400"/>
      <c r="U55" s="215"/>
    </row>
    <row r="56" spans="1:21" s="4" customFormat="1" x14ac:dyDescent="0.2">
      <c r="A56" s="128" t="str">
        <f ca="1">OFFSET(PO!J$12,ROW(A56)-ROW($A$12),0)</f>
        <v>Nível 2</v>
      </c>
      <c r="B56" s="130" t="str">
        <f ca="1">IF($A56=0,"",OFFSET(PO!K$12,ROW(B56)-ROW(B$12),0))</f>
        <v>3.8.</v>
      </c>
      <c r="C56" s="127" t="str">
        <f ca="1">IF(OFFSET(PO!N$12,ROW(C56)-ROW(C$12),0)=0,"",OFFSET(PO!N$12,ROW(C56)-ROW(C$12),0))</f>
        <v>INSTALAÇÃO ELÉTRICA</v>
      </c>
      <c r="D56" s="129" t="str">
        <f ca="1">IF(OFFSET(PO!O$12,ROW(D56)-ROW(D$12),0)=0,"",OFFSET(PO!O$12,ROW(D56)-ROW(D$12),0))</f>
        <v/>
      </c>
      <c r="E56" s="165">
        <f ca="1">IF($A56&lt;&gt;"Serviço",0,ROUND(SUMIF($F$9:$P$9,"&lt;&gt;",$F56:$P56),15-13*PO!$X$3))</f>
        <v>0</v>
      </c>
      <c r="F56" s="400">
        <f ca="1">OFFSET(PO!$P$12,ROW($E56)-ROW(F$12),0)</f>
        <v>0</v>
      </c>
      <c r="G56" s="400"/>
      <c r="H56" s="400"/>
      <c r="I56" s="400"/>
      <c r="J56" s="400"/>
      <c r="K56" s="400"/>
      <c r="L56" s="400"/>
      <c r="M56" s="400"/>
      <c r="N56" s="400"/>
      <c r="O56" s="400"/>
      <c r="U56" s="215"/>
    </row>
    <row r="57" spans="1:21" s="4" customFormat="1" ht="38.25" x14ac:dyDescent="0.2">
      <c r="A57" s="128" t="str">
        <f ca="1">OFFSET(PO!J$12,ROW(A57)-ROW($A$12),0)</f>
        <v>Serviço</v>
      </c>
      <c r="B57" s="130" t="str">
        <f ca="1">IF($A57=0,"",OFFSET(PO!K$12,ROW(B57)-ROW(B$12),0))</f>
        <v>3.8.1.</v>
      </c>
      <c r="C57" s="127" t="str">
        <f ca="1">IF(OFFSET(PO!N$12,ROW(C57)-ROW(C$12),0)=0,"",OFFSET(PO!N$12,ROW(C57)-ROW(C$12),0))</f>
        <v/>
      </c>
      <c r="D57" s="129" t="str">
        <f ca="1">IF(OFFSET(PO!O$12,ROW(D57)-ROW(D$12),0)=0,"",OFFSET(PO!O$12,ROW(D57)-ROW(D$12),0))</f>
        <v/>
      </c>
      <c r="E57" s="165">
        <f ca="1">IF($A57&lt;&gt;"Serviço",0,ROUND(SUMIF($F$9:$P$9,"&lt;&gt;",$F57:$P57),15-13*PO!$X$3))</f>
        <v>108</v>
      </c>
      <c r="F57" s="400">
        <f ca="1">OFFSET(PO!$P$12,ROW($E57)-ROW(F$12),0)</f>
        <v>108</v>
      </c>
      <c r="G57" s="400"/>
      <c r="H57" s="400"/>
      <c r="I57" s="400"/>
      <c r="J57" s="400"/>
      <c r="K57" s="400"/>
      <c r="L57" s="400"/>
      <c r="M57" s="400"/>
      <c r="N57" s="400"/>
      <c r="O57" s="400"/>
      <c r="U57" s="215"/>
    </row>
    <row r="58" spans="1:21" s="4" customFormat="1" ht="38.25" x14ac:dyDescent="0.2">
      <c r="A58" s="128" t="str">
        <f ca="1">OFFSET(PO!J$12,ROW(A58)-ROW($A$12),0)</f>
        <v>Serviço</v>
      </c>
      <c r="B58" s="130" t="str">
        <f ca="1">IF($A58=0,"",OFFSET(PO!K$12,ROW(B58)-ROW(B$12),0))</f>
        <v>3.8.2.</v>
      </c>
      <c r="C58" s="127" t="str">
        <f ca="1">IF(OFFSET(PO!N$12,ROW(C58)-ROW(C$12),0)=0,"",OFFSET(PO!N$12,ROW(C58)-ROW(C$12),0))</f>
        <v/>
      </c>
      <c r="D58" s="129" t="str">
        <f ca="1">IF(OFFSET(PO!O$12,ROW(D58)-ROW(D$12),0)=0,"",OFFSET(PO!O$12,ROW(D58)-ROW(D$12),0))</f>
        <v/>
      </c>
      <c r="E58" s="165">
        <f ca="1">IF($A58&lt;&gt;"Serviço",0,ROUND(SUMIF($F$9:$P$9,"&lt;&gt;",$F58:$P58),15-13*PO!$X$3))</f>
        <v>90</v>
      </c>
      <c r="F58" s="400">
        <f ca="1">OFFSET(PO!$P$12,ROW($E58)-ROW(F$12),0)</f>
        <v>90</v>
      </c>
      <c r="G58" s="400"/>
      <c r="H58" s="400"/>
      <c r="I58" s="400"/>
      <c r="J58" s="400"/>
      <c r="K58" s="400"/>
      <c r="L58" s="400"/>
      <c r="M58" s="400"/>
      <c r="N58" s="400"/>
      <c r="O58" s="400"/>
      <c r="U58" s="215"/>
    </row>
    <row r="59" spans="1:21" s="4" customFormat="1" ht="38.25" x14ac:dyDescent="0.2">
      <c r="A59" s="128" t="str">
        <f ca="1">OFFSET(PO!J$12,ROW(A59)-ROW($A$12),0)</f>
        <v>Serviço</v>
      </c>
      <c r="B59" s="130" t="str">
        <f ca="1">IF($A59=0,"",OFFSET(PO!K$12,ROW(B59)-ROW(B$12),0))</f>
        <v>3.8.3.</v>
      </c>
      <c r="C59" s="127" t="str">
        <f ca="1">IF(OFFSET(PO!N$12,ROW(C59)-ROW(C$12),0)=0,"",OFFSET(PO!N$12,ROW(C59)-ROW(C$12),0))</f>
        <v/>
      </c>
      <c r="D59" s="129" t="str">
        <f ca="1">IF(OFFSET(PO!O$12,ROW(D59)-ROW(D$12),0)=0,"",OFFSET(PO!O$12,ROW(D59)-ROW(D$12),0))</f>
        <v/>
      </c>
      <c r="E59" s="165">
        <f ca="1">IF($A59&lt;&gt;"Serviço",0,ROUND(SUMIF($F$9:$P$9,"&lt;&gt;",$F59:$P59),15-13*PO!$X$3))</f>
        <v>275</v>
      </c>
      <c r="F59" s="400">
        <f ca="1">OFFSET(PO!$P$12,ROW($E59)-ROW(F$12),0)</f>
        <v>275</v>
      </c>
      <c r="G59" s="400"/>
      <c r="H59" s="400"/>
      <c r="I59" s="400"/>
      <c r="J59" s="400"/>
      <c r="K59" s="400"/>
      <c r="L59" s="400"/>
      <c r="M59" s="400"/>
      <c r="N59" s="400"/>
      <c r="O59" s="400"/>
      <c r="U59" s="215"/>
    </row>
    <row r="60" spans="1:21" s="4" customFormat="1" ht="25.5" x14ac:dyDescent="0.2">
      <c r="A60" s="128" t="str">
        <f ca="1">OFFSET(PO!J$12,ROW(A60)-ROW($A$12),0)</f>
        <v>Serviço</v>
      </c>
      <c r="B60" s="130" t="str">
        <f ca="1">IF($A60=0,"",OFFSET(PO!K$12,ROW(B60)-ROW(B$12),0))</f>
        <v>3.8.4.</v>
      </c>
      <c r="C60" s="127" t="str">
        <f ca="1">IF(OFFSET(PO!N$12,ROW(C60)-ROW(C$12),0)=0,"",OFFSET(PO!N$12,ROW(C60)-ROW(C$12),0))</f>
        <v/>
      </c>
      <c r="D60" s="129" t="str">
        <f ca="1">IF(OFFSET(PO!O$12,ROW(D60)-ROW(D$12),0)=0,"",OFFSET(PO!O$12,ROW(D60)-ROW(D$12),0))</f>
        <v/>
      </c>
      <c r="E60" s="165">
        <f ca="1">IF($A60&lt;&gt;"Serviço",0,ROUND(SUMIF($F$9:$P$9,"&lt;&gt;",$F60:$P60),15-13*PO!$X$3))</f>
        <v>2</v>
      </c>
      <c r="F60" s="400">
        <f ca="1">OFFSET(PO!$P$12,ROW($E60)-ROW(F$12),0)</f>
        <v>2</v>
      </c>
      <c r="G60" s="400"/>
      <c r="H60" s="400"/>
      <c r="I60" s="400"/>
      <c r="J60" s="400"/>
      <c r="K60" s="400"/>
      <c r="L60" s="400"/>
      <c r="M60" s="400"/>
      <c r="N60" s="400"/>
      <c r="O60" s="400"/>
      <c r="U60" s="215"/>
    </row>
    <row r="61" spans="1:21" s="4" customFormat="1" ht="25.5" x14ac:dyDescent="0.2">
      <c r="A61" s="128" t="str">
        <f ca="1">OFFSET(PO!J$12,ROW(A61)-ROW($A$12),0)</f>
        <v>Serviço</v>
      </c>
      <c r="B61" s="130" t="str">
        <f ca="1">IF($A61=0,"",OFFSET(PO!K$12,ROW(B61)-ROW(B$12),0))</f>
        <v>3.8.5.</v>
      </c>
      <c r="C61" s="127" t="str">
        <f ca="1">IF(OFFSET(PO!N$12,ROW(C61)-ROW(C$12),0)=0,"",OFFSET(PO!N$12,ROW(C61)-ROW(C$12),0))</f>
        <v/>
      </c>
      <c r="D61" s="129" t="str">
        <f ca="1">IF(OFFSET(PO!O$12,ROW(D61)-ROW(D$12),0)=0,"",OFFSET(PO!O$12,ROW(D61)-ROW(D$12),0))</f>
        <v/>
      </c>
      <c r="E61" s="165">
        <f ca="1">IF($A61&lt;&gt;"Serviço",0,ROUND(SUMIF($F$9:$P$9,"&lt;&gt;",$F61:$P61),15-13*PO!$X$3))</f>
        <v>1</v>
      </c>
      <c r="F61" s="400">
        <f ca="1">OFFSET(PO!$P$12,ROW($E61)-ROW(F$12),0)</f>
        <v>1</v>
      </c>
      <c r="G61" s="400"/>
      <c r="H61" s="400"/>
      <c r="I61" s="400"/>
      <c r="J61" s="400"/>
      <c r="K61" s="400"/>
      <c r="L61" s="400"/>
      <c r="M61" s="400"/>
      <c r="N61" s="400"/>
      <c r="O61" s="400"/>
      <c r="U61" s="215"/>
    </row>
    <row r="62" spans="1:21" s="4" customFormat="1" ht="25.5" x14ac:dyDescent="0.2">
      <c r="A62" s="128" t="str">
        <f ca="1">OFFSET(PO!J$12,ROW(A62)-ROW($A$12),0)</f>
        <v>Serviço</v>
      </c>
      <c r="B62" s="130" t="str">
        <f ca="1">IF($A62=0,"",OFFSET(PO!K$12,ROW(B62)-ROW(B$12),0))</f>
        <v>3.8.6.</v>
      </c>
      <c r="C62" s="127" t="str">
        <f ca="1">IF(OFFSET(PO!N$12,ROW(C62)-ROW(C$12),0)=0,"",OFFSET(PO!N$12,ROW(C62)-ROW(C$12),0))</f>
        <v/>
      </c>
      <c r="D62" s="129" t="str">
        <f ca="1">IF(OFFSET(PO!O$12,ROW(D62)-ROW(D$12),0)=0,"",OFFSET(PO!O$12,ROW(D62)-ROW(D$12),0))</f>
        <v/>
      </c>
      <c r="E62" s="165">
        <f ca="1">IF($A62&lt;&gt;"Serviço",0,ROUND(SUMIF($F$9:$P$9,"&lt;&gt;",$F62:$P62),15-13*PO!$X$3))</f>
        <v>6</v>
      </c>
      <c r="F62" s="400">
        <f ca="1">OFFSET(PO!$P$12,ROW($E62)-ROW(F$12),0)</f>
        <v>6</v>
      </c>
      <c r="G62" s="400"/>
      <c r="H62" s="400"/>
      <c r="I62" s="400"/>
      <c r="J62" s="400"/>
      <c r="K62" s="400"/>
      <c r="L62" s="400"/>
      <c r="M62" s="400"/>
      <c r="N62" s="400"/>
      <c r="O62" s="400"/>
      <c r="U62" s="215"/>
    </row>
    <row r="63" spans="1:21" s="4" customFormat="1" ht="25.5" x14ac:dyDescent="0.2">
      <c r="A63" s="128" t="str">
        <f ca="1">OFFSET(PO!J$12,ROW(A63)-ROW($A$12),0)</f>
        <v>Serviço</v>
      </c>
      <c r="B63" s="130" t="str">
        <f ca="1">IF($A63=0,"",OFFSET(PO!K$12,ROW(B63)-ROW(B$12),0))</f>
        <v>3.8.7.</v>
      </c>
      <c r="C63" s="127" t="str">
        <f ca="1">IF(OFFSET(PO!N$12,ROW(C63)-ROW(C$12),0)=0,"",OFFSET(PO!N$12,ROW(C63)-ROW(C$12),0))</f>
        <v/>
      </c>
      <c r="D63" s="129" t="str">
        <f ca="1">IF(OFFSET(PO!O$12,ROW(D63)-ROW(D$12),0)=0,"",OFFSET(PO!O$12,ROW(D63)-ROW(D$12),0))</f>
        <v/>
      </c>
      <c r="E63" s="165">
        <f ca="1">IF($A63&lt;&gt;"Serviço",0,ROUND(SUMIF($F$9:$P$9,"&lt;&gt;",$F63:$P63),15-13*PO!$X$3))</f>
        <v>1</v>
      </c>
      <c r="F63" s="400">
        <f ca="1">OFFSET(PO!$P$12,ROW($E63)-ROW(F$12),0)</f>
        <v>1</v>
      </c>
      <c r="G63" s="400"/>
      <c r="H63" s="400"/>
      <c r="I63" s="400"/>
      <c r="J63" s="400"/>
      <c r="K63" s="400"/>
      <c r="L63" s="400"/>
      <c r="M63" s="400"/>
      <c r="N63" s="400"/>
      <c r="O63" s="400"/>
      <c r="U63" s="215"/>
    </row>
    <row r="64" spans="1:21" s="4" customFormat="1" x14ac:dyDescent="0.2">
      <c r="A64" s="128" t="str">
        <f ca="1">OFFSET(PO!J$12,ROW(A64)-ROW($A$12),0)</f>
        <v>Nível 2</v>
      </c>
      <c r="B64" s="130" t="str">
        <f ca="1">IF($A64=0,"",OFFSET(PO!K$12,ROW(B64)-ROW(B$12),0))</f>
        <v>3.9.</v>
      </c>
      <c r="C64" s="127" t="str">
        <f ca="1">IF(OFFSET(PO!N$12,ROW(C64)-ROW(C$12),0)=0,"",OFFSET(PO!N$12,ROW(C64)-ROW(C$12),0))</f>
        <v>PISO SALA AO LADO DA COZINHA</v>
      </c>
      <c r="D64" s="129" t="str">
        <f ca="1">IF(OFFSET(PO!O$12,ROW(D64)-ROW(D$12),0)=0,"",OFFSET(PO!O$12,ROW(D64)-ROW(D$12),0))</f>
        <v/>
      </c>
      <c r="E64" s="165">
        <f ca="1">IF($A64&lt;&gt;"Serviço",0,ROUND(SUMIF($F$9:$P$9,"&lt;&gt;",$F64:$P64),15-13*PO!$X$3))</f>
        <v>0</v>
      </c>
      <c r="F64" s="400">
        <f ca="1">OFFSET(PO!$P$12,ROW($E64)-ROW(F$12),0)</f>
        <v>0</v>
      </c>
      <c r="G64" s="400"/>
      <c r="H64" s="400"/>
      <c r="I64" s="400"/>
      <c r="J64" s="400"/>
      <c r="K64" s="400"/>
      <c r="L64" s="400"/>
      <c r="M64" s="400"/>
      <c r="N64" s="400"/>
      <c r="O64" s="400"/>
      <c r="U64" s="215"/>
    </row>
    <row r="65" spans="1:21" s="4" customFormat="1" ht="25.5" x14ac:dyDescent="0.2">
      <c r="A65" s="128" t="str">
        <f ca="1">OFFSET(PO!J$12,ROW(A65)-ROW($A$12),0)</f>
        <v>Serviço</v>
      </c>
      <c r="B65" s="130" t="str">
        <f ca="1">IF($A65=0,"",OFFSET(PO!K$12,ROW(B65)-ROW(B$12),0))</f>
        <v>3.9.1.</v>
      </c>
      <c r="C65" s="127" t="str">
        <f ca="1">IF(OFFSET(PO!N$12,ROW(C65)-ROW(C$12),0)=0,"",OFFSET(PO!N$12,ROW(C65)-ROW(C$12),0))</f>
        <v/>
      </c>
      <c r="D65" s="129" t="str">
        <f ca="1">IF(OFFSET(PO!O$12,ROW(D65)-ROW(D$12),0)=0,"",OFFSET(PO!O$12,ROW(D65)-ROW(D$12),0))</f>
        <v/>
      </c>
      <c r="E65" s="165">
        <f ca="1">IF($A65&lt;&gt;"Serviço",0,ROUND(SUMIF($F$9:$P$9,"&lt;&gt;",$F65:$P65),15-13*PO!$X$3))</f>
        <v>24.78</v>
      </c>
      <c r="F65" s="400">
        <f ca="1">OFFSET(PO!$P$12,ROW($E65)-ROW(F$12),0)</f>
        <v>24.78</v>
      </c>
      <c r="G65" s="400"/>
      <c r="H65" s="400"/>
      <c r="I65" s="400"/>
      <c r="J65" s="400"/>
      <c r="K65" s="400"/>
      <c r="L65" s="400"/>
      <c r="M65" s="400"/>
      <c r="N65" s="400"/>
      <c r="O65" s="400"/>
      <c r="U65" s="215"/>
    </row>
    <row r="66" spans="1:21" s="4" customFormat="1" x14ac:dyDescent="0.2">
      <c r="A66" s="128" t="str">
        <f ca="1">OFFSET(PO!J$12,ROW(A66)-ROW($A$12),0)</f>
        <v>Serviço</v>
      </c>
      <c r="B66" s="130" t="str">
        <f ca="1">IF($A66=0,"",OFFSET(PO!K$12,ROW(B66)-ROW(B$12),0))</f>
        <v>3.9.2.</v>
      </c>
      <c r="C66" s="127" t="str">
        <f ca="1">IF(OFFSET(PO!N$12,ROW(C66)-ROW(C$12),0)=0,"",OFFSET(PO!N$12,ROW(C66)-ROW(C$12),0))</f>
        <v/>
      </c>
      <c r="D66" s="129" t="str">
        <f ca="1">IF(OFFSET(PO!O$12,ROW(D66)-ROW(D$12),0)=0,"",OFFSET(PO!O$12,ROW(D66)-ROW(D$12),0))</f>
        <v/>
      </c>
      <c r="E66" s="165">
        <f ca="1">IF($A66&lt;&gt;"Serviço",0,ROUND(SUMIF($F$9:$P$9,"&lt;&gt;",$F66:$P66),15-13*PO!$X$3))</f>
        <v>150</v>
      </c>
      <c r="F66" s="400">
        <f ca="1">OFFSET(PO!$P$12,ROW($E66)-ROW(F$12),0)</f>
        <v>150</v>
      </c>
      <c r="G66" s="400"/>
      <c r="H66" s="400"/>
      <c r="I66" s="400"/>
      <c r="J66" s="400"/>
      <c r="K66" s="400"/>
      <c r="L66" s="400"/>
      <c r="M66" s="400"/>
      <c r="N66" s="400"/>
      <c r="O66" s="400"/>
      <c r="U66" s="215"/>
    </row>
    <row r="67" spans="1:21" s="4" customFormat="1" x14ac:dyDescent="0.2">
      <c r="A67" s="128" t="str">
        <f ca="1">OFFSET(PO!J$12,ROW(A67)-ROW($A$12),0)</f>
        <v>Serviço</v>
      </c>
      <c r="B67" s="130" t="str">
        <f ca="1">IF($A67=0,"",OFFSET(PO!K$12,ROW(B67)-ROW(B$12),0))</f>
        <v>3.9.3.</v>
      </c>
      <c r="C67" s="127" t="str">
        <f ca="1">IF(OFFSET(PO!N$12,ROW(C67)-ROW(C$12),0)=0,"",OFFSET(PO!N$12,ROW(C67)-ROW(C$12),0))</f>
        <v/>
      </c>
      <c r="D67" s="129" t="str">
        <f ca="1">IF(OFFSET(PO!O$12,ROW(D67)-ROW(D$12),0)=0,"",OFFSET(PO!O$12,ROW(D67)-ROW(D$12),0))</f>
        <v/>
      </c>
      <c r="E67" s="165">
        <f ca="1">IF($A67&lt;&gt;"Serviço",0,ROUND(SUMIF($F$9:$P$9,"&lt;&gt;",$F67:$P67),15-13*PO!$X$3))</f>
        <v>10</v>
      </c>
      <c r="F67" s="400">
        <f ca="1">OFFSET(PO!$P$12,ROW($E67)-ROW(F$12),0)</f>
        <v>10</v>
      </c>
      <c r="G67" s="400"/>
      <c r="H67" s="400"/>
      <c r="I67" s="400"/>
      <c r="J67" s="400"/>
      <c r="K67" s="400"/>
      <c r="L67" s="400"/>
      <c r="M67" s="400"/>
      <c r="N67" s="400"/>
      <c r="O67" s="400"/>
      <c r="U67" s="215"/>
    </row>
    <row r="68" spans="1:21" s="4" customFormat="1" x14ac:dyDescent="0.2">
      <c r="A68" s="128" t="str">
        <f ca="1">OFFSET(PO!J$12,ROW(A68)-ROW($A$12),0)</f>
        <v>Meta</v>
      </c>
      <c r="B68" s="130" t="str">
        <f ca="1">IF($A68=0,"",OFFSET(PO!K$12,ROW(B68)-ROW(B$12),0))</f>
        <v>4.</v>
      </c>
      <c r="C68" s="127" t="str">
        <f ca="1">IF(OFFSET(PO!N$12,ROW(C68)-ROW(C$12),0)=0,"",OFFSET(PO!N$12,ROW(C68)-ROW(C$12),0))</f>
        <v>BLOCO D</v>
      </c>
      <c r="D68" s="129" t="str">
        <f ca="1">IF(OFFSET(PO!O$12,ROW(D68)-ROW(D$12),0)=0,"",OFFSET(PO!O$12,ROW(D68)-ROW(D$12),0))</f>
        <v/>
      </c>
      <c r="E68" s="165">
        <f ca="1">IF($A68&lt;&gt;"Serviço",0,ROUND(SUMIF($F$9:$P$9,"&lt;&gt;",$F68:$P68),15-13*PO!$X$3))</f>
        <v>0</v>
      </c>
      <c r="F68" s="400">
        <f ca="1">OFFSET(PO!$P$12,ROW($E68)-ROW(F$12),0)</f>
        <v>0</v>
      </c>
      <c r="G68" s="400"/>
      <c r="H68" s="400"/>
      <c r="I68" s="400"/>
      <c r="J68" s="400"/>
      <c r="K68" s="400"/>
      <c r="L68" s="400"/>
      <c r="M68" s="400"/>
      <c r="N68" s="400"/>
      <c r="O68" s="400"/>
      <c r="U68" s="215"/>
    </row>
    <row r="69" spans="1:21" s="4" customFormat="1" x14ac:dyDescent="0.2">
      <c r="A69" s="128" t="str">
        <f ca="1">OFFSET(PO!J$12,ROW(A69)-ROW($A$12),0)</f>
        <v>Nível 2</v>
      </c>
      <c r="B69" s="130" t="str">
        <f ca="1">IF($A69=0,"",OFFSET(PO!K$12,ROW(B69)-ROW(B$12),0))</f>
        <v>4.1.</v>
      </c>
      <c r="C69" s="127" t="str">
        <f ca="1">IF(OFFSET(PO!N$12,ROW(C69)-ROW(C$12),0)=0,"",OFFSET(PO!N$12,ROW(C69)-ROW(C$12),0))</f>
        <v>DIVISÓRIA LEVE</v>
      </c>
      <c r="D69" s="129" t="str">
        <f ca="1">IF(OFFSET(PO!O$12,ROW(D69)-ROW(D$12),0)=0,"",OFFSET(PO!O$12,ROW(D69)-ROW(D$12),0))</f>
        <v/>
      </c>
      <c r="E69" s="165">
        <f ca="1">IF($A69&lt;&gt;"Serviço",0,ROUND(SUMIF($F$9:$P$9,"&lt;&gt;",$F69:$P69),15-13*PO!$X$3))</f>
        <v>0</v>
      </c>
      <c r="F69" s="400">
        <f ca="1">OFFSET(PO!$P$12,ROW($E69)-ROW(F$12),0)</f>
        <v>0</v>
      </c>
      <c r="G69" s="400"/>
      <c r="H69" s="400"/>
      <c r="I69" s="400"/>
      <c r="J69" s="400"/>
      <c r="K69" s="400"/>
      <c r="L69" s="400"/>
      <c r="M69" s="400"/>
      <c r="N69" s="400"/>
      <c r="O69" s="400"/>
      <c r="U69" s="215"/>
    </row>
    <row r="70" spans="1:21" s="4" customFormat="1" x14ac:dyDescent="0.2">
      <c r="A70" s="128" t="str">
        <f ca="1">OFFSET(PO!J$12,ROW(A70)-ROW($A$12),0)</f>
        <v>Serviço</v>
      </c>
      <c r="B70" s="130" t="str">
        <f ca="1">IF($A70=0,"",OFFSET(PO!K$12,ROW(B70)-ROW(B$12),0))</f>
        <v>4.1.1.</v>
      </c>
      <c r="C70" s="127" t="str">
        <f ca="1">IF(OFFSET(PO!N$12,ROW(C70)-ROW(C$12),0)=0,"",OFFSET(PO!N$12,ROW(C70)-ROW(C$12),0))</f>
        <v/>
      </c>
      <c r="D70" s="129" t="str">
        <f ca="1">IF(OFFSET(PO!O$12,ROW(D70)-ROW(D$12),0)=0,"",OFFSET(PO!O$12,ROW(D70)-ROW(D$12),0))</f>
        <v/>
      </c>
      <c r="E70" s="165">
        <f ca="1">IF($A70&lt;&gt;"Serviço",0,ROUND(SUMIF($F$9:$P$9,"&lt;&gt;",$F70:$P70),15-13*PO!$X$3))</f>
        <v>34.119999999999997</v>
      </c>
      <c r="F70" s="400">
        <f ca="1">OFFSET(PO!$P$12,ROW($E70)-ROW(F$12),0)</f>
        <v>34.119999999999997</v>
      </c>
      <c r="G70" s="400"/>
      <c r="H70" s="400"/>
      <c r="I70" s="400"/>
      <c r="J70" s="400"/>
      <c r="K70" s="400"/>
      <c r="L70" s="400"/>
      <c r="M70" s="400"/>
      <c r="N70" s="400"/>
      <c r="O70" s="400"/>
      <c r="U70" s="215"/>
    </row>
    <row r="71" spans="1:21" s="4" customFormat="1" x14ac:dyDescent="0.2">
      <c r="A71" s="128" t="str">
        <f ca="1">OFFSET(PO!J$12,ROW(A71)-ROW($A$12),0)</f>
        <v>Serviço</v>
      </c>
      <c r="B71" s="130" t="str">
        <f ca="1">IF($A71=0,"",OFFSET(PO!K$12,ROW(B71)-ROW(B$12),0))</f>
        <v>4.1.2.</v>
      </c>
      <c r="C71" s="127" t="str">
        <f ca="1">IF(OFFSET(PO!N$12,ROW(C71)-ROW(C$12),0)=0,"",OFFSET(PO!N$12,ROW(C71)-ROW(C$12),0))</f>
        <v/>
      </c>
      <c r="D71" s="129" t="str">
        <f ca="1">IF(OFFSET(PO!O$12,ROW(D71)-ROW(D$12),0)=0,"",OFFSET(PO!O$12,ROW(D71)-ROW(D$12),0))</f>
        <v/>
      </c>
      <c r="E71" s="165">
        <f ca="1">IF($A71&lt;&gt;"Serviço",0,ROUND(SUMIF($F$9:$P$9,"&lt;&gt;",$F71:$P71),15-13*PO!$X$3))</f>
        <v>4</v>
      </c>
      <c r="F71" s="400">
        <f ca="1">OFFSET(PO!$P$12,ROW($E71)-ROW(F$12),0)</f>
        <v>4</v>
      </c>
      <c r="G71" s="400"/>
      <c r="H71" s="400"/>
      <c r="I71" s="400"/>
      <c r="J71" s="400"/>
      <c r="K71" s="400"/>
      <c r="L71" s="400"/>
      <c r="M71" s="400"/>
      <c r="N71" s="400"/>
      <c r="O71" s="400"/>
      <c r="U71" s="215"/>
    </row>
    <row r="72" spans="1:21" s="4" customFormat="1" x14ac:dyDescent="0.2">
      <c r="A72" s="128" t="str">
        <f ca="1">OFFSET(PO!J$12,ROW(A72)-ROW($A$12),0)</f>
        <v>Serviço</v>
      </c>
      <c r="B72" s="130" t="str">
        <f ca="1">IF($A72=0,"",OFFSET(PO!K$12,ROW(B72)-ROW(B$12),0))</f>
        <v>4.1.3.</v>
      </c>
      <c r="C72" s="127" t="str">
        <f ca="1">IF(OFFSET(PO!N$12,ROW(C72)-ROW(C$12),0)=0,"",OFFSET(PO!N$12,ROW(C72)-ROW(C$12),0))</f>
        <v/>
      </c>
      <c r="D72" s="129" t="str">
        <f ca="1">IF(OFFSET(PO!O$12,ROW(D72)-ROW(D$12),0)=0,"",OFFSET(PO!O$12,ROW(D72)-ROW(D$12),0))</f>
        <v/>
      </c>
      <c r="E72" s="165">
        <f ca="1">IF($A72&lt;&gt;"Serviço",0,ROUND(SUMIF($F$9:$P$9,"&lt;&gt;",$F72:$P72),15-13*PO!$X$3))</f>
        <v>29.71</v>
      </c>
      <c r="F72" s="400">
        <f ca="1">OFFSET(PO!$P$12,ROW($E72)-ROW(F$12),0)</f>
        <v>29.71</v>
      </c>
      <c r="G72" s="400"/>
      <c r="H72" s="400"/>
      <c r="I72" s="400"/>
      <c r="J72" s="400"/>
      <c r="K72" s="400"/>
      <c r="L72" s="400"/>
      <c r="M72" s="400"/>
      <c r="N72" s="400"/>
      <c r="O72" s="400"/>
      <c r="U72" s="215"/>
    </row>
    <row r="73" spans="1:21" s="4" customFormat="1" x14ac:dyDescent="0.2">
      <c r="A73" s="128" t="str">
        <f ca="1">OFFSET(PO!J$12,ROW(A73)-ROW($A$12),0)</f>
        <v>Serviço</v>
      </c>
      <c r="B73" s="130" t="str">
        <f ca="1">IF($A73=0,"",OFFSET(PO!K$12,ROW(B73)-ROW(B$12),0))</f>
        <v>4.1.4.</v>
      </c>
      <c r="C73" s="127" t="str">
        <f ca="1">IF(OFFSET(PO!N$12,ROW(C73)-ROW(C$12),0)=0,"",OFFSET(PO!N$12,ROW(C73)-ROW(C$12),0))</f>
        <v/>
      </c>
      <c r="D73" s="129" t="str">
        <f ca="1">IF(OFFSET(PO!O$12,ROW(D73)-ROW(D$12),0)=0,"",OFFSET(PO!O$12,ROW(D73)-ROW(D$12),0))</f>
        <v/>
      </c>
      <c r="E73" s="165">
        <f ca="1">IF($A73&lt;&gt;"Serviço",0,ROUND(SUMIF($F$9:$P$9,"&lt;&gt;",$F73:$P73),15-13*PO!$X$3))</f>
        <v>3</v>
      </c>
      <c r="F73" s="400">
        <f ca="1">OFFSET(PO!$P$12,ROW($E73)-ROW(F$12),0)</f>
        <v>3</v>
      </c>
      <c r="G73" s="400"/>
      <c r="H73" s="400"/>
      <c r="I73" s="400"/>
      <c r="J73" s="400"/>
      <c r="K73" s="400"/>
      <c r="L73" s="400"/>
      <c r="M73" s="400"/>
      <c r="N73" s="400"/>
      <c r="O73" s="400"/>
      <c r="U73" s="215"/>
    </row>
    <row r="74" spans="1:21" s="4" customFormat="1" x14ac:dyDescent="0.2">
      <c r="A74" s="128" t="str">
        <f ca="1">OFFSET(PO!J$12,ROW(A74)-ROW($A$12),0)</f>
        <v>Nível 2</v>
      </c>
      <c r="B74" s="130" t="str">
        <f ca="1">IF($A74=0,"",OFFSET(PO!K$12,ROW(B74)-ROW(B$12),0))</f>
        <v>4.2.</v>
      </c>
      <c r="C74" s="127" t="str">
        <f ca="1">IF(OFFSET(PO!N$12,ROW(C74)-ROW(C$12),0)=0,"",OFFSET(PO!N$12,ROW(C74)-ROW(C$12),0))</f>
        <v>RETIRADAS</v>
      </c>
      <c r="D74" s="129" t="str">
        <f ca="1">IF(OFFSET(PO!O$12,ROW(D74)-ROW(D$12),0)=0,"",OFFSET(PO!O$12,ROW(D74)-ROW(D$12),0))</f>
        <v/>
      </c>
      <c r="E74" s="165">
        <f ca="1">IF($A74&lt;&gt;"Serviço",0,ROUND(SUMIF($F$9:$P$9,"&lt;&gt;",$F74:$P74),15-13*PO!$X$3))</f>
        <v>0</v>
      </c>
      <c r="F74" s="400">
        <f ca="1">OFFSET(PO!$P$12,ROW($E74)-ROW(F$12),0)</f>
        <v>0</v>
      </c>
      <c r="G74" s="400"/>
      <c r="H74" s="400"/>
      <c r="I74" s="400"/>
      <c r="J74" s="400"/>
      <c r="K74" s="400"/>
      <c r="L74" s="400"/>
      <c r="M74" s="400"/>
      <c r="N74" s="400"/>
      <c r="O74" s="400"/>
      <c r="U74" s="215"/>
    </row>
    <row r="75" spans="1:21" s="4" customFormat="1" ht="38.25" x14ac:dyDescent="0.2">
      <c r="A75" s="128" t="str">
        <f ca="1">OFFSET(PO!J$12,ROW(A75)-ROW($A$12),0)</f>
        <v>Serviço</v>
      </c>
      <c r="B75" s="130" t="str">
        <f ca="1">IF($A75=0,"",OFFSET(PO!K$12,ROW(B75)-ROW(B$12),0))</f>
        <v>4.2.1.</v>
      </c>
      <c r="C75" s="127" t="str">
        <f ca="1">IF(OFFSET(PO!N$12,ROW(C75)-ROW(C$12),0)=0,"",OFFSET(PO!N$12,ROW(C75)-ROW(C$12),0))</f>
        <v/>
      </c>
      <c r="D75" s="129" t="str">
        <f ca="1">IF(OFFSET(PO!O$12,ROW(D75)-ROW(D$12),0)=0,"",OFFSET(PO!O$12,ROW(D75)-ROW(D$12),0))</f>
        <v/>
      </c>
      <c r="E75" s="165">
        <f ca="1">IF($A75&lt;&gt;"Serviço",0,ROUND(SUMIF($F$9:$P$9,"&lt;&gt;",$F75:$P75),15-13*PO!$X$3))</f>
        <v>9</v>
      </c>
      <c r="F75" s="400">
        <f ca="1">OFFSET(PO!$P$12,ROW($E75)-ROW(F$12),0)</f>
        <v>9</v>
      </c>
      <c r="G75" s="400"/>
      <c r="H75" s="400"/>
      <c r="I75" s="400"/>
      <c r="J75" s="400"/>
      <c r="K75" s="400"/>
      <c r="L75" s="400"/>
      <c r="M75" s="400"/>
      <c r="N75" s="400"/>
      <c r="O75" s="400"/>
      <c r="U75" s="215"/>
    </row>
    <row r="76" spans="1:21" s="4" customFormat="1" ht="38.25" x14ac:dyDescent="0.2">
      <c r="A76" s="128" t="str">
        <f ca="1">OFFSET(PO!J$12,ROW(A76)-ROW($A$12),0)</f>
        <v>Serviço</v>
      </c>
      <c r="B76" s="130" t="str">
        <f ca="1">IF($A76=0,"",OFFSET(PO!K$12,ROW(B76)-ROW(B$12),0))</f>
        <v>4.2.2.</v>
      </c>
      <c r="C76" s="127" t="str">
        <f ca="1">IF(OFFSET(PO!N$12,ROW(C76)-ROW(C$12),0)=0,"",OFFSET(PO!N$12,ROW(C76)-ROW(C$12),0))</f>
        <v/>
      </c>
      <c r="D76" s="129" t="str">
        <f ca="1">IF(OFFSET(PO!O$12,ROW(D76)-ROW(D$12),0)=0,"",OFFSET(PO!O$12,ROW(D76)-ROW(D$12),0))</f>
        <v/>
      </c>
      <c r="E76" s="165">
        <f ca="1">IF($A76&lt;&gt;"Serviço",0,ROUND(SUMIF($F$9:$P$9,"&lt;&gt;",$F76:$P76),15-13*PO!$X$3))</f>
        <v>190.84</v>
      </c>
      <c r="F76" s="400">
        <f ca="1">OFFSET(PO!$P$12,ROW($E76)-ROW(F$12),0)</f>
        <v>190.84</v>
      </c>
      <c r="G76" s="400"/>
      <c r="H76" s="400"/>
      <c r="I76" s="400"/>
      <c r="J76" s="400"/>
      <c r="K76" s="400"/>
      <c r="L76" s="400"/>
      <c r="M76" s="400"/>
      <c r="N76" s="400"/>
      <c r="O76" s="400"/>
      <c r="U76" s="215"/>
    </row>
    <row r="77" spans="1:21" s="4" customFormat="1" x14ac:dyDescent="0.2">
      <c r="A77" s="128" t="str">
        <f ca="1">OFFSET(PO!J$12,ROW(A77)-ROW($A$12),0)</f>
        <v>Serviço</v>
      </c>
      <c r="B77" s="130" t="str">
        <f ca="1">IF($A77=0,"",OFFSET(PO!K$12,ROW(B77)-ROW(B$12),0))</f>
        <v>4.2.3.</v>
      </c>
      <c r="C77" s="127" t="str">
        <f ca="1">IF(OFFSET(PO!N$12,ROW(C77)-ROW(C$12),0)=0,"",OFFSET(PO!N$12,ROW(C77)-ROW(C$12),0))</f>
        <v/>
      </c>
      <c r="D77" s="129" t="str">
        <f ca="1">IF(OFFSET(PO!O$12,ROW(D77)-ROW(D$12),0)=0,"",OFFSET(PO!O$12,ROW(D77)-ROW(D$12),0))</f>
        <v/>
      </c>
      <c r="E77" s="165">
        <f ca="1">IF($A77&lt;&gt;"Serviço",0,ROUND(SUMIF($F$9:$P$9,"&lt;&gt;",$F77:$P77),15-13*PO!$X$3))</f>
        <v>32.700000000000003</v>
      </c>
      <c r="F77" s="400">
        <f ca="1">OFFSET(PO!$P$12,ROW($E77)-ROW(F$12),0)</f>
        <v>32.700000000000003</v>
      </c>
      <c r="G77" s="400"/>
      <c r="H77" s="400"/>
      <c r="I77" s="400"/>
      <c r="J77" s="400"/>
      <c r="K77" s="400"/>
      <c r="L77" s="400"/>
      <c r="M77" s="400"/>
      <c r="N77" s="400"/>
      <c r="O77" s="400"/>
      <c r="U77" s="215"/>
    </row>
    <row r="78" spans="1:21" s="4" customFormat="1" ht="25.5" x14ac:dyDescent="0.2">
      <c r="A78" s="128" t="str">
        <f ca="1">OFFSET(PO!J$12,ROW(A78)-ROW($A$12),0)</f>
        <v>Serviço</v>
      </c>
      <c r="B78" s="130" t="str">
        <f ca="1">IF($A78=0,"",OFFSET(PO!K$12,ROW(B78)-ROW(B$12),0))</f>
        <v>4.2.4.</v>
      </c>
      <c r="C78" s="127" t="str">
        <f ca="1">IF(OFFSET(PO!N$12,ROW(C78)-ROW(C$12),0)=0,"",OFFSET(PO!N$12,ROW(C78)-ROW(C$12),0))</f>
        <v/>
      </c>
      <c r="D78" s="129" t="str">
        <f ca="1">IF(OFFSET(PO!O$12,ROW(D78)-ROW(D$12),0)=0,"",OFFSET(PO!O$12,ROW(D78)-ROW(D$12),0))</f>
        <v/>
      </c>
      <c r="E78" s="165">
        <f ca="1">IF($A78&lt;&gt;"Serviço",0,ROUND(SUMIF($F$9:$P$9,"&lt;&gt;",$F78:$P78),15-13*PO!$X$3))</f>
        <v>190.84</v>
      </c>
      <c r="F78" s="400">
        <f ca="1">OFFSET(PO!$P$12,ROW($E78)-ROW(F$12),0)</f>
        <v>190.84</v>
      </c>
      <c r="G78" s="400"/>
      <c r="H78" s="400"/>
      <c r="I78" s="400"/>
      <c r="J78" s="400"/>
      <c r="K78" s="400"/>
      <c r="L78" s="400"/>
      <c r="M78" s="400"/>
      <c r="N78" s="400"/>
      <c r="O78" s="400"/>
      <c r="U78" s="215"/>
    </row>
    <row r="79" spans="1:21" s="4" customFormat="1" ht="38.25" x14ac:dyDescent="0.2">
      <c r="A79" s="128" t="str">
        <f ca="1">OFFSET(PO!J$12,ROW(A79)-ROW($A$12),0)</f>
        <v>Serviço</v>
      </c>
      <c r="B79" s="130" t="str">
        <f ca="1">IF($A79=0,"",OFFSET(PO!K$12,ROW(B79)-ROW(B$12),0))</f>
        <v>4.2.5.</v>
      </c>
      <c r="C79" s="127" t="str">
        <f ca="1">IF(OFFSET(PO!N$12,ROW(C79)-ROW(C$12),0)=0,"",OFFSET(PO!N$12,ROW(C79)-ROW(C$12),0))</f>
        <v/>
      </c>
      <c r="D79" s="129" t="str">
        <f ca="1">IF(OFFSET(PO!O$12,ROW(D79)-ROW(D$12),0)=0,"",OFFSET(PO!O$12,ROW(D79)-ROW(D$12),0))</f>
        <v/>
      </c>
      <c r="E79" s="165">
        <f ca="1">IF($A79&lt;&gt;"Serviço",0,ROUND(SUMIF($F$9:$P$9,"&lt;&gt;",$F79:$P79),15-13*PO!$X$3))</f>
        <v>229</v>
      </c>
      <c r="F79" s="400">
        <f ca="1">OFFSET(PO!$P$12,ROW($E79)-ROW(F$12),0)</f>
        <v>229</v>
      </c>
      <c r="G79" s="400"/>
      <c r="H79" s="400"/>
      <c r="I79" s="400"/>
      <c r="J79" s="400"/>
      <c r="K79" s="400"/>
      <c r="L79" s="400"/>
      <c r="M79" s="400"/>
      <c r="N79" s="400"/>
      <c r="O79" s="400"/>
      <c r="U79" s="215"/>
    </row>
    <row r="80" spans="1:21" s="4" customFormat="1" x14ac:dyDescent="0.2">
      <c r="A80" s="128" t="str">
        <f ca="1">OFFSET(PO!J$12,ROW(A80)-ROW($A$12),0)</f>
        <v>Nível 2</v>
      </c>
      <c r="B80" s="130" t="str">
        <f ca="1">IF($A80=0,"",OFFSET(PO!K$12,ROW(B80)-ROW(B$12),0))</f>
        <v>4.3.</v>
      </c>
      <c r="C80" s="127" t="str">
        <f ca="1">IF(OFFSET(PO!N$12,ROW(C80)-ROW(C$12),0)=0,"",OFFSET(PO!N$12,ROW(C80)-ROW(C$12),0))</f>
        <v>COBERTURA</v>
      </c>
      <c r="D80" s="129" t="str">
        <f ca="1">IF(OFFSET(PO!O$12,ROW(D80)-ROW(D$12),0)=0,"",OFFSET(PO!O$12,ROW(D80)-ROW(D$12),0))</f>
        <v/>
      </c>
      <c r="E80" s="165">
        <f ca="1">IF($A80&lt;&gt;"Serviço",0,ROUND(SUMIF($F$9:$P$9,"&lt;&gt;",$F80:$P80),15-13*PO!$X$3))</f>
        <v>0</v>
      </c>
      <c r="F80" s="400">
        <f ca="1">OFFSET(PO!$P$12,ROW($E80)-ROW(F$12),0)</f>
        <v>0</v>
      </c>
      <c r="G80" s="400"/>
      <c r="H80" s="400"/>
      <c r="I80" s="400"/>
      <c r="J80" s="400"/>
      <c r="K80" s="400"/>
      <c r="L80" s="400"/>
      <c r="M80" s="400"/>
      <c r="N80" s="400"/>
      <c r="O80" s="400"/>
      <c r="U80" s="215"/>
    </row>
    <row r="81" spans="1:21" s="4" customFormat="1" ht="51" x14ac:dyDescent="0.2">
      <c r="A81" s="128" t="str">
        <f ca="1">OFFSET(PO!J$12,ROW(A81)-ROW($A$12),0)</f>
        <v>Serviço</v>
      </c>
      <c r="B81" s="130" t="str">
        <f ca="1">IF($A81=0,"",OFFSET(PO!K$12,ROW(B81)-ROW(B$12),0))</f>
        <v>4.3.1.</v>
      </c>
      <c r="C81" s="127" t="str">
        <f ca="1">IF(OFFSET(PO!N$12,ROW(C81)-ROW(C$12),0)=0,"",OFFSET(PO!N$12,ROW(C81)-ROW(C$12),0))</f>
        <v/>
      </c>
      <c r="D81" s="129" t="str">
        <f ca="1">IF(OFFSET(PO!O$12,ROW(D81)-ROW(D$12),0)=0,"",OFFSET(PO!O$12,ROW(D81)-ROW(D$12),0))</f>
        <v/>
      </c>
      <c r="E81" s="165">
        <f ca="1">IF($A81&lt;&gt;"Serviço",0,ROUND(SUMIF($F$9:$P$9,"&lt;&gt;",$F81:$P81),15-13*PO!$X$3))</f>
        <v>190.84</v>
      </c>
      <c r="F81" s="400">
        <f ca="1">OFFSET(PO!$P$12,ROW($E81)-ROW(F$12),0)</f>
        <v>190.84</v>
      </c>
      <c r="G81" s="400"/>
      <c r="H81" s="400"/>
      <c r="I81" s="400"/>
      <c r="J81" s="400"/>
      <c r="K81" s="400"/>
      <c r="L81" s="400"/>
      <c r="M81" s="400"/>
      <c r="N81" s="400"/>
      <c r="O81" s="400"/>
      <c r="U81" s="215"/>
    </row>
    <row r="82" spans="1:21" s="4" customFormat="1" ht="25.5" x14ac:dyDescent="0.2">
      <c r="A82" s="128" t="str">
        <f ca="1">OFFSET(PO!J$12,ROW(A82)-ROW($A$12),0)</f>
        <v>Serviço</v>
      </c>
      <c r="B82" s="130" t="str">
        <f ca="1">IF($A82=0,"",OFFSET(PO!K$12,ROW(B82)-ROW(B$12),0))</f>
        <v>4.3.2.</v>
      </c>
      <c r="C82" s="127" t="str">
        <f ca="1">IF(OFFSET(PO!N$12,ROW(C82)-ROW(C$12),0)=0,"",OFFSET(PO!N$12,ROW(C82)-ROW(C$12),0))</f>
        <v/>
      </c>
      <c r="D82" s="129" t="str">
        <f ca="1">IF(OFFSET(PO!O$12,ROW(D82)-ROW(D$12),0)=0,"",OFFSET(PO!O$12,ROW(D82)-ROW(D$12),0))</f>
        <v/>
      </c>
      <c r="E82" s="165">
        <f ca="1">IF($A82&lt;&gt;"Serviço",0,ROUND(SUMIF($F$9:$P$9,"&lt;&gt;",$F82:$P82),15-13*PO!$X$3))</f>
        <v>190.84</v>
      </c>
      <c r="F82" s="400">
        <f ca="1">OFFSET(PO!$P$12,ROW($E82)-ROW(F$12),0)</f>
        <v>190.84</v>
      </c>
      <c r="G82" s="400"/>
      <c r="H82" s="400"/>
      <c r="I82" s="400"/>
      <c r="J82" s="400"/>
      <c r="K82" s="400"/>
      <c r="L82" s="400"/>
      <c r="M82" s="400"/>
      <c r="N82" s="400"/>
      <c r="O82" s="400"/>
      <c r="U82" s="215"/>
    </row>
    <row r="83" spans="1:21" s="4" customFormat="1" ht="38.25" x14ac:dyDescent="0.2">
      <c r="A83" s="128" t="str">
        <f ca="1">OFFSET(PO!J$12,ROW(A83)-ROW($A$12),0)</f>
        <v>Serviço</v>
      </c>
      <c r="B83" s="130" t="str">
        <f ca="1">IF($A83=0,"",OFFSET(PO!K$12,ROW(B83)-ROW(B$12),0))</f>
        <v>4.3.3.</v>
      </c>
      <c r="C83" s="127" t="str">
        <f ca="1">IF(OFFSET(PO!N$12,ROW(C83)-ROW(C$12),0)=0,"",OFFSET(PO!N$12,ROW(C83)-ROW(C$12),0))</f>
        <v/>
      </c>
      <c r="D83" s="129" t="str">
        <f ca="1">IF(OFFSET(PO!O$12,ROW(D83)-ROW(D$12),0)=0,"",OFFSET(PO!O$12,ROW(D83)-ROW(D$12),0))</f>
        <v/>
      </c>
      <c r="E83" s="165">
        <f ca="1">IF($A83&lt;&gt;"Serviço",0,ROUND(SUMIF($F$9:$P$9,"&lt;&gt;",$F83:$P83),15-13*PO!$X$3))</f>
        <v>450.4</v>
      </c>
      <c r="F83" s="400">
        <f ca="1">OFFSET(PO!$P$12,ROW($E83)-ROW(F$12),0)</f>
        <v>450.4</v>
      </c>
      <c r="G83" s="400"/>
      <c r="H83" s="400"/>
      <c r="I83" s="400"/>
      <c r="J83" s="400"/>
      <c r="K83" s="400"/>
      <c r="L83" s="400"/>
      <c r="M83" s="400"/>
      <c r="N83" s="400"/>
      <c r="O83" s="400"/>
      <c r="U83" s="215"/>
    </row>
    <row r="84" spans="1:21" s="4" customFormat="1" x14ac:dyDescent="0.2">
      <c r="A84" s="128" t="str">
        <f ca="1">OFFSET(PO!J$12,ROW(A84)-ROW($A$12),0)</f>
        <v>Serviço</v>
      </c>
      <c r="B84" s="130" t="str">
        <f ca="1">IF($A84=0,"",OFFSET(PO!K$12,ROW(B84)-ROW(B$12),0))</f>
        <v>4.3.4.</v>
      </c>
      <c r="C84" s="127" t="str">
        <f ca="1">IF(OFFSET(PO!N$12,ROW(C84)-ROW(C$12),0)=0,"",OFFSET(PO!N$12,ROW(C84)-ROW(C$12),0))</f>
        <v/>
      </c>
      <c r="D84" s="129" t="str">
        <f ca="1">IF(OFFSET(PO!O$12,ROW(D84)-ROW(D$12),0)=0,"",OFFSET(PO!O$12,ROW(D84)-ROW(D$12),0))</f>
        <v/>
      </c>
      <c r="E84" s="165">
        <f ca="1">IF($A84&lt;&gt;"Serviço",0,ROUND(SUMIF($F$9:$P$9,"&lt;&gt;",$F84:$P84),15-13*PO!$X$3))</f>
        <v>16.350000000000001</v>
      </c>
      <c r="F84" s="400">
        <f ca="1">OFFSET(PO!$P$12,ROW($E84)-ROW(F$12),0)</f>
        <v>16.350000000000001</v>
      </c>
      <c r="G84" s="400"/>
      <c r="H84" s="400"/>
      <c r="I84" s="400"/>
      <c r="J84" s="400"/>
      <c r="K84" s="400"/>
      <c r="L84" s="400"/>
      <c r="M84" s="400"/>
      <c r="N84" s="400"/>
      <c r="O84" s="400"/>
      <c r="U84" s="215"/>
    </row>
    <row r="85" spans="1:21" s="4" customFormat="1" x14ac:dyDescent="0.2">
      <c r="A85" s="128" t="str">
        <f ca="1">OFFSET(PO!J$12,ROW(A85)-ROW($A$12),0)</f>
        <v>Nível 2</v>
      </c>
      <c r="B85" s="130" t="str">
        <f ca="1">IF($A85=0,"",OFFSET(PO!K$12,ROW(B85)-ROW(B$12),0))</f>
        <v>4.4.</v>
      </c>
      <c r="C85" s="127" t="str">
        <f ca="1">IF(OFFSET(PO!N$12,ROW(C85)-ROW(C$12),0)=0,"",OFFSET(PO!N$12,ROW(C85)-ROW(C$12),0))</f>
        <v>INSTALAÇÕES ELÉTRICAS</v>
      </c>
      <c r="D85" s="129" t="str">
        <f ca="1">IF(OFFSET(PO!O$12,ROW(D85)-ROW(D$12),0)=0,"",OFFSET(PO!O$12,ROW(D85)-ROW(D$12),0))</f>
        <v/>
      </c>
      <c r="E85" s="165">
        <f ca="1">IF($A85&lt;&gt;"Serviço",0,ROUND(SUMIF($F$9:$P$9,"&lt;&gt;",$F85:$P85),15-13*PO!$X$3))</f>
        <v>0</v>
      </c>
      <c r="F85" s="400">
        <f ca="1">OFFSET(PO!$P$12,ROW($E85)-ROW(F$12),0)</f>
        <v>0</v>
      </c>
      <c r="G85" s="400"/>
      <c r="H85" s="400"/>
      <c r="I85" s="400"/>
      <c r="J85" s="400"/>
      <c r="K85" s="400"/>
      <c r="L85" s="400"/>
      <c r="M85" s="400"/>
      <c r="N85" s="400"/>
      <c r="O85" s="400"/>
      <c r="U85" s="215"/>
    </row>
    <row r="86" spans="1:21" s="4" customFormat="1" ht="38.25" x14ac:dyDescent="0.2">
      <c r="A86" s="128" t="str">
        <f ca="1">OFFSET(PO!J$12,ROW(A86)-ROW($A$12),0)</f>
        <v>Serviço</v>
      </c>
      <c r="B86" s="130" t="str">
        <f ca="1">IF($A86=0,"",OFFSET(PO!K$12,ROW(B86)-ROW(B$12),0))</f>
        <v>4.4.1.</v>
      </c>
      <c r="C86" s="127" t="str">
        <f ca="1">IF(OFFSET(PO!N$12,ROW(C86)-ROW(C$12),0)=0,"",OFFSET(PO!N$12,ROW(C86)-ROW(C$12),0))</f>
        <v/>
      </c>
      <c r="D86" s="129" t="str">
        <f ca="1">IF(OFFSET(PO!O$12,ROW(D86)-ROW(D$12),0)=0,"",OFFSET(PO!O$12,ROW(D86)-ROW(D$12),0))</f>
        <v/>
      </c>
      <c r="E86" s="165">
        <f ca="1">IF($A86&lt;&gt;"Serviço",0,ROUND(SUMIF($F$9:$P$9,"&lt;&gt;",$F86:$P86),15-13*PO!$X$3))</f>
        <v>1</v>
      </c>
      <c r="F86" s="400">
        <f ca="1">OFFSET(PO!$P$12,ROW($E86)-ROW(F$12),0)</f>
        <v>1</v>
      </c>
      <c r="G86" s="400"/>
      <c r="H86" s="400"/>
      <c r="I86" s="400"/>
      <c r="J86" s="400"/>
      <c r="K86" s="400"/>
      <c r="L86" s="400"/>
      <c r="M86" s="400"/>
      <c r="N86" s="400"/>
      <c r="O86" s="400"/>
      <c r="U86" s="215"/>
    </row>
    <row r="87" spans="1:21" s="4" customFormat="1" ht="38.25" x14ac:dyDescent="0.2">
      <c r="A87" s="128" t="str">
        <f ca="1">OFFSET(PO!J$12,ROW(A87)-ROW($A$12),0)</f>
        <v>Serviço</v>
      </c>
      <c r="B87" s="130" t="str">
        <f ca="1">IF($A87=0,"",OFFSET(PO!K$12,ROW(B87)-ROW(B$12),0))</f>
        <v>4.4.2.</v>
      </c>
      <c r="C87" s="127" t="str">
        <f ca="1">IF(OFFSET(PO!N$12,ROW(C87)-ROW(C$12),0)=0,"",OFFSET(PO!N$12,ROW(C87)-ROW(C$12),0))</f>
        <v/>
      </c>
      <c r="D87" s="129" t="str">
        <f ca="1">IF(OFFSET(PO!O$12,ROW(D87)-ROW(D$12),0)=0,"",OFFSET(PO!O$12,ROW(D87)-ROW(D$12),0))</f>
        <v/>
      </c>
      <c r="E87" s="165">
        <f ca="1">IF($A87&lt;&gt;"Serviço",0,ROUND(SUMIF($F$9:$P$9,"&lt;&gt;",$F87:$P87),15-13*PO!$X$3))</f>
        <v>108</v>
      </c>
      <c r="F87" s="400">
        <f ca="1">OFFSET(PO!$P$12,ROW($E87)-ROW(F$12),0)</f>
        <v>108</v>
      </c>
      <c r="G87" s="400"/>
      <c r="H87" s="400"/>
      <c r="I87" s="400"/>
      <c r="J87" s="400"/>
      <c r="K87" s="400"/>
      <c r="L87" s="400"/>
      <c r="M87" s="400"/>
      <c r="N87" s="400"/>
      <c r="O87" s="400"/>
      <c r="U87" s="215"/>
    </row>
    <row r="88" spans="1:21" s="4" customFormat="1" ht="38.25" x14ac:dyDescent="0.2">
      <c r="A88" s="128" t="str">
        <f ca="1">OFFSET(PO!J$12,ROW(A88)-ROW($A$12),0)</f>
        <v>Serviço</v>
      </c>
      <c r="B88" s="130" t="str">
        <f ca="1">IF($A88=0,"",OFFSET(PO!K$12,ROW(B88)-ROW(B$12),0))</f>
        <v>4.4.3.</v>
      </c>
      <c r="C88" s="127" t="str">
        <f ca="1">IF(OFFSET(PO!N$12,ROW(C88)-ROW(C$12),0)=0,"",OFFSET(PO!N$12,ROW(C88)-ROW(C$12),0))</f>
        <v/>
      </c>
      <c r="D88" s="129" t="str">
        <f ca="1">IF(OFFSET(PO!O$12,ROW(D88)-ROW(D$12),0)=0,"",OFFSET(PO!O$12,ROW(D88)-ROW(D$12),0))</f>
        <v/>
      </c>
      <c r="E88" s="165">
        <f ca="1">IF($A88&lt;&gt;"Serviço",0,ROUND(SUMIF($F$9:$P$9,"&lt;&gt;",$F88:$P88),15-13*PO!$X$3))</f>
        <v>220</v>
      </c>
      <c r="F88" s="400">
        <f ca="1">OFFSET(PO!$P$12,ROW($E88)-ROW(F$12),0)</f>
        <v>220</v>
      </c>
      <c r="G88" s="400"/>
      <c r="H88" s="400"/>
      <c r="I88" s="400"/>
      <c r="J88" s="400"/>
      <c r="K88" s="400"/>
      <c r="L88" s="400"/>
      <c r="M88" s="400"/>
      <c r="N88" s="400"/>
      <c r="O88" s="400"/>
      <c r="U88" s="215"/>
    </row>
    <row r="89" spans="1:21" s="4" customFormat="1" ht="38.25" x14ac:dyDescent="0.2">
      <c r="A89" s="128" t="str">
        <f ca="1">OFFSET(PO!J$12,ROW(A89)-ROW($A$12),0)</f>
        <v>Serviço</v>
      </c>
      <c r="B89" s="130" t="str">
        <f ca="1">IF($A89=0,"",OFFSET(PO!K$12,ROW(B89)-ROW(B$12),0))</f>
        <v>4.4.4.</v>
      </c>
      <c r="C89" s="127" t="str">
        <f ca="1">IF(OFFSET(PO!N$12,ROW(C89)-ROW(C$12),0)=0,"",OFFSET(PO!N$12,ROW(C89)-ROW(C$12),0))</f>
        <v/>
      </c>
      <c r="D89" s="129" t="str">
        <f ca="1">IF(OFFSET(PO!O$12,ROW(D89)-ROW(D$12),0)=0,"",OFFSET(PO!O$12,ROW(D89)-ROW(D$12),0))</f>
        <v/>
      </c>
      <c r="E89" s="165">
        <f ca="1">IF($A89&lt;&gt;"Serviço",0,ROUND(SUMIF($F$9:$P$9,"&lt;&gt;",$F89:$P89),15-13*PO!$X$3))</f>
        <v>132</v>
      </c>
      <c r="F89" s="400">
        <f ca="1">OFFSET(PO!$P$12,ROW($E89)-ROW(F$12),0)</f>
        <v>132</v>
      </c>
      <c r="G89" s="400"/>
      <c r="H89" s="400"/>
      <c r="I89" s="400"/>
      <c r="J89" s="400"/>
      <c r="K89" s="400"/>
      <c r="L89" s="400"/>
      <c r="M89" s="400"/>
      <c r="N89" s="400"/>
      <c r="O89" s="400"/>
      <c r="U89" s="215"/>
    </row>
    <row r="90" spans="1:21" s="4" customFormat="1" ht="25.5" x14ac:dyDescent="0.2">
      <c r="A90" s="128" t="str">
        <f ca="1">OFFSET(PO!J$12,ROW(A90)-ROW($A$12),0)</f>
        <v>Serviço</v>
      </c>
      <c r="B90" s="130" t="str">
        <f ca="1">IF($A90=0,"",OFFSET(PO!K$12,ROW(B90)-ROW(B$12),0))</f>
        <v>4.4.5.</v>
      </c>
      <c r="C90" s="127" t="str">
        <f ca="1">IF(OFFSET(PO!N$12,ROW(C90)-ROW(C$12),0)=0,"",OFFSET(PO!N$12,ROW(C90)-ROW(C$12),0))</f>
        <v/>
      </c>
      <c r="D90" s="129" t="str">
        <f ca="1">IF(OFFSET(PO!O$12,ROW(D90)-ROW(D$12),0)=0,"",OFFSET(PO!O$12,ROW(D90)-ROW(D$12),0))</f>
        <v/>
      </c>
      <c r="E90" s="165">
        <f ca="1">IF($A90&lt;&gt;"Serviço",0,ROUND(SUMIF($F$9:$P$9,"&lt;&gt;",$F90:$P90),15-13*PO!$X$3))</f>
        <v>2</v>
      </c>
      <c r="F90" s="400">
        <f ca="1">OFFSET(PO!$P$12,ROW($E90)-ROW(F$12),0)</f>
        <v>2</v>
      </c>
      <c r="G90" s="400"/>
      <c r="H90" s="400"/>
      <c r="I90" s="400"/>
      <c r="J90" s="400"/>
      <c r="K90" s="400"/>
      <c r="L90" s="400"/>
      <c r="M90" s="400"/>
      <c r="N90" s="400"/>
      <c r="O90" s="400"/>
      <c r="U90" s="215"/>
    </row>
    <row r="91" spans="1:21" s="4" customFormat="1" ht="25.5" x14ac:dyDescent="0.2">
      <c r="A91" s="128" t="str">
        <f ca="1">OFFSET(PO!J$12,ROW(A91)-ROW($A$12),0)</f>
        <v>Serviço</v>
      </c>
      <c r="B91" s="130" t="str">
        <f ca="1">IF($A91=0,"",OFFSET(PO!K$12,ROW(B91)-ROW(B$12),0))</f>
        <v>4.4.6.</v>
      </c>
      <c r="C91" s="127" t="str">
        <f ca="1">IF(OFFSET(PO!N$12,ROW(C91)-ROW(C$12),0)=0,"",OFFSET(PO!N$12,ROW(C91)-ROW(C$12),0))</f>
        <v/>
      </c>
      <c r="D91" s="129" t="str">
        <f ca="1">IF(OFFSET(PO!O$12,ROW(D91)-ROW(D$12),0)=0,"",OFFSET(PO!O$12,ROW(D91)-ROW(D$12),0))</f>
        <v/>
      </c>
      <c r="E91" s="165">
        <f ca="1">IF($A91&lt;&gt;"Serviço",0,ROUND(SUMIF($F$9:$P$9,"&lt;&gt;",$F91:$P91),15-13*PO!$X$3))</f>
        <v>2</v>
      </c>
      <c r="F91" s="400">
        <f ca="1">OFFSET(PO!$P$12,ROW($E91)-ROW(F$12),0)</f>
        <v>2</v>
      </c>
      <c r="G91" s="400"/>
      <c r="H91" s="400"/>
      <c r="I91" s="400"/>
      <c r="J91" s="400"/>
      <c r="K91" s="400"/>
      <c r="L91" s="400"/>
      <c r="M91" s="400"/>
      <c r="N91" s="400"/>
      <c r="O91" s="400"/>
      <c r="U91" s="215"/>
    </row>
    <row r="92" spans="1:21" s="4" customFormat="1" ht="25.5" x14ac:dyDescent="0.2">
      <c r="A92" s="128" t="str">
        <f ca="1">OFFSET(PO!J$12,ROW(A92)-ROW($A$12),0)</f>
        <v>Serviço</v>
      </c>
      <c r="B92" s="130" t="str">
        <f ca="1">IF($A92=0,"",OFFSET(PO!K$12,ROW(B92)-ROW(B$12),0))</f>
        <v>4.4.7.</v>
      </c>
      <c r="C92" s="127" t="str">
        <f ca="1">IF(OFFSET(PO!N$12,ROW(C92)-ROW(C$12),0)=0,"",OFFSET(PO!N$12,ROW(C92)-ROW(C$12),0))</f>
        <v/>
      </c>
      <c r="D92" s="129" t="str">
        <f ca="1">IF(OFFSET(PO!O$12,ROW(D92)-ROW(D$12),0)=0,"",OFFSET(PO!O$12,ROW(D92)-ROW(D$12),0))</f>
        <v/>
      </c>
      <c r="E92" s="165">
        <f ca="1">IF($A92&lt;&gt;"Serviço",0,ROUND(SUMIF($F$9:$P$9,"&lt;&gt;",$F92:$P92),15-13*PO!$X$3))</f>
        <v>4</v>
      </c>
      <c r="F92" s="400">
        <f ca="1">OFFSET(PO!$P$12,ROW($E92)-ROW(F$12),0)</f>
        <v>4</v>
      </c>
      <c r="G92" s="400"/>
      <c r="H92" s="400"/>
      <c r="I92" s="400"/>
      <c r="J92" s="400"/>
      <c r="K92" s="400"/>
      <c r="L92" s="400"/>
      <c r="M92" s="400"/>
      <c r="N92" s="400"/>
      <c r="O92" s="400"/>
      <c r="U92" s="215"/>
    </row>
    <row r="93" spans="1:21" s="4" customFormat="1" ht="25.5" x14ac:dyDescent="0.2">
      <c r="A93" s="128" t="str">
        <f ca="1">OFFSET(PO!J$12,ROW(A93)-ROW($A$12),0)</f>
        <v>Serviço</v>
      </c>
      <c r="B93" s="130" t="str">
        <f ca="1">IF($A93=0,"",OFFSET(PO!K$12,ROW(B93)-ROW(B$12),0))</f>
        <v>4.4.8.</v>
      </c>
      <c r="C93" s="127" t="str">
        <f ca="1">IF(OFFSET(PO!N$12,ROW(C93)-ROW(C$12),0)=0,"",OFFSET(PO!N$12,ROW(C93)-ROW(C$12),0))</f>
        <v/>
      </c>
      <c r="D93" s="129" t="str">
        <f ca="1">IF(OFFSET(PO!O$12,ROW(D93)-ROW(D$12),0)=0,"",OFFSET(PO!O$12,ROW(D93)-ROW(D$12),0))</f>
        <v/>
      </c>
      <c r="E93" s="165">
        <f ca="1">IF($A93&lt;&gt;"Serviço",0,ROUND(SUMIF($F$9:$P$9,"&lt;&gt;",$F93:$P93),15-13*PO!$X$3))</f>
        <v>1</v>
      </c>
      <c r="F93" s="400">
        <f ca="1">OFFSET(PO!$P$12,ROW($E93)-ROW(F$12),0)</f>
        <v>1</v>
      </c>
      <c r="G93" s="400"/>
      <c r="H93" s="400"/>
      <c r="I93" s="400"/>
      <c r="J93" s="400"/>
      <c r="K93" s="400"/>
      <c r="L93" s="400"/>
      <c r="M93" s="400"/>
      <c r="N93" s="400"/>
      <c r="O93" s="400"/>
      <c r="U93" s="215"/>
    </row>
    <row r="94" spans="1:21" s="4" customFormat="1" ht="38.25" x14ac:dyDescent="0.2">
      <c r="A94" s="128" t="str">
        <f ca="1">OFFSET(PO!J$12,ROW(A94)-ROW($A$12),0)</f>
        <v>Serviço</v>
      </c>
      <c r="B94" s="130" t="str">
        <f ca="1">IF($A94=0,"",OFFSET(PO!K$12,ROW(B94)-ROW(B$12),0))</f>
        <v>4.4.9.</v>
      </c>
      <c r="C94" s="127" t="str">
        <f ca="1">IF(OFFSET(PO!N$12,ROW(C94)-ROW(C$12),0)=0,"",OFFSET(PO!N$12,ROW(C94)-ROW(C$12),0))</f>
        <v/>
      </c>
      <c r="D94" s="129" t="str">
        <f ca="1">IF(OFFSET(PO!O$12,ROW(D94)-ROW(D$12),0)=0,"",OFFSET(PO!O$12,ROW(D94)-ROW(D$12),0))</f>
        <v/>
      </c>
      <c r="E94" s="165">
        <f ca="1">IF($A94&lt;&gt;"Serviço",0,ROUND(SUMIF($F$9:$P$9,"&lt;&gt;",$F94:$P94),15-13*PO!$X$3))</f>
        <v>1</v>
      </c>
      <c r="F94" s="400">
        <f ca="1">OFFSET(PO!$P$12,ROW($E94)-ROW(F$12),0)</f>
        <v>1</v>
      </c>
      <c r="G94" s="400"/>
      <c r="H94" s="400"/>
      <c r="I94" s="400"/>
      <c r="J94" s="400"/>
      <c r="K94" s="400"/>
      <c r="L94" s="400"/>
      <c r="M94" s="400"/>
      <c r="N94" s="400"/>
      <c r="O94" s="400"/>
      <c r="U94" s="215"/>
    </row>
    <row r="95" spans="1:21" s="4" customFormat="1" x14ac:dyDescent="0.2">
      <c r="A95" s="128" t="str">
        <f ca="1">OFFSET(PO!J$12,ROW(A95)-ROW($A$12),0)</f>
        <v>Serviço</v>
      </c>
      <c r="B95" s="130" t="str">
        <f ca="1">IF($A95=0,"",OFFSET(PO!K$12,ROW(B95)-ROW(B$12),0))</f>
        <v>4.4.10.</v>
      </c>
      <c r="C95" s="127" t="str">
        <f ca="1">IF(OFFSET(PO!N$12,ROW(C95)-ROW(C$12),0)=0,"",OFFSET(PO!N$12,ROW(C95)-ROW(C$12),0))</f>
        <v/>
      </c>
      <c r="D95" s="129" t="str">
        <f ca="1">IF(OFFSET(PO!O$12,ROW(D95)-ROW(D$12),0)=0,"",OFFSET(PO!O$12,ROW(D95)-ROW(D$12),0))</f>
        <v/>
      </c>
      <c r="E95" s="165">
        <f ca="1">IF($A95&lt;&gt;"Serviço",0,ROUND(SUMIF($F$9:$P$9,"&lt;&gt;",$F95:$P95),15-13*PO!$X$3))</f>
        <v>1</v>
      </c>
      <c r="F95" s="400">
        <f ca="1">OFFSET(PO!$P$12,ROW($E95)-ROW(F$12),0)</f>
        <v>1</v>
      </c>
      <c r="G95" s="400"/>
      <c r="H95" s="400"/>
      <c r="I95" s="400"/>
      <c r="J95" s="400"/>
      <c r="K95" s="400"/>
      <c r="L95" s="400"/>
      <c r="M95" s="400"/>
      <c r="N95" s="400"/>
      <c r="O95" s="400"/>
      <c r="U95" s="215"/>
    </row>
    <row r="96" spans="1:21" s="4" customFormat="1" x14ac:dyDescent="0.2">
      <c r="A96" s="128" t="str">
        <f ca="1">OFFSET(PO!J$12,ROW(A96)-ROW($A$12),0)</f>
        <v>Nível 2</v>
      </c>
      <c r="B96" s="130" t="str">
        <f ca="1">IF($A96=0,"",OFFSET(PO!K$12,ROW(B96)-ROW(B$12),0))</f>
        <v>4.5.</v>
      </c>
      <c r="C96" s="127" t="str">
        <f ca="1">IF(OFFSET(PO!N$12,ROW(C96)-ROW(C$12),0)=0,"",OFFSET(PO!N$12,ROW(C96)-ROW(C$12),0))</f>
        <v>FORRO</v>
      </c>
      <c r="D96" s="129" t="str">
        <f ca="1">IF(OFFSET(PO!O$12,ROW(D96)-ROW(D$12),0)=0,"",OFFSET(PO!O$12,ROW(D96)-ROW(D$12),0))</f>
        <v/>
      </c>
      <c r="E96" s="165">
        <f ca="1">IF($A96&lt;&gt;"Serviço",0,ROUND(SUMIF($F$9:$P$9,"&lt;&gt;",$F96:$P96),15-13*PO!$X$3))</f>
        <v>0</v>
      </c>
      <c r="F96" s="400">
        <f ca="1">OFFSET(PO!$P$12,ROW($E96)-ROW(F$12),0)</f>
        <v>0</v>
      </c>
      <c r="G96" s="400"/>
      <c r="H96" s="400"/>
      <c r="I96" s="400"/>
      <c r="J96" s="400"/>
      <c r="K96" s="400"/>
      <c r="L96" s="400"/>
      <c r="M96" s="400"/>
      <c r="N96" s="400"/>
      <c r="O96" s="400"/>
      <c r="U96" s="215"/>
    </row>
    <row r="97" spans="1:21" s="4" customFormat="1" ht="38.25" x14ac:dyDescent="0.2">
      <c r="A97" s="128" t="str">
        <f ca="1">OFFSET(PO!J$12,ROW(A97)-ROW($A$12),0)</f>
        <v>Serviço</v>
      </c>
      <c r="B97" s="130" t="str">
        <f ca="1">IF($A97=0,"",OFFSET(PO!K$12,ROW(B97)-ROW(B$12),0))</f>
        <v>4.5.1.</v>
      </c>
      <c r="C97" s="127" t="str">
        <f ca="1">IF(OFFSET(PO!N$12,ROW(C97)-ROW(C$12),0)=0,"",OFFSET(PO!N$12,ROW(C97)-ROW(C$12),0))</f>
        <v/>
      </c>
      <c r="D97" s="129" t="str">
        <f ca="1">IF(OFFSET(PO!O$12,ROW(D97)-ROW(D$12),0)=0,"",OFFSET(PO!O$12,ROW(D97)-ROW(D$12),0))</f>
        <v/>
      </c>
      <c r="E97" s="165">
        <f ca="1">IF($A97&lt;&gt;"Serviço",0,ROUND(SUMIF($F$9:$P$9,"&lt;&gt;",$F97:$P97),15-13*PO!$X$3))</f>
        <v>190.84</v>
      </c>
      <c r="F97" s="400">
        <f ca="1">OFFSET(PO!$P$12,ROW($E97)-ROW(F$12),0)</f>
        <v>190.84</v>
      </c>
      <c r="G97" s="400"/>
      <c r="H97" s="400"/>
      <c r="I97" s="400"/>
      <c r="J97" s="400"/>
      <c r="K97" s="400"/>
      <c r="L97" s="400"/>
      <c r="M97" s="400"/>
      <c r="N97" s="400"/>
      <c r="O97" s="400"/>
      <c r="U97" s="215"/>
    </row>
    <row r="98" spans="1:21" s="4" customFormat="1" ht="25.5" x14ac:dyDescent="0.2">
      <c r="A98" s="128" t="str">
        <f ca="1">OFFSET(PO!J$12,ROW(A98)-ROW($A$12),0)</f>
        <v>Serviço</v>
      </c>
      <c r="B98" s="130" t="str">
        <f ca="1">IF($A98=0,"",OFFSET(PO!K$12,ROW(B98)-ROW(B$12),0))</f>
        <v>4.5.2.</v>
      </c>
      <c r="C98" s="127" t="str">
        <f ca="1">IF(OFFSET(PO!N$12,ROW(C98)-ROW(C$12),0)=0,"",OFFSET(PO!N$12,ROW(C98)-ROW(C$12),0))</f>
        <v/>
      </c>
      <c r="D98" s="129" t="str">
        <f ca="1">IF(OFFSET(PO!O$12,ROW(D98)-ROW(D$12),0)=0,"",OFFSET(PO!O$12,ROW(D98)-ROW(D$12),0))</f>
        <v/>
      </c>
      <c r="E98" s="165">
        <f ca="1">IF($A98&lt;&gt;"Serviço",0,ROUND(SUMIF($F$9:$P$9,"&lt;&gt;",$F98:$P98),15-13*PO!$X$3))</f>
        <v>283.73</v>
      </c>
      <c r="F98" s="400">
        <f ca="1">OFFSET(PO!$P$12,ROW($E98)-ROW(F$12),0)</f>
        <v>283.73</v>
      </c>
      <c r="G98" s="400"/>
      <c r="H98" s="400"/>
      <c r="I98" s="400"/>
      <c r="J98" s="400"/>
      <c r="K98" s="400"/>
      <c r="L98" s="400"/>
      <c r="M98" s="400"/>
      <c r="N98" s="400"/>
      <c r="O98" s="400"/>
      <c r="U98" s="215"/>
    </row>
    <row r="99" spans="1:21" s="4" customFormat="1" x14ac:dyDescent="0.2">
      <c r="A99" s="128" t="str">
        <f ca="1">OFFSET(PO!J$12,ROW(A99)-ROW($A$12),0)</f>
        <v>Serviço</v>
      </c>
      <c r="B99" s="130" t="str">
        <f ca="1">IF($A99=0,"",OFFSET(PO!K$12,ROW(B99)-ROW(B$12),0))</f>
        <v>4.5.3.</v>
      </c>
      <c r="C99" s="127" t="str">
        <f ca="1">IF(OFFSET(PO!N$12,ROW(C99)-ROW(C$12),0)=0,"",OFFSET(PO!N$12,ROW(C99)-ROW(C$12),0))</f>
        <v/>
      </c>
      <c r="D99" s="129" t="str">
        <f ca="1">IF(OFFSET(PO!O$12,ROW(D99)-ROW(D$12),0)=0,"",OFFSET(PO!O$12,ROW(D99)-ROW(D$12),0))</f>
        <v/>
      </c>
      <c r="E99" s="165">
        <f ca="1">IF($A99&lt;&gt;"Serviço",0,ROUND(SUMIF($F$9:$P$9,"&lt;&gt;",$F99:$P99),15-13*PO!$X$3))</f>
        <v>55.21</v>
      </c>
      <c r="F99" s="400">
        <f ca="1">OFFSET(PO!$P$12,ROW($E99)-ROW(F$12),0)</f>
        <v>55.21</v>
      </c>
      <c r="G99" s="400"/>
      <c r="H99" s="400"/>
      <c r="I99" s="400"/>
      <c r="J99" s="400"/>
      <c r="K99" s="400"/>
      <c r="L99" s="400"/>
      <c r="M99" s="400"/>
      <c r="N99" s="400"/>
      <c r="O99" s="400"/>
      <c r="U99" s="215"/>
    </row>
    <row r="100" spans="1:21" s="4" customFormat="1" x14ac:dyDescent="0.2">
      <c r="A100" s="128" t="str">
        <f ca="1">OFFSET(PO!J$12,ROW(A100)-ROW($A$12),0)</f>
        <v>Nível 2</v>
      </c>
      <c r="B100" s="130" t="str">
        <f ca="1">IF($A100=0,"",OFFSET(PO!K$12,ROW(B100)-ROW(B$12),0))</f>
        <v>4.6.</v>
      </c>
      <c r="C100" s="127" t="str">
        <f ca="1">IF(OFFSET(PO!N$12,ROW(C100)-ROW(C$12),0)=0,"",OFFSET(PO!N$12,ROW(C100)-ROW(C$12),0))</f>
        <v>PINTURA</v>
      </c>
      <c r="D100" s="129" t="str">
        <f ca="1">IF(OFFSET(PO!O$12,ROW(D100)-ROW(D$12),0)=0,"",OFFSET(PO!O$12,ROW(D100)-ROW(D$12),0))</f>
        <v/>
      </c>
      <c r="E100" s="165">
        <f ca="1">IF($A100&lt;&gt;"Serviço",0,ROUND(SUMIF($F$9:$P$9,"&lt;&gt;",$F100:$P100),15-13*PO!$X$3))</f>
        <v>0</v>
      </c>
      <c r="F100" s="400">
        <f ca="1">OFFSET(PO!$P$12,ROW($E100)-ROW(F$12),0)</f>
        <v>0</v>
      </c>
      <c r="G100" s="400"/>
      <c r="H100" s="400"/>
      <c r="I100" s="400"/>
      <c r="J100" s="400"/>
      <c r="K100" s="400"/>
      <c r="L100" s="400"/>
      <c r="M100" s="400"/>
      <c r="N100" s="400"/>
      <c r="O100" s="400"/>
      <c r="U100" s="215"/>
    </row>
    <row r="101" spans="1:21" s="4" customFormat="1" ht="38.25" x14ac:dyDescent="0.2">
      <c r="A101" s="128" t="str">
        <f ca="1">OFFSET(PO!J$12,ROW(A101)-ROW($A$12),0)</f>
        <v>Serviço</v>
      </c>
      <c r="B101" s="130" t="str">
        <f ca="1">IF($A101=0,"",OFFSET(PO!K$12,ROW(B101)-ROW(B$12),0))</f>
        <v>4.6.1.</v>
      </c>
      <c r="C101" s="127" t="str">
        <f ca="1">IF(OFFSET(PO!N$12,ROW(C101)-ROW(C$12),0)=0,"",OFFSET(PO!N$12,ROW(C101)-ROW(C$12),0))</f>
        <v/>
      </c>
      <c r="D101" s="129" t="str">
        <f ca="1">IF(OFFSET(PO!O$12,ROW(D101)-ROW(D$12),0)=0,"",OFFSET(PO!O$12,ROW(D101)-ROW(D$12),0))</f>
        <v/>
      </c>
      <c r="E101" s="165">
        <f ca="1">IF($A101&lt;&gt;"Serviço",0,ROUND(SUMIF($F$9:$P$9,"&lt;&gt;",$F101:$P101),15-13*PO!$X$3))</f>
        <v>10</v>
      </c>
      <c r="F101" s="400">
        <f ca="1">OFFSET(PO!$P$12,ROW($E101)-ROW(F$12),0)</f>
        <v>10</v>
      </c>
      <c r="G101" s="400"/>
      <c r="H101" s="400"/>
      <c r="I101" s="400"/>
      <c r="J101" s="400"/>
      <c r="K101" s="400"/>
      <c r="L101" s="400"/>
      <c r="M101" s="400"/>
      <c r="N101" s="400"/>
      <c r="O101" s="400"/>
      <c r="U101" s="215"/>
    </row>
    <row r="102" spans="1:21" s="4" customFormat="1" x14ac:dyDescent="0.2">
      <c r="A102" s="128" t="str">
        <f ca="1">OFFSET(PO!J$12,ROW(A102)-ROW($A$12),0)</f>
        <v>Serviço</v>
      </c>
      <c r="B102" s="130" t="str">
        <f ca="1">IF($A102=0,"",OFFSET(PO!K$12,ROW(B102)-ROW(B$12),0))</f>
        <v>4.6.2.</v>
      </c>
      <c r="C102" s="127" t="str">
        <f ca="1">IF(OFFSET(PO!N$12,ROW(C102)-ROW(C$12),0)=0,"",OFFSET(PO!N$12,ROW(C102)-ROW(C$12),0))</f>
        <v/>
      </c>
      <c r="D102" s="129" t="str">
        <f ca="1">IF(OFFSET(PO!O$12,ROW(D102)-ROW(D$12),0)=0,"",OFFSET(PO!O$12,ROW(D102)-ROW(D$12),0))</f>
        <v/>
      </c>
      <c r="E102" s="165">
        <f ca="1">IF($A102&lt;&gt;"Serviço",0,ROUND(SUMIF($F$9:$P$9,"&lt;&gt;",$F102:$P102),15-13*PO!$X$3))</f>
        <v>8.2799999999999994</v>
      </c>
      <c r="F102" s="400">
        <f ca="1">OFFSET(PO!$P$12,ROW($E102)-ROW(F$12),0)</f>
        <v>8.2799999999999994</v>
      </c>
      <c r="G102" s="400"/>
      <c r="H102" s="400"/>
      <c r="I102" s="400"/>
      <c r="J102" s="400"/>
      <c r="K102" s="400"/>
      <c r="L102" s="400"/>
      <c r="M102" s="400"/>
      <c r="N102" s="400"/>
      <c r="O102" s="400"/>
      <c r="U102" s="215"/>
    </row>
    <row r="103" spans="1:21" s="4" customFormat="1" x14ac:dyDescent="0.2">
      <c r="A103" s="128" t="str">
        <f ca="1">OFFSET(PO!J$12,ROW(A103)-ROW($A$12),0)</f>
        <v>Nível 2</v>
      </c>
      <c r="B103" s="130" t="str">
        <f ca="1">IF($A103=0,"",OFFSET(PO!K$12,ROW(B103)-ROW(B$12),0))</f>
        <v>4.7.</v>
      </c>
      <c r="C103" s="127" t="str">
        <f ca="1">IF(OFFSET(PO!N$12,ROW(C103)-ROW(C$12),0)=0,"",OFFSET(PO!N$12,ROW(C103)-ROW(C$12),0))</f>
        <v>PISO CALÇADAS</v>
      </c>
      <c r="D103" s="129" t="str">
        <f ca="1">IF(OFFSET(PO!O$12,ROW(D103)-ROW(D$12),0)=0,"",OFFSET(PO!O$12,ROW(D103)-ROW(D$12),0))</f>
        <v/>
      </c>
      <c r="E103" s="165">
        <f ca="1">IF($A103&lt;&gt;"Serviço",0,ROUND(SUMIF($F$9:$P$9,"&lt;&gt;",$F103:$P103),15-13*PO!$X$3))</f>
        <v>0</v>
      </c>
      <c r="F103" s="400">
        <f ca="1">OFFSET(PO!$P$12,ROW($E103)-ROW(F$12),0)</f>
        <v>0</v>
      </c>
      <c r="G103" s="400"/>
      <c r="H103" s="400"/>
      <c r="I103" s="400"/>
      <c r="J103" s="400"/>
      <c r="K103" s="400"/>
      <c r="L103" s="400"/>
      <c r="M103" s="400"/>
      <c r="N103" s="400"/>
      <c r="O103" s="400"/>
      <c r="U103" s="215"/>
    </row>
    <row r="104" spans="1:21" s="4" customFormat="1" x14ac:dyDescent="0.2">
      <c r="A104" s="128" t="str">
        <f ca="1">OFFSET(PO!J$12,ROW(A104)-ROW($A$12),0)</f>
        <v>Serviço</v>
      </c>
      <c r="B104" s="130" t="str">
        <f ca="1">IF($A104=0,"",OFFSET(PO!K$12,ROW(B104)-ROW(B$12),0))</f>
        <v>4.7.1.</v>
      </c>
      <c r="C104" s="127" t="str">
        <f ca="1">IF(OFFSET(PO!N$12,ROW(C104)-ROW(C$12),0)=0,"",OFFSET(PO!N$12,ROW(C104)-ROW(C$12),0))</f>
        <v/>
      </c>
      <c r="D104" s="129" t="str">
        <f ca="1">IF(OFFSET(PO!O$12,ROW(D104)-ROW(D$12),0)=0,"",OFFSET(PO!O$12,ROW(D104)-ROW(D$12),0))</f>
        <v/>
      </c>
      <c r="E104" s="165">
        <f ca="1">IF($A104&lt;&gt;"Serviço",0,ROUND(SUMIF($F$9:$P$9,"&lt;&gt;",$F104:$P104),15-13*PO!$X$3))</f>
        <v>3</v>
      </c>
      <c r="F104" s="400">
        <f ca="1">OFFSET(PO!$P$12,ROW($E104)-ROW(F$12),0)</f>
        <v>3</v>
      </c>
      <c r="G104" s="400"/>
      <c r="H104" s="400"/>
      <c r="I104" s="400"/>
      <c r="J104" s="400"/>
      <c r="K104" s="400"/>
      <c r="L104" s="400"/>
      <c r="M104" s="400"/>
      <c r="N104" s="400"/>
      <c r="O104" s="400"/>
      <c r="U104" s="215"/>
    </row>
    <row r="105" spans="1:21" s="4" customFormat="1" ht="25.5" x14ac:dyDescent="0.2">
      <c r="A105" s="128" t="str">
        <f ca="1">OFFSET(PO!J$12,ROW(A105)-ROW($A$12),0)</f>
        <v>Serviço</v>
      </c>
      <c r="B105" s="130" t="str">
        <f ca="1">IF($A105=0,"",OFFSET(PO!K$12,ROW(B105)-ROW(B$12),0))</f>
        <v>4.7.2.</v>
      </c>
      <c r="C105" s="127" t="str">
        <f ca="1">IF(OFFSET(PO!N$12,ROW(C105)-ROW(C$12),0)=0,"",OFFSET(PO!N$12,ROW(C105)-ROW(C$12),0))</f>
        <v/>
      </c>
      <c r="D105" s="129" t="str">
        <f ca="1">IF(OFFSET(PO!O$12,ROW(D105)-ROW(D$12),0)=0,"",OFFSET(PO!O$12,ROW(D105)-ROW(D$12),0))</f>
        <v/>
      </c>
      <c r="E105" s="165">
        <f ca="1">IF($A105&lt;&gt;"Serviço",0,ROUND(SUMIF($F$9:$P$9,"&lt;&gt;",$F105:$P105),15-13*PO!$X$3))</f>
        <v>70.62</v>
      </c>
      <c r="F105" s="400">
        <f ca="1">OFFSET(PO!$P$12,ROW($E105)-ROW(F$12),0)</f>
        <v>70.62</v>
      </c>
      <c r="G105" s="400"/>
      <c r="H105" s="400"/>
      <c r="I105" s="400"/>
      <c r="J105" s="400"/>
      <c r="K105" s="400"/>
      <c r="L105" s="400"/>
      <c r="M105" s="400"/>
      <c r="N105" s="400"/>
      <c r="O105" s="400"/>
      <c r="U105" s="215"/>
    </row>
    <row r="106" spans="1:21" s="4" customFormat="1" ht="25.5" x14ac:dyDescent="0.2">
      <c r="A106" s="128" t="str">
        <f ca="1">OFFSET(PO!J$12,ROW(A106)-ROW($A$12),0)</f>
        <v>Serviço</v>
      </c>
      <c r="B106" s="130" t="str">
        <f ca="1">IF($A106=0,"",OFFSET(PO!K$12,ROW(B106)-ROW(B$12),0))</f>
        <v>4.7.3.</v>
      </c>
      <c r="C106" s="127" t="str">
        <f ca="1">IF(OFFSET(PO!N$12,ROW(C106)-ROW(C$12),0)=0,"",OFFSET(PO!N$12,ROW(C106)-ROW(C$12),0))</f>
        <v/>
      </c>
      <c r="D106" s="129" t="str">
        <f ca="1">IF(OFFSET(PO!O$12,ROW(D106)-ROW(D$12),0)=0,"",OFFSET(PO!O$12,ROW(D106)-ROW(D$12),0))</f>
        <v/>
      </c>
      <c r="E106" s="165">
        <f ca="1">IF($A106&lt;&gt;"Serviço",0,ROUND(SUMIF($F$9:$P$9,"&lt;&gt;",$F106:$P106),15-13*PO!$X$3))</f>
        <v>1.18</v>
      </c>
      <c r="F106" s="400">
        <f ca="1">OFFSET(PO!$P$12,ROW($E106)-ROW(F$12),0)</f>
        <v>1.1768999999999998</v>
      </c>
      <c r="G106" s="400"/>
      <c r="H106" s="400"/>
      <c r="I106" s="400"/>
      <c r="J106" s="400"/>
      <c r="K106" s="400"/>
      <c r="L106" s="400"/>
      <c r="M106" s="400"/>
      <c r="N106" s="400"/>
      <c r="O106" s="400"/>
      <c r="U106" s="215"/>
    </row>
    <row r="107" spans="1:21" s="4" customFormat="1" ht="38.25" x14ac:dyDescent="0.2">
      <c r="A107" s="128" t="str">
        <f ca="1">OFFSET(PO!J$12,ROW(A107)-ROW($A$12),0)</f>
        <v>Serviço</v>
      </c>
      <c r="B107" s="130" t="str">
        <f ca="1">IF($A107=0,"",OFFSET(PO!K$12,ROW(B107)-ROW(B$12),0))</f>
        <v>4.7.4.</v>
      </c>
      <c r="C107" s="127" t="str">
        <f ca="1">IF(OFFSET(PO!N$12,ROW(C107)-ROW(C$12),0)=0,"",OFFSET(PO!N$12,ROW(C107)-ROW(C$12),0))</f>
        <v/>
      </c>
      <c r="D107" s="129" t="str">
        <f ca="1">IF(OFFSET(PO!O$12,ROW(D107)-ROW(D$12),0)=0,"",OFFSET(PO!O$12,ROW(D107)-ROW(D$12),0))</f>
        <v/>
      </c>
      <c r="E107" s="165">
        <f ca="1">IF($A107&lt;&gt;"Serviço",0,ROUND(SUMIF($F$9:$P$9,"&lt;&gt;",$F107:$P107),15-13*PO!$X$3))</f>
        <v>15.3</v>
      </c>
      <c r="F107" s="400">
        <f ca="1">OFFSET(PO!$P$12,ROW($E107)-ROW(F$12),0)</f>
        <v>15.299699999999998</v>
      </c>
      <c r="G107" s="400"/>
      <c r="H107" s="400"/>
      <c r="I107" s="400"/>
      <c r="J107" s="400"/>
      <c r="K107" s="400"/>
      <c r="L107" s="400"/>
      <c r="M107" s="400"/>
      <c r="N107" s="400"/>
      <c r="O107" s="400"/>
      <c r="U107" s="215"/>
    </row>
    <row r="108" spans="1:21" s="4" customFormat="1" x14ac:dyDescent="0.2">
      <c r="A108" s="128" t="str">
        <f ca="1">OFFSET(PO!J$12,ROW(A108)-ROW($A$12),0)</f>
        <v>Serviço</v>
      </c>
      <c r="B108" s="130" t="str">
        <f ca="1">IF($A108=0,"",OFFSET(PO!K$12,ROW(B108)-ROW(B$12),0))</f>
        <v>4.7.5.</v>
      </c>
      <c r="C108" s="127" t="str">
        <f ca="1">IF(OFFSET(PO!N$12,ROW(C108)-ROW(C$12),0)=0,"",OFFSET(PO!N$12,ROW(C108)-ROW(C$12),0))</f>
        <v/>
      </c>
      <c r="D108" s="129" t="str">
        <f ca="1">IF(OFFSET(PO!O$12,ROW(D108)-ROW(D$12),0)=0,"",OFFSET(PO!O$12,ROW(D108)-ROW(D$12),0))</f>
        <v/>
      </c>
      <c r="E108" s="165">
        <f ca="1">IF($A108&lt;&gt;"Serviço",0,ROUND(SUMIF($F$9:$P$9,"&lt;&gt;",$F108:$P108),15-13*PO!$X$3))</f>
        <v>10</v>
      </c>
      <c r="F108" s="400">
        <f ca="1">OFFSET(PO!$P$12,ROW($E108)-ROW(F$12),0)</f>
        <v>10</v>
      </c>
      <c r="G108" s="400"/>
      <c r="H108" s="400"/>
      <c r="I108" s="400"/>
      <c r="J108" s="400"/>
      <c r="K108" s="400"/>
      <c r="L108" s="400"/>
      <c r="M108" s="400"/>
      <c r="N108" s="400"/>
      <c r="O108" s="400"/>
      <c r="U108" s="215"/>
    </row>
    <row r="109" spans="1:21" s="4" customFormat="1" ht="25.5" x14ac:dyDescent="0.2">
      <c r="A109" s="128" t="str">
        <f ca="1">OFFSET(PO!J$12,ROW(A109)-ROW($A$12),0)</f>
        <v>Serviço</v>
      </c>
      <c r="B109" s="130" t="str">
        <f ca="1">IF($A109=0,"",OFFSET(PO!K$12,ROW(B109)-ROW(B$12),0))</f>
        <v>4.7.6.</v>
      </c>
      <c r="C109" s="127" t="str">
        <f ca="1">IF(OFFSET(PO!N$12,ROW(C109)-ROW(C$12),0)=0,"",OFFSET(PO!N$12,ROW(C109)-ROW(C$12),0))</f>
        <v/>
      </c>
      <c r="D109" s="129" t="str">
        <f ca="1">IF(OFFSET(PO!O$12,ROW(D109)-ROW(D$12),0)=0,"",OFFSET(PO!O$12,ROW(D109)-ROW(D$12),0))</f>
        <v/>
      </c>
      <c r="E109" s="165">
        <f ca="1">IF($A109&lt;&gt;"Serviço",0,ROUND(SUMIF($F$9:$P$9,"&lt;&gt;",$F109:$P109),15-13*PO!$X$3))</f>
        <v>39.229999999999997</v>
      </c>
      <c r="F109" s="400">
        <f ca="1">OFFSET(PO!$P$12,ROW($E109)-ROW(F$12),0)</f>
        <v>39.229999999999997</v>
      </c>
      <c r="G109" s="400"/>
      <c r="H109" s="400"/>
      <c r="I109" s="400"/>
      <c r="J109" s="400"/>
      <c r="K109" s="400"/>
      <c r="L109" s="400"/>
      <c r="M109" s="400"/>
      <c r="N109" s="400"/>
      <c r="O109" s="400"/>
      <c r="U109" s="215"/>
    </row>
    <row r="110" spans="1:21" s="4" customFormat="1" ht="25.5" x14ac:dyDescent="0.2">
      <c r="A110" s="128" t="str">
        <f ca="1">OFFSET(PO!J$12,ROW(A110)-ROW($A$12),0)</f>
        <v>Serviço</v>
      </c>
      <c r="B110" s="130" t="str">
        <f ca="1">IF($A110=0,"",OFFSET(PO!K$12,ROW(B110)-ROW(B$12),0))</f>
        <v>4.7.7.</v>
      </c>
      <c r="C110" s="127" t="str">
        <f ca="1">IF(OFFSET(PO!N$12,ROW(C110)-ROW(C$12),0)=0,"",OFFSET(PO!N$12,ROW(C110)-ROW(C$12),0))</f>
        <v/>
      </c>
      <c r="D110" s="129" t="str">
        <f ca="1">IF(OFFSET(PO!O$12,ROW(D110)-ROW(D$12),0)=0,"",OFFSET(PO!O$12,ROW(D110)-ROW(D$12),0))</f>
        <v/>
      </c>
      <c r="E110" s="165">
        <f ca="1">IF($A110&lt;&gt;"Serviço",0,ROUND(SUMIF($F$9:$P$9,"&lt;&gt;",$F110:$P110),15-13*PO!$X$3))</f>
        <v>12.19</v>
      </c>
      <c r="F110" s="400">
        <f ca="1">OFFSET(PO!$P$12,ROW($E110)-ROW(F$12),0)</f>
        <v>12.19</v>
      </c>
      <c r="G110" s="400"/>
      <c r="H110" s="400"/>
      <c r="I110" s="400"/>
      <c r="J110" s="400"/>
      <c r="K110" s="400"/>
      <c r="L110" s="400"/>
      <c r="M110" s="400"/>
      <c r="N110" s="400"/>
      <c r="O110" s="400"/>
      <c r="U110" s="215"/>
    </row>
    <row r="111" spans="1:21" s="4" customFormat="1" x14ac:dyDescent="0.2">
      <c r="A111" s="83"/>
      <c r="B111" s="83"/>
      <c r="C111" s="83"/>
      <c r="D111" s="83"/>
      <c r="E111" s="83"/>
      <c r="F111" s="83"/>
      <c r="G111" s="83"/>
      <c r="H111" s="83"/>
      <c r="I111" s="83"/>
      <c r="J111" s="83"/>
      <c r="K111" s="83"/>
      <c r="L111" s="83"/>
      <c r="M111" s="83"/>
      <c r="N111" s="83"/>
      <c r="O111" s="83"/>
      <c r="U111" s="83"/>
    </row>
    <row r="112" spans="1:21" s="4" customFormat="1" x14ac:dyDescent="0.2">
      <c r="B112" s="9"/>
      <c r="C112" s="14"/>
      <c r="D112" s="9"/>
      <c r="E112" s="16"/>
      <c r="F112" s="16"/>
      <c r="G112" s="16"/>
      <c r="H112" s="16"/>
      <c r="I112" s="16"/>
      <c r="J112" s="16"/>
      <c r="K112" s="16"/>
      <c r="L112" s="16"/>
      <c r="M112" s="16"/>
      <c r="N112" s="16"/>
      <c r="O112" s="16"/>
      <c r="U112" s="16"/>
    </row>
    <row r="113" spans="2:21" s="4" customFormat="1" x14ac:dyDescent="0.2">
      <c r="B113" s="371" t="str">
        <f>PO!$K$122</f>
        <v>CONSTANTINA - RS</v>
      </c>
      <c r="C113" s="371"/>
      <c r="D113" s="9"/>
      <c r="E113" s="16"/>
      <c r="F113" s="16"/>
      <c r="G113" s="16"/>
      <c r="H113" s="16"/>
      <c r="I113" s="16"/>
      <c r="J113" s="16"/>
      <c r="K113" s="16"/>
      <c r="L113" s="16"/>
      <c r="M113" s="16"/>
      <c r="N113" s="16"/>
      <c r="O113" s="16"/>
      <c r="U113" s="16"/>
    </row>
    <row r="114" spans="2:21" s="4" customFormat="1" x14ac:dyDescent="0.2">
      <c r="B114" s="113" t="s">
        <v>120</v>
      </c>
      <c r="C114" s="14"/>
      <c r="D114" s="9"/>
      <c r="E114" s="16"/>
      <c r="F114" s="16"/>
      <c r="G114" s="16"/>
      <c r="H114" s="16"/>
      <c r="I114" s="16"/>
      <c r="J114" s="16"/>
      <c r="K114" s="16"/>
      <c r="L114" s="16"/>
      <c r="M114" s="16"/>
      <c r="N114" s="16"/>
      <c r="O114" s="16"/>
      <c r="U114" s="16"/>
    </row>
    <row r="115" spans="2:21" s="4" customFormat="1" x14ac:dyDescent="0.2">
      <c r="B115" s="14"/>
      <c r="C115" s="14"/>
      <c r="D115" s="9"/>
      <c r="E115" s="16"/>
      <c r="F115" s="16"/>
      <c r="G115" s="16"/>
      <c r="H115" s="16"/>
      <c r="I115" s="16"/>
      <c r="J115" s="16"/>
      <c r="K115" s="16"/>
      <c r="L115" s="16"/>
      <c r="M115" s="16"/>
      <c r="N115" s="16"/>
      <c r="O115" s="16"/>
      <c r="U115" s="16"/>
    </row>
    <row r="116" spans="2:21" s="4" customFormat="1" x14ac:dyDescent="0.2">
      <c r="B116" s="372">
        <f ca="1">PO!$K$125</f>
        <v>45275</v>
      </c>
      <c r="C116" s="372"/>
      <c r="D116" s="9"/>
      <c r="E116" s="16"/>
      <c r="F116" s="16"/>
      <c r="G116" s="16"/>
      <c r="H116" s="16"/>
      <c r="I116" s="16"/>
      <c r="J116" s="16"/>
      <c r="K116" s="16"/>
      <c r="L116" s="16"/>
      <c r="M116" s="16"/>
      <c r="N116" s="16"/>
      <c r="O116" s="16"/>
      <c r="U116" s="16"/>
    </row>
    <row r="117" spans="2:21" s="4" customFormat="1" x14ac:dyDescent="0.2">
      <c r="B117" s="142" t="s">
        <v>121</v>
      </c>
      <c r="C117" s="143"/>
      <c r="D117" s="9"/>
      <c r="E117" s="16"/>
      <c r="F117" s="16"/>
      <c r="G117" s="16"/>
      <c r="H117" s="16"/>
      <c r="I117" s="16"/>
      <c r="J117" s="16"/>
      <c r="K117" s="16"/>
      <c r="L117" s="16"/>
      <c r="M117" s="16"/>
      <c r="N117" s="16"/>
      <c r="O117" s="16"/>
      <c r="U117" s="16"/>
    </row>
  </sheetData>
  <sheetProtection algorithmName="SHA-512" hashValue="7p+/TTQVJbckTvYidEUK2BAUIePyEjn0vbMWP96A+9L6Yb36Q5RBJ1GpHPaVTHWnwYudJCCitcrJuJkYVkLDwQ==" saltValue="klR+rmK+H36jdZH7QTmO0Q==" spinCount="100000" sheet="1" objects="1" scenarios="1"/>
  <mergeCells count="2">
    <mergeCell ref="B113:C113"/>
    <mergeCell ref="B116:C116"/>
  </mergeCells>
  <phoneticPr fontId="25" type="noConversion"/>
  <conditionalFormatting sqref="D11:E11 D74:E74 D13:E13 D30:E30 D104:E104 D90:E92 D88:E88 D28:E28 D56:E56 D76:E76 D85:E86 D35:E40 D67:E67">
    <cfRule type="expression" dxfId="418" priority="2094" stopIfTrue="1">
      <formula>$A11="Meta"</formula>
    </cfRule>
    <cfRule type="expression" dxfId="417" priority="2095" stopIfTrue="1">
      <formula>$A11&lt;&gt;"Serviço"</formula>
    </cfRule>
  </conditionalFormatting>
  <conditionalFormatting sqref="C11 C74 C13 C30 C104 C90:C92 C88 C28 C56 C76 C85:C86 C35:C40 C67">
    <cfRule type="expression" dxfId="416" priority="2096" stopIfTrue="1">
      <formula>$A11="Meta"</formula>
    </cfRule>
    <cfRule type="expression" dxfId="415" priority="2097" stopIfTrue="1">
      <formula>$A11&lt;&gt;"Serviço"</formula>
    </cfRule>
  </conditionalFormatting>
  <conditionalFormatting sqref="A11:B11 A74:B74 A13:B13 A30:B30 A104:B104 A90:B92 A88:B88 A28:B28 A56:B56 A76:B76 A85:B86 A35:B40 A67:B67">
    <cfRule type="expression" dxfId="414" priority="2098" stopIfTrue="1">
      <formula>$A11="Meta"</formula>
    </cfRule>
    <cfRule type="expression" dxfId="413" priority="2099" stopIfTrue="1">
      <formula>LEFT($A11,5)="Nível"</formula>
    </cfRule>
    <cfRule type="expression" dxfId="412" priority="2100" stopIfTrue="1">
      <formula>$A11=0</formula>
    </cfRule>
  </conditionalFormatting>
  <conditionalFormatting sqref="U11 U13 F13:O13 F27:O54 U27:U54 U67:U94 F67:O94 U56:U63 F56:O63 F96:O101 U96:U101 F103:O110 U103:U110">
    <cfRule type="expression" dxfId="411" priority="2110" stopIfTrue="1">
      <formula>$A11="Meta"</formula>
    </cfRule>
    <cfRule type="expression" dxfId="410" priority="2111" stopIfTrue="1">
      <formula>OR(F$9=0,$A11&lt;&gt;"Serviço")</formula>
    </cfRule>
    <cfRule type="expression" dxfId="409" priority="2112" stopIfTrue="1">
      <formula>TipoOrçamento="Licitado"</formula>
    </cfRule>
  </conditionalFormatting>
  <conditionalFormatting sqref="U9">
    <cfRule type="expression" dxfId="408" priority="1532" stopIfTrue="1">
      <formula>AND(T9=0,U9=0)</formula>
    </cfRule>
    <cfRule type="expression" dxfId="407" priority="1533" stopIfTrue="1">
      <formula>TipoOrçamento="Licitado"</formula>
    </cfRule>
  </conditionalFormatting>
  <conditionalFormatting sqref="F11:O11">
    <cfRule type="expression" dxfId="406" priority="1492" stopIfTrue="1">
      <formula>$A11="Meta"</formula>
    </cfRule>
    <cfRule type="expression" dxfId="405" priority="1493" stopIfTrue="1">
      <formula>OR(F$9=0,$A11&lt;&gt;"Serviço")</formula>
    </cfRule>
    <cfRule type="expression" dxfId="404" priority="1494" stopIfTrue="1">
      <formula>TipoOrçamento="Licitado"</formula>
    </cfRule>
  </conditionalFormatting>
  <conditionalFormatting sqref="F9:O9">
    <cfRule type="expression" dxfId="403" priority="1490" stopIfTrue="1">
      <formula>AND(E9=0,F9=0)</formula>
    </cfRule>
    <cfRule type="expression" dxfId="402" priority="1491" stopIfTrue="1">
      <formula>TipoOrçamento="Licitado"</formula>
    </cfRule>
  </conditionalFormatting>
  <conditionalFormatting sqref="D29:E29 D47:E51">
    <cfRule type="expression" dxfId="401" priority="1408" stopIfTrue="1">
      <formula>$A29="Meta"</formula>
    </cfRule>
    <cfRule type="expression" dxfId="400" priority="1409" stopIfTrue="1">
      <formula>$A29&lt;&gt;"Serviço"</formula>
    </cfRule>
  </conditionalFormatting>
  <conditionalFormatting sqref="C29 C47:C51">
    <cfRule type="expression" dxfId="399" priority="1410" stopIfTrue="1">
      <formula>$A29="Meta"</formula>
    </cfRule>
    <cfRule type="expression" dxfId="398" priority="1411" stopIfTrue="1">
      <formula>$A29&lt;&gt;"Serviço"</formula>
    </cfRule>
  </conditionalFormatting>
  <conditionalFormatting sqref="A29:B29 A47:B51">
    <cfRule type="expression" dxfId="397" priority="1412" stopIfTrue="1">
      <formula>$A29="Meta"</formula>
    </cfRule>
    <cfRule type="expression" dxfId="396" priority="1413" stopIfTrue="1">
      <formula>LEFT($A29,5)="Nível"</formula>
    </cfRule>
    <cfRule type="expression" dxfId="395" priority="1414" stopIfTrue="1">
      <formula>$A29=0</formula>
    </cfRule>
  </conditionalFormatting>
  <conditionalFormatting sqref="D41:E42">
    <cfRule type="expression" dxfId="394" priority="1369" stopIfTrue="1">
      <formula>$A41="Meta"</formula>
    </cfRule>
    <cfRule type="expression" dxfId="393" priority="1370" stopIfTrue="1">
      <formula>$A41&lt;&gt;"Serviço"</formula>
    </cfRule>
  </conditionalFormatting>
  <conditionalFormatting sqref="C41:C42">
    <cfRule type="expression" dxfId="392" priority="1371" stopIfTrue="1">
      <formula>$A41="Meta"</formula>
    </cfRule>
    <cfRule type="expression" dxfId="391" priority="1372" stopIfTrue="1">
      <formula>$A41&lt;&gt;"Serviço"</formula>
    </cfRule>
  </conditionalFormatting>
  <conditionalFormatting sqref="A41:B42">
    <cfRule type="expression" dxfId="390" priority="1373" stopIfTrue="1">
      <formula>$A41="Meta"</formula>
    </cfRule>
    <cfRule type="expression" dxfId="389" priority="1374" stopIfTrue="1">
      <formula>LEFT($A41,5)="Nível"</formula>
    </cfRule>
    <cfRule type="expression" dxfId="388" priority="1375" stopIfTrue="1">
      <formula>$A41=0</formula>
    </cfRule>
  </conditionalFormatting>
  <conditionalFormatting sqref="D80:E80 D68:E68 D83:E83">
    <cfRule type="expression" dxfId="387" priority="1356" stopIfTrue="1">
      <formula>$A68="Meta"</formula>
    </cfRule>
    <cfRule type="expression" dxfId="386" priority="1357" stopIfTrue="1">
      <formula>$A68&lt;&gt;"Serviço"</formula>
    </cfRule>
  </conditionalFormatting>
  <conditionalFormatting sqref="C80 C68 C83">
    <cfRule type="expression" dxfId="385" priority="1358" stopIfTrue="1">
      <formula>$A68="Meta"</formula>
    </cfRule>
    <cfRule type="expression" dxfId="384" priority="1359" stopIfTrue="1">
      <formula>$A68&lt;&gt;"Serviço"</formula>
    </cfRule>
  </conditionalFormatting>
  <conditionalFormatting sqref="A80:B80 A68:B68 A83:B83">
    <cfRule type="expression" dxfId="383" priority="1360" stopIfTrue="1">
      <formula>$A68="Meta"</formula>
    </cfRule>
    <cfRule type="expression" dxfId="382" priority="1361" stopIfTrue="1">
      <formula>LEFT($A68,5)="Nível"</formula>
    </cfRule>
    <cfRule type="expression" dxfId="381" priority="1362" stopIfTrue="1">
      <formula>$A68=0</formula>
    </cfRule>
  </conditionalFormatting>
  <conditionalFormatting sqref="D87:E87 D100:E101 D89:E89">
    <cfRule type="expression" dxfId="380" priority="1343" stopIfTrue="1">
      <formula>$A87="Meta"</formula>
    </cfRule>
    <cfRule type="expression" dxfId="379" priority="1344" stopIfTrue="1">
      <formula>$A87&lt;&gt;"Serviço"</formula>
    </cfRule>
  </conditionalFormatting>
  <conditionalFormatting sqref="C87 C100:C101 C89">
    <cfRule type="expression" dxfId="378" priority="1345" stopIfTrue="1">
      <formula>$A87="Meta"</formula>
    </cfRule>
    <cfRule type="expression" dxfId="377" priority="1346" stopIfTrue="1">
      <formula>$A87&lt;&gt;"Serviço"</formula>
    </cfRule>
  </conditionalFormatting>
  <conditionalFormatting sqref="A87:B87 A100:B101 A89:B89">
    <cfRule type="expression" dxfId="376" priority="1347" stopIfTrue="1">
      <formula>$A87="Meta"</formula>
    </cfRule>
    <cfRule type="expression" dxfId="375" priority="1348" stopIfTrue="1">
      <formula>LEFT($A87,5)="Nível"</formula>
    </cfRule>
    <cfRule type="expression" dxfId="374" priority="1349" stopIfTrue="1">
      <formula>$A87=0</formula>
    </cfRule>
  </conditionalFormatting>
  <conditionalFormatting sqref="D45:E46">
    <cfRule type="expression" dxfId="373" priority="1278" stopIfTrue="1">
      <formula>$A45="Meta"</formula>
    </cfRule>
    <cfRule type="expression" dxfId="372" priority="1279" stopIfTrue="1">
      <formula>$A45&lt;&gt;"Serviço"</formula>
    </cfRule>
  </conditionalFormatting>
  <conditionalFormatting sqref="C45:C46">
    <cfRule type="expression" dxfId="371" priority="1280" stopIfTrue="1">
      <formula>$A45="Meta"</formula>
    </cfRule>
    <cfRule type="expression" dxfId="370" priority="1281" stopIfTrue="1">
      <formula>$A45&lt;&gt;"Serviço"</formula>
    </cfRule>
  </conditionalFormatting>
  <conditionalFormatting sqref="A45:B46">
    <cfRule type="expression" dxfId="369" priority="1282" stopIfTrue="1">
      <formula>$A45="Meta"</formula>
    </cfRule>
    <cfRule type="expression" dxfId="368" priority="1283" stopIfTrue="1">
      <formula>LEFT($A45,5)="Nível"</formula>
    </cfRule>
    <cfRule type="expression" dxfId="367" priority="1284" stopIfTrue="1">
      <formula>$A45=0</formula>
    </cfRule>
  </conditionalFormatting>
  <conditionalFormatting sqref="D96:E98">
    <cfRule type="expression" dxfId="366" priority="1226" stopIfTrue="1">
      <formula>$A96="Meta"</formula>
    </cfRule>
    <cfRule type="expression" dxfId="365" priority="1227" stopIfTrue="1">
      <formula>$A96&lt;&gt;"Serviço"</formula>
    </cfRule>
  </conditionalFormatting>
  <conditionalFormatting sqref="C96:C98">
    <cfRule type="expression" dxfId="364" priority="1228" stopIfTrue="1">
      <formula>$A96="Meta"</formula>
    </cfRule>
    <cfRule type="expression" dxfId="363" priority="1229" stopIfTrue="1">
      <formula>$A96&lt;&gt;"Serviço"</formula>
    </cfRule>
  </conditionalFormatting>
  <conditionalFormatting sqref="A96:B98">
    <cfRule type="expression" dxfId="362" priority="1230" stopIfTrue="1">
      <formula>$A96="Meta"</formula>
    </cfRule>
    <cfRule type="expression" dxfId="361" priority="1231" stopIfTrue="1">
      <formula>LEFT($A96,5)="Nível"</formula>
    </cfRule>
    <cfRule type="expression" dxfId="360" priority="1232" stopIfTrue="1">
      <formula>$A96=0</formula>
    </cfRule>
  </conditionalFormatting>
  <conditionalFormatting sqref="D103:E103">
    <cfRule type="expression" dxfId="359" priority="1213" stopIfTrue="1">
      <formula>$A103="Meta"</formula>
    </cfRule>
    <cfRule type="expression" dxfId="358" priority="1214" stopIfTrue="1">
      <formula>$A103&lt;&gt;"Serviço"</formula>
    </cfRule>
  </conditionalFormatting>
  <conditionalFormatting sqref="C103">
    <cfRule type="expression" dxfId="357" priority="1215" stopIfTrue="1">
      <formula>$A103="Meta"</formula>
    </cfRule>
    <cfRule type="expression" dxfId="356" priority="1216" stopIfTrue="1">
      <formula>$A103&lt;&gt;"Serviço"</formula>
    </cfRule>
  </conditionalFormatting>
  <conditionalFormatting sqref="A103:B103">
    <cfRule type="expression" dxfId="355" priority="1217" stopIfTrue="1">
      <formula>$A103="Meta"</formula>
    </cfRule>
    <cfRule type="expression" dxfId="354" priority="1218" stopIfTrue="1">
      <formula>LEFT($A103,5)="Nível"</formula>
    </cfRule>
    <cfRule type="expression" dxfId="353" priority="1219" stopIfTrue="1">
      <formula>$A103=0</formula>
    </cfRule>
  </conditionalFormatting>
  <conditionalFormatting sqref="D31:E32">
    <cfRule type="expression" dxfId="352" priority="1135" stopIfTrue="1">
      <formula>$A31="Meta"</formula>
    </cfRule>
    <cfRule type="expression" dxfId="351" priority="1136" stopIfTrue="1">
      <formula>$A31&lt;&gt;"Serviço"</formula>
    </cfRule>
  </conditionalFormatting>
  <conditionalFormatting sqref="C31:C32">
    <cfRule type="expression" dxfId="350" priority="1137" stopIfTrue="1">
      <formula>$A31="Meta"</formula>
    </cfRule>
    <cfRule type="expression" dxfId="349" priority="1138" stopIfTrue="1">
      <formula>$A31&lt;&gt;"Serviço"</formula>
    </cfRule>
  </conditionalFormatting>
  <conditionalFormatting sqref="A31:B32">
    <cfRule type="expression" dxfId="348" priority="1139" stopIfTrue="1">
      <formula>$A31="Meta"</formula>
    </cfRule>
    <cfRule type="expression" dxfId="347" priority="1140" stopIfTrue="1">
      <formula>LEFT($A31,5)="Nível"</formula>
    </cfRule>
    <cfRule type="expression" dxfId="346" priority="1141" stopIfTrue="1">
      <formula>$A31=0</formula>
    </cfRule>
  </conditionalFormatting>
  <conditionalFormatting sqref="D44:E44">
    <cfRule type="expression" dxfId="345" priority="1096" stopIfTrue="1">
      <formula>$A44="Meta"</formula>
    </cfRule>
    <cfRule type="expression" dxfId="344" priority="1097" stopIfTrue="1">
      <formula>$A44&lt;&gt;"Serviço"</formula>
    </cfRule>
  </conditionalFormatting>
  <conditionalFormatting sqref="C44">
    <cfRule type="expression" dxfId="343" priority="1098" stopIfTrue="1">
      <formula>$A44="Meta"</formula>
    </cfRule>
    <cfRule type="expression" dxfId="342" priority="1099" stopIfTrue="1">
      <formula>$A44&lt;&gt;"Serviço"</formula>
    </cfRule>
  </conditionalFormatting>
  <conditionalFormatting sqref="A44:B44">
    <cfRule type="expression" dxfId="341" priority="1100" stopIfTrue="1">
      <formula>$A44="Meta"</formula>
    </cfRule>
    <cfRule type="expression" dxfId="340" priority="1101" stopIfTrue="1">
      <formula>LEFT($A44,5)="Nível"</formula>
    </cfRule>
    <cfRule type="expression" dxfId="339" priority="1102" stopIfTrue="1">
      <formula>$A44=0</formula>
    </cfRule>
  </conditionalFormatting>
  <conditionalFormatting sqref="D77:E77">
    <cfRule type="expression" dxfId="338" priority="1031" stopIfTrue="1">
      <formula>$A77="Meta"</formula>
    </cfRule>
    <cfRule type="expression" dxfId="337" priority="1032" stopIfTrue="1">
      <formula>$A77&lt;&gt;"Serviço"</formula>
    </cfRule>
  </conditionalFormatting>
  <conditionalFormatting sqref="C77">
    <cfRule type="expression" dxfId="336" priority="1033" stopIfTrue="1">
      <formula>$A77="Meta"</formula>
    </cfRule>
    <cfRule type="expression" dxfId="335" priority="1034" stopIfTrue="1">
      <formula>$A77&lt;&gt;"Serviço"</formula>
    </cfRule>
  </conditionalFormatting>
  <conditionalFormatting sqref="A77:B77">
    <cfRule type="expression" dxfId="334" priority="1035" stopIfTrue="1">
      <formula>$A77="Meta"</formula>
    </cfRule>
    <cfRule type="expression" dxfId="333" priority="1036" stopIfTrue="1">
      <formula>LEFT($A77,5)="Nível"</formula>
    </cfRule>
    <cfRule type="expression" dxfId="332" priority="1037" stopIfTrue="1">
      <formula>$A77=0</formula>
    </cfRule>
  </conditionalFormatting>
  <conditionalFormatting sqref="D99:E99">
    <cfRule type="expression" dxfId="331" priority="1018" stopIfTrue="1">
      <formula>$A99="Meta"</formula>
    </cfRule>
    <cfRule type="expression" dxfId="330" priority="1019" stopIfTrue="1">
      <formula>$A99&lt;&gt;"Serviço"</formula>
    </cfRule>
  </conditionalFormatting>
  <conditionalFormatting sqref="C99">
    <cfRule type="expression" dxfId="329" priority="1020" stopIfTrue="1">
      <formula>$A99="Meta"</formula>
    </cfRule>
    <cfRule type="expression" dxfId="328" priority="1021" stopIfTrue="1">
      <formula>$A99&lt;&gt;"Serviço"</formula>
    </cfRule>
  </conditionalFormatting>
  <conditionalFormatting sqref="A99:B99">
    <cfRule type="expression" dxfId="327" priority="1022" stopIfTrue="1">
      <formula>$A99="Meta"</formula>
    </cfRule>
    <cfRule type="expression" dxfId="326" priority="1023" stopIfTrue="1">
      <formula>LEFT($A99,5)="Nível"</formula>
    </cfRule>
    <cfRule type="expression" dxfId="325" priority="1024" stopIfTrue="1">
      <formula>$A99=0</formula>
    </cfRule>
  </conditionalFormatting>
  <conditionalFormatting sqref="D84:E84">
    <cfRule type="expression" dxfId="324" priority="992" stopIfTrue="1">
      <formula>$A84="Meta"</formula>
    </cfRule>
    <cfRule type="expression" dxfId="323" priority="993" stopIfTrue="1">
      <formula>$A84&lt;&gt;"Serviço"</formula>
    </cfRule>
  </conditionalFormatting>
  <conditionalFormatting sqref="C84">
    <cfRule type="expression" dxfId="322" priority="994" stopIfTrue="1">
      <formula>$A84="Meta"</formula>
    </cfRule>
    <cfRule type="expression" dxfId="321" priority="995" stopIfTrue="1">
      <formula>$A84&lt;&gt;"Serviço"</formula>
    </cfRule>
  </conditionalFormatting>
  <conditionalFormatting sqref="A84:B84">
    <cfRule type="expression" dxfId="320" priority="996" stopIfTrue="1">
      <formula>$A84="Meta"</formula>
    </cfRule>
    <cfRule type="expression" dxfId="319" priority="997" stopIfTrue="1">
      <formula>LEFT($A84,5)="Nível"</formula>
    </cfRule>
    <cfRule type="expression" dxfId="318" priority="998" stopIfTrue="1">
      <formula>$A84=0</formula>
    </cfRule>
  </conditionalFormatting>
  <conditionalFormatting sqref="D57:E61">
    <cfRule type="expression" dxfId="317" priority="940" stopIfTrue="1">
      <formula>$A57="Meta"</formula>
    </cfRule>
    <cfRule type="expression" dxfId="316" priority="941" stopIfTrue="1">
      <formula>$A57&lt;&gt;"Serviço"</formula>
    </cfRule>
  </conditionalFormatting>
  <conditionalFormatting sqref="C57:C61">
    <cfRule type="expression" dxfId="315" priority="942" stopIfTrue="1">
      <formula>$A57="Meta"</formula>
    </cfRule>
    <cfRule type="expression" dxfId="314" priority="943" stopIfTrue="1">
      <formula>$A57&lt;&gt;"Serviço"</formula>
    </cfRule>
  </conditionalFormatting>
  <conditionalFormatting sqref="A57:B61">
    <cfRule type="expression" dxfId="313" priority="944" stopIfTrue="1">
      <formula>$A57="Meta"</formula>
    </cfRule>
    <cfRule type="expression" dxfId="312" priority="945" stopIfTrue="1">
      <formula>LEFT($A57,5)="Nível"</formula>
    </cfRule>
    <cfRule type="expression" dxfId="311" priority="946" stopIfTrue="1">
      <formula>$A57=0</formula>
    </cfRule>
  </conditionalFormatting>
  <conditionalFormatting sqref="D62:E62">
    <cfRule type="expression" dxfId="310" priority="927" stopIfTrue="1">
      <formula>$A62="Meta"</formula>
    </cfRule>
    <cfRule type="expression" dxfId="309" priority="928" stopIfTrue="1">
      <formula>$A62&lt;&gt;"Serviço"</formula>
    </cfRule>
  </conditionalFormatting>
  <conditionalFormatting sqref="C62">
    <cfRule type="expression" dxfId="308" priority="929" stopIfTrue="1">
      <formula>$A62="Meta"</formula>
    </cfRule>
    <cfRule type="expression" dxfId="307" priority="930" stopIfTrue="1">
      <formula>$A62&lt;&gt;"Serviço"</formula>
    </cfRule>
  </conditionalFormatting>
  <conditionalFormatting sqref="A62:B62">
    <cfRule type="expression" dxfId="306" priority="931" stopIfTrue="1">
      <formula>$A62="Meta"</formula>
    </cfRule>
    <cfRule type="expression" dxfId="305" priority="932" stopIfTrue="1">
      <formula>LEFT($A62,5)="Nível"</formula>
    </cfRule>
    <cfRule type="expression" dxfId="304" priority="933" stopIfTrue="1">
      <formula>$A62=0</formula>
    </cfRule>
  </conditionalFormatting>
  <conditionalFormatting sqref="D63:E63">
    <cfRule type="expression" dxfId="303" priority="914" stopIfTrue="1">
      <formula>$A63="Meta"</formula>
    </cfRule>
    <cfRule type="expression" dxfId="302" priority="915" stopIfTrue="1">
      <formula>$A63&lt;&gt;"Serviço"</formula>
    </cfRule>
  </conditionalFormatting>
  <conditionalFormatting sqref="C63">
    <cfRule type="expression" dxfId="301" priority="916" stopIfTrue="1">
      <formula>$A63="Meta"</formula>
    </cfRule>
    <cfRule type="expression" dxfId="300" priority="917" stopIfTrue="1">
      <formula>$A63&lt;&gt;"Serviço"</formula>
    </cfRule>
  </conditionalFormatting>
  <conditionalFormatting sqref="A63:B63">
    <cfRule type="expression" dxfId="299" priority="918" stopIfTrue="1">
      <formula>$A63="Meta"</formula>
    </cfRule>
    <cfRule type="expression" dxfId="298" priority="919" stopIfTrue="1">
      <formula>LEFT($A63,5)="Nível"</formula>
    </cfRule>
    <cfRule type="expression" dxfId="297" priority="920" stopIfTrue="1">
      <formula>$A63=0</formula>
    </cfRule>
  </conditionalFormatting>
  <conditionalFormatting sqref="D34:E34">
    <cfRule type="expression" dxfId="296" priority="771" stopIfTrue="1">
      <formula>$A34="Meta"</formula>
    </cfRule>
    <cfRule type="expression" dxfId="295" priority="772" stopIfTrue="1">
      <formula>$A34&lt;&gt;"Serviço"</formula>
    </cfRule>
  </conditionalFormatting>
  <conditionalFormatting sqref="C34">
    <cfRule type="expression" dxfId="294" priority="773" stopIfTrue="1">
      <formula>$A34="Meta"</formula>
    </cfRule>
    <cfRule type="expression" dxfId="293" priority="774" stopIfTrue="1">
      <formula>$A34&lt;&gt;"Serviço"</formula>
    </cfRule>
  </conditionalFormatting>
  <conditionalFormatting sqref="A34:B34">
    <cfRule type="expression" dxfId="292" priority="775" stopIfTrue="1">
      <formula>$A34="Meta"</formula>
    </cfRule>
    <cfRule type="expression" dxfId="291" priority="776" stopIfTrue="1">
      <formula>LEFT($A34,5)="Nível"</formula>
    </cfRule>
    <cfRule type="expression" dxfId="290" priority="777" stopIfTrue="1">
      <formula>$A34=0</formula>
    </cfRule>
  </conditionalFormatting>
  <conditionalFormatting sqref="D27:E27">
    <cfRule type="expression" dxfId="289" priority="706" stopIfTrue="1">
      <formula>$A27="Meta"</formula>
    </cfRule>
    <cfRule type="expression" dxfId="288" priority="707" stopIfTrue="1">
      <formula>$A27&lt;&gt;"Serviço"</formula>
    </cfRule>
  </conditionalFormatting>
  <conditionalFormatting sqref="C27">
    <cfRule type="expression" dxfId="287" priority="708" stopIfTrue="1">
      <formula>$A27="Meta"</formula>
    </cfRule>
    <cfRule type="expression" dxfId="286" priority="709" stopIfTrue="1">
      <formula>$A27&lt;&gt;"Serviço"</formula>
    </cfRule>
  </conditionalFormatting>
  <conditionalFormatting sqref="A27:B27">
    <cfRule type="expression" dxfId="285" priority="710" stopIfTrue="1">
      <formula>$A27="Meta"</formula>
    </cfRule>
    <cfRule type="expression" dxfId="284" priority="711" stopIfTrue="1">
      <formula>LEFT($A27,5)="Nível"</formula>
    </cfRule>
    <cfRule type="expression" dxfId="283" priority="712" stopIfTrue="1">
      <formula>$A27=0</formula>
    </cfRule>
  </conditionalFormatting>
  <conditionalFormatting sqref="D33:E33">
    <cfRule type="expression" dxfId="282" priority="667" stopIfTrue="1">
      <formula>$A33="Meta"</formula>
    </cfRule>
    <cfRule type="expression" dxfId="281" priority="668" stopIfTrue="1">
      <formula>$A33&lt;&gt;"Serviço"</formula>
    </cfRule>
  </conditionalFormatting>
  <conditionalFormatting sqref="C33">
    <cfRule type="expression" dxfId="280" priority="669" stopIfTrue="1">
      <formula>$A33="Meta"</formula>
    </cfRule>
    <cfRule type="expression" dxfId="279" priority="670" stopIfTrue="1">
      <formula>$A33&lt;&gt;"Serviço"</formula>
    </cfRule>
  </conditionalFormatting>
  <conditionalFormatting sqref="A33:B33">
    <cfRule type="expression" dxfId="278" priority="671" stopIfTrue="1">
      <formula>$A33="Meta"</formula>
    </cfRule>
    <cfRule type="expression" dxfId="277" priority="672" stopIfTrue="1">
      <formula>LEFT($A33,5)="Nível"</formula>
    </cfRule>
    <cfRule type="expression" dxfId="276" priority="673" stopIfTrue="1">
      <formula>$A33=0</formula>
    </cfRule>
  </conditionalFormatting>
  <conditionalFormatting sqref="D43:E43">
    <cfRule type="expression" dxfId="275" priority="628" stopIfTrue="1">
      <formula>$A43="Meta"</formula>
    </cfRule>
    <cfRule type="expression" dxfId="274" priority="629" stopIfTrue="1">
      <formula>$A43&lt;&gt;"Serviço"</formula>
    </cfRule>
  </conditionalFormatting>
  <conditionalFormatting sqref="C43">
    <cfRule type="expression" dxfId="273" priority="630" stopIfTrue="1">
      <formula>$A43="Meta"</formula>
    </cfRule>
    <cfRule type="expression" dxfId="272" priority="631" stopIfTrue="1">
      <formula>$A43&lt;&gt;"Serviço"</formula>
    </cfRule>
  </conditionalFormatting>
  <conditionalFormatting sqref="A43:B43">
    <cfRule type="expression" dxfId="271" priority="632" stopIfTrue="1">
      <formula>$A43="Meta"</formula>
    </cfRule>
    <cfRule type="expression" dxfId="270" priority="633" stopIfTrue="1">
      <formula>LEFT($A43,5)="Nível"</formula>
    </cfRule>
    <cfRule type="expression" dxfId="269" priority="634" stopIfTrue="1">
      <formula>$A43=0</formula>
    </cfRule>
  </conditionalFormatting>
  <conditionalFormatting sqref="D52:E52">
    <cfRule type="expression" dxfId="268" priority="420" stopIfTrue="1">
      <formula>$A52="Meta"</formula>
    </cfRule>
    <cfRule type="expression" dxfId="267" priority="421" stopIfTrue="1">
      <formula>$A52&lt;&gt;"Serviço"</formula>
    </cfRule>
  </conditionalFormatting>
  <conditionalFormatting sqref="C52">
    <cfRule type="expression" dxfId="266" priority="422" stopIfTrue="1">
      <formula>$A52="Meta"</formula>
    </cfRule>
    <cfRule type="expression" dxfId="265" priority="423" stopIfTrue="1">
      <formula>$A52&lt;&gt;"Serviço"</formula>
    </cfRule>
  </conditionalFormatting>
  <conditionalFormatting sqref="A52:B52">
    <cfRule type="expression" dxfId="264" priority="424" stopIfTrue="1">
      <formula>$A52="Meta"</formula>
    </cfRule>
    <cfRule type="expression" dxfId="263" priority="425" stopIfTrue="1">
      <formula>LEFT($A52,5)="Nível"</formula>
    </cfRule>
    <cfRule type="expression" dxfId="262" priority="426" stopIfTrue="1">
      <formula>$A52=0</formula>
    </cfRule>
  </conditionalFormatting>
  <conditionalFormatting sqref="D53:E54">
    <cfRule type="expression" dxfId="261" priority="381" stopIfTrue="1">
      <formula>$A53="Meta"</formula>
    </cfRule>
    <cfRule type="expression" dxfId="260" priority="382" stopIfTrue="1">
      <formula>$A53&lt;&gt;"Serviço"</formula>
    </cfRule>
  </conditionalFormatting>
  <conditionalFormatting sqref="C53:C54">
    <cfRule type="expression" dxfId="259" priority="383" stopIfTrue="1">
      <formula>$A53="Meta"</formula>
    </cfRule>
    <cfRule type="expression" dxfId="258" priority="384" stopIfTrue="1">
      <formula>$A53&lt;&gt;"Serviço"</formula>
    </cfRule>
  </conditionalFormatting>
  <conditionalFormatting sqref="A53:B54">
    <cfRule type="expression" dxfId="257" priority="385" stopIfTrue="1">
      <formula>$A53="Meta"</formula>
    </cfRule>
    <cfRule type="expression" dxfId="256" priority="386" stopIfTrue="1">
      <formula>LEFT($A53,5)="Nível"</formula>
    </cfRule>
    <cfRule type="expression" dxfId="255" priority="387" stopIfTrue="1">
      <formula>$A53=0</formula>
    </cfRule>
  </conditionalFormatting>
  <conditionalFormatting sqref="D75:E75">
    <cfRule type="expression" dxfId="254" priority="355" stopIfTrue="1">
      <formula>$A75="Meta"</formula>
    </cfRule>
    <cfRule type="expression" dxfId="253" priority="356" stopIfTrue="1">
      <formula>$A75&lt;&gt;"Serviço"</formula>
    </cfRule>
  </conditionalFormatting>
  <conditionalFormatting sqref="C75">
    <cfRule type="expression" dxfId="252" priority="357" stopIfTrue="1">
      <formula>$A75="Meta"</formula>
    </cfRule>
    <cfRule type="expression" dxfId="251" priority="358" stopIfTrue="1">
      <formula>$A75&lt;&gt;"Serviço"</formula>
    </cfRule>
  </conditionalFormatting>
  <conditionalFormatting sqref="A75:B75">
    <cfRule type="expression" dxfId="250" priority="359" stopIfTrue="1">
      <formula>$A75="Meta"</formula>
    </cfRule>
    <cfRule type="expression" dxfId="249" priority="360" stopIfTrue="1">
      <formula>LEFT($A75,5)="Nível"</formula>
    </cfRule>
    <cfRule type="expression" dxfId="248" priority="361" stopIfTrue="1">
      <formula>$A75=0</formula>
    </cfRule>
  </conditionalFormatting>
  <conditionalFormatting sqref="D81:E81">
    <cfRule type="expression" dxfId="247" priority="342" stopIfTrue="1">
      <formula>$A81="Meta"</formula>
    </cfRule>
    <cfRule type="expression" dxfId="246" priority="343" stopIfTrue="1">
      <formula>$A81&lt;&gt;"Serviço"</formula>
    </cfRule>
  </conditionalFormatting>
  <conditionalFormatting sqref="C81">
    <cfRule type="expression" dxfId="245" priority="344" stopIfTrue="1">
      <formula>$A81="Meta"</formula>
    </cfRule>
    <cfRule type="expression" dxfId="244" priority="345" stopIfTrue="1">
      <formula>$A81&lt;&gt;"Serviço"</formula>
    </cfRule>
  </conditionalFormatting>
  <conditionalFormatting sqref="A81:B81">
    <cfRule type="expression" dxfId="243" priority="346" stopIfTrue="1">
      <formula>$A81="Meta"</formula>
    </cfRule>
    <cfRule type="expression" dxfId="242" priority="347" stopIfTrue="1">
      <formula>LEFT($A81,5)="Nível"</formula>
    </cfRule>
    <cfRule type="expression" dxfId="241" priority="348" stopIfTrue="1">
      <formula>$A81=0</formula>
    </cfRule>
  </conditionalFormatting>
  <conditionalFormatting sqref="D93:E93">
    <cfRule type="expression" dxfId="240" priority="329" stopIfTrue="1">
      <formula>$A93="Meta"</formula>
    </cfRule>
    <cfRule type="expression" dxfId="239" priority="330" stopIfTrue="1">
      <formula>$A93&lt;&gt;"Serviço"</formula>
    </cfRule>
  </conditionalFormatting>
  <conditionalFormatting sqref="C93">
    <cfRule type="expression" dxfId="238" priority="331" stopIfTrue="1">
      <formula>$A93="Meta"</formula>
    </cfRule>
    <cfRule type="expression" dxfId="237" priority="332" stopIfTrue="1">
      <formula>$A93&lt;&gt;"Serviço"</formula>
    </cfRule>
  </conditionalFormatting>
  <conditionalFormatting sqref="A93:B93">
    <cfRule type="expression" dxfId="236" priority="333" stopIfTrue="1">
      <formula>$A93="Meta"</formula>
    </cfRule>
    <cfRule type="expression" dxfId="235" priority="334" stopIfTrue="1">
      <formula>LEFT($A93,5)="Nível"</formula>
    </cfRule>
    <cfRule type="expression" dxfId="234" priority="335" stopIfTrue="1">
      <formula>$A93=0</formula>
    </cfRule>
  </conditionalFormatting>
  <conditionalFormatting sqref="D109:E109">
    <cfRule type="expression" dxfId="233" priority="316" stopIfTrue="1">
      <formula>$A109="Meta"</formula>
    </cfRule>
    <cfRule type="expression" dxfId="232" priority="317" stopIfTrue="1">
      <formula>$A109&lt;&gt;"Serviço"</formula>
    </cfRule>
  </conditionalFormatting>
  <conditionalFormatting sqref="C109">
    <cfRule type="expression" dxfId="231" priority="318" stopIfTrue="1">
      <formula>$A109="Meta"</formula>
    </cfRule>
    <cfRule type="expression" dxfId="230" priority="319" stopIfTrue="1">
      <formula>$A109&lt;&gt;"Serviço"</formula>
    </cfRule>
  </conditionalFormatting>
  <conditionalFormatting sqref="A109:B109">
    <cfRule type="expression" dxfId="229" priority="320" stopIfTrue="1">
      <formula>$A109="Meta"</formula>
    </cfRule>
    <cfRule type="expression" dxfId="228" priority="321" stopIfTrue="1">
      <formula>LEFT($A109,5)="Nível"</formula>
    </cfRule>
    <cfRule type="expression" dxfId="227" priority="322" stopIfTrue="1">
      <formula>$A109=0</formula>
    </cfRule>
  </conditionalFormatting>
  <conditionalFormatting sqref="D78:E78">
    <cfRule type="expression" dxfId="226" priority="303" stopIfTrue="1">
      <formula>$A78="Meta"</formula>
    </cfRule>
    <cfRule type="expression" dxfId="225" priority="304" stopIfTrue="1">
      <formula>$A78&lt;&gt;"Serviço"</formula>
    </cfRule>
  </conditionalFormatting>
  <conditionalFormatting sqref="C78">
    <cfRule type="expression" dxfId="224" priority="305" stopIfTrue="1">
      <formula>$A78="Meta"</formula>
    </cfRule>
    <cfRule type="expression" dxfId="223" priority="306" stopIfTrue="1">
      <formula>$A78&lt;&gt;"Serviço"</formula>
    </cfRule>
  </conditionalFormatting>
  <conditionalFormatting sqref="A78:B78">
    <cfRule type="expression" dxfId="222" priority="307" stopIfTrue="1">
      <formula>$A78="Meta"</formula>
    </cfRule>
    <cfRule type="expression" dxfId="221" priority="308" stopIfTrue="1">
      <formula>LEFT($A78,5)="Nível"</formula>
    </cfRule>
    <cfRule type="expression" dxfId="220" priority="309" stopIfTrue="1">
      <formula>$A78=0</formula>
    </cfRule>
  </conditionalFormatting>
  <conditionalFormatting sqref="D79:E79">
    <cfRule type="expression" dxfId="219" priority="290" stopIfTrue="1">
      <formula>$A79="Meta"</formula>
    </cfRule>
    <cfRule type="expression" dxfId="218" priority="291" stopIfTrue="1">
      <formula>$A79&lt;&gt;"Serviço"</formula>
    </cfRule>
  </conditionalFormatting>
  <conditionalFormatting sqref="C79">
    <cfRule type="expression" dxfId="217" priority="292" stopIfTrue="1">
      <formula>$A79="Meta"</formula>
    </cfRule>
    <cfRule type="expression" dxfId="216" priority="293" stopIfTrue="1">
      <formula>$A79&lt;&gt;"Serviço"</formula>
    </cfRule>
  </conditionalFormatting>
  <conditionalFormatting sqref="A79:B79">
    <cfRule type="expression" dxfId="215" priority="294" stopIfTrue="1">
      <formula>$A79="Meta"</formula>
    </cfRule>
    <cfRule type="expression" dxfId="214" priority="295" stopIfTrue="1">
      <formula>LEFT($A79,5)="Nível"</formula>
    </cfRule>
    <cfRule type="expression" dxfId="213" priority="296" stopIfTrue="1">
      <formula>$A79=0</formula>
    </cfRule>
  </conditionalFormatting>
  <conditionalFormatting sqref="D82:E82">
    <cfRule type="expression" dxfId="212" priority="277" stopIfTrue="1">
      <formula>$A82="Meta"</formula>
    </cfRule>
    <cfRule type="expression" dxfId="211" priority="278" stopIfTrue="1">
      <formula>$A82&lt;&gt;"Serviço"</formula>
    </cfRule>
  </conditionalFormatting>
  <conditionalFormatting sqref="C82">
    <cfRule type="expression" dxfId="210" priority="279" stopIfTrue="1">
      <formula>$A82="Meta"</formula>
    </cfRule>
    <cfRule type="expression" dxfId="209" priority="280" stopIfTrue="1">
      <formula>$A82&lt;&gt;"Serviço"</formula>
    </cfRule>
  </conditionalFormatting>
  <conditionalFormatting sqref="A82:B82">
    <cfRule type="expression" dxfId="208" priority="281" stopIfTrue="1">
      <formula>$A82="Meta"</formula>
    </cfRule>
    <cfRule type="expression" dxfId="207" priority="282" stopIfTrue="1">
      <formula>LEFT($A82,5)="Nível"</formula>
    </cfRule>
    <cfRule type="expression" dxfId="206" priority="283" stopIfTrue="1">
      <formula>$A82=0</formula>
    </cfRule>
  </conditionalFormatting>
  <conditionalFormatting sqref="D105:E105">
    <cfRule type="expression" dxfId="205" priority="264" stopIfTrue="1">
      <formula>$A105="Meta"</formula>
    </cfRule>
    <cfRule type="expression" dxfId="204" priority="265" stopIfTrue="1">
      <formula>$A105&lt;&gt;"Serviço"</formula>
    </cfRule>
  </conditionalFormatting>
  <conditionalFormatting sqref="C105">
    <cfRule type="expression" dxfId="203" priority="266" stopIfTrue="1">
      <formula>$A105="Meta"</formula>
    </cfRule>
    <cfRule type="expression" dxfId="202" priority="267" stopIfTrue="1">
      <formula>$A105&lt;&gt;"Serviço"</formula>
    </cfRule>
  </conditionalFormatting>
  <conditionalFormatting sqref="A105:B105">
    <cfRule type="expression" dxfId="201" priority="268" stopIfTrue="1">
      <formula>$A105="Meta"</formula>
    </cfRule>
    <cfRule type="expression" dxfId="200" priority="269" stopIfTrue="1">
      <formula>LEFT($A105,5)="Nível"</formula>
    </cfRule>
    <cfRule type="expression" dxfId="199" priority="270" stopIfTrue="1">
      <formula>$A105=0</formula>
    </cfRule>
  </conditionalFormatting>
  <conditionalFormatting sqref="D110:E110">
    <cfRule type="expression" dxfId="198" priority="251" stopIfTrue="1">
      <formula>$A110="Meta"</formula>
    </cfRule>
    <cfRule type="expression" dxfId="197" priority="252" stopIfTrue="1">
      <formula>$A110&lt;&gt;"Serviço"</formula>
    </cfRule>
  </conditionalFormatting>
  <conditionalFormatting sqref="C110">
    <cfRule type="expression" dxfId="196" priority="253" stopIfTrue="1">
      <formula>$A110="Meta"</formula>
    </cfRule>
    <cfRule type="expression" dxfId="195" priority="254" stopIfTrue="1">
      <formula>$A110&lt;&gt;"Serviço"</formula>
    </cfRule>
  </conditionalFormatting>
  <conditionalFormatting sqref="A110:B110">
    <cfRule type="expression" dxfId="194" priority="255" stopIfTrue="1">
      <formula>$A110="Meta"</formula>
    </cfRule>
    <cfRule type="expression" dxfId="193" priority="256" stopIfTrue="1">
      <formula>LEFT($A110,5)="Nível"</formula>
    </cfRule>
    <cfRule type="expression" dxfId="192" priority="257" stopIfTrue="1">
      <formula>$A110=0</formula>
    </cfRule>
  </conditionalFormatting>
  <conditionalFormatting sqref="D106:E106">
    <cfRule type="expression" dxfId="191" priority="238" stopIfTrue="1">
      <formula>$A106="Meta"</formula>
    </cfRule>
    <cfRule type="expression" dxfId="190" priority="239" stopIfTrue="1">
      <formula>$A106&lt;&gt;"Serviço"</formula>
    </cfRule>
  </conditionalFormatting>
  <conditionalFormatting sqref="C106">
    <cfRule type="expression" dxfId="189" priority="240" stopIfTrue="1">
      <formula>$A106="Meta"</formula>
    </cfRule>
    <cfRule type="expression" dxfId="188" priority="241" stopIfTrue="1">
      <formula>$A106&lt;&gt;"Serviço"</formula>
    </cfRule>
  </conditionalFormatting>
  <conditionalFormatting sqref="A106:B106">
    <cfRule type="expression" dxfId="187" priority="242" stopIfTrue="1">
      <formula>$A106="Meta"</formula>
    </cfRule>
    <cfRule type="expression" dxfId="186" priority="243" stopIfTrue="1">
      <formula>LEFT($A106,5)="Nível"</formula>
    </cfRule>
    <cfRule type="expression" dxfId="185" priority="244" stopIfTrue="1">
      <formula>$A106=0</formula>
    </cfRule>
  </conditionalFormatting>
  <conditionalFormatting sqref="D108:E108">
    <cfRule type="expression" dxfId="184" priority="225" stopIfTrue="1">
      <formula>$A108="Meta"</formula>
    </cfRule>
    <cfRule type="expression" dxfId="183" priority="226" stopIfTrue="1">
      <formula>$A108&lt;&gt;"Serviço"</formula>
    </cfRule>
  </conditionalFormatting>
  <conditionalFormatting sqref="C108">
    <cfRule type="expression" dxfId="182" priority="227" stopIfTrue="1">
      <formula>$A108="Meta"</formula>
    </cfRule>
    <cfRule type="expression" dxfId="181" priority="228" stopIfTrue="1">
      <formula>$A108&lt;&gt;"Serviço"</formula>
    </cfRule>
  </conditionalFormatting>
  <conditionalFormatting sqref="A108:B108">
    <cfRule type="expression" dxfId="180" priority="229" stopIfTrue="1">
      <formula>$A108="Meta"</formula>
    </cfRule>
    <cfRule type="expression" dxfId="179" priority="230" stopIfTrue="1">
      <formula>LEFT($A108,5)="Nível"</formula>
    </cfRule>
    <cfRule type="expression" dxfId="178" priority="231" stopIfTrue="1">
      <formula>$A108=0</formula>
    </cfRule>
  </conditionalFormatting>
  <conditionalFormatting sqref="D107:E107">
    <cfRule type="expression" dxfId="177" priority="212" stopIfTrue="1">
      <formula>$A107="Meta"</formula>
    </cfRule>
    <cfRule type="expression" dxfId="176" priority="213" stopIfTrue="1">
      <formula>$A107&lt;&gt;"Serviço"</formula>
    </cfRule>
  </conditionalFormatting>
  <conditionalFormatting sqref="C107">
    <cfRule type="expression" dxfId="175" priority="214" stopIfTrue="1">
      <formula>$A107="Meta"</formula>
    </cfRule>
    <cfRule type="expression" dxfId="174" priority="215" stopIfTrue="1">
      <formula>$A107&lt;&gt;"Serviço"</formula>
    </cfRule>
  </conditionalFormatting>
  <conditionalFormatting sqref="A107:B107">
    <cfRule type="expression" dxfId="173" priority="216" stopIfTrue="1">
      <formula>$A107="Meta"</formula>
    </cfRule>
    <cfRule type="expression" dxfId="172" priority="217" stopIfTrue="1">
      <formula>LEFT($A107,5)="Nível"</formula>
    </cfRule>
    <cfRule type="expression" dxfId="171" priority="218" stopIfTrue="1">
      <formula>$A107=0</formula>
    </cfRule>
  </conditionalFormatting>
  <conditionalFormatting sqref="D94:E94">
    <cfRule type="expression" dxfId="170" priority="160" stopIfTrue="1">
      <formula>$A94="Meta"</formula>
    </cfRule>
    <cfRule type="expression" dxfId="169" priority="161" stopIfTrue="1">
      <formula>$A94&lt;&gt;"Serviço"</formula>
    </cfRule>
  </conditionalFormatting>
  <conditionalFormatting sqref="C94">
    <cfRule type="expression" dxfId="168" priority="162" stopIfTrue="1">
      <formula>$A94="Meta"</formula>
    </cfRule>
    <cfRule type="expression" dxfId="167" priority="163" stopIfTrue="1">
      <formula>$A94&lt;&gt;"Serviço"</formula>
    </cfRule>
  </conditionalFormatting>
  <conditionalFormatting sqref="A94:B94">
    <cfRule type="expression" dxfId="166" priority="164" stopIfTrue="1">
      <formula>$A94="Meta"</formula>
    </cfRule>
    <cfRule type="expression" dxfId="165" priority="165" stopIfTrue="1">
      <formula>LEFT($A94,5)="Nível"</formula>
    </cfRule>
    <cfRule type="expression" dxfId="164" priority="166" stopIfTrue="1">
      <formula>$A94=0</formula>
    </cfRule>
  </conditionalFormatting>
  <conditionalFormatting sqref="D64:E66">
    <cfRule type="expression" dxfId="163" priority="147" stopIfTrue="1">
      <formula>$A64="Meta"</formula>
    </cfRule>
    <cfRule type="expression" dxfId="162" priority="148" stopIfTrue="1">
      <formula>$A64&lt;&gt;"Serviço"</formula>
    </cfRule>
  </conditionalFormatting>
  <conditionalFormatting sqref="C64:C66">
    <cfRule type="expression" dxfId="161" priority="149" stopIfTrue="1">
      <formula>$A64="Meta"</formula>
    </cfRule>
    <cfRule type="expression" dxfId="160" priority="150" stopIfTrue="1">
      <formula>$A64&lt;&gt;"Serviço"</formula>
    </cfRule>
  </conditionalFormatting>
  <conditionalFormatting sqref="A64:B66">
    <cfRule type="expression" dxfId="159" priority="151" stopIfTrue="1">
      <formula>$A64="Meta"</formula>
    </cfRule>
    <cfRule type="expression" dxfId="158" priority="152" stopIfTrue="1">
      <formula>LEFT($A64,5)="Nível"</formula>
    </cfRule>
    <cfRule type="expression" dxfId="157" priority="153" stopIfTrue="1">
      <formula>$A64=0</formula>
    </cfRule>
  </conditionalFormatting>
  <conditionalFormatting sqref="U64:U66">
    <cfRule type="expression" dxfId="156" priority="154" stopIfTrue="1">
      <formula>$A64="Meta"</formula>
    </cfRule>
    <cfRule type="expression" dxfId="155" priority="155" stopIfTrue="1">
      <formula>OR(U$9=0,$A64&lt;&gt;"Serviço")</formula>
    </cfRule>
    <cfRule type="expression" dxfId="154" priority="156" stopIfTrue="1">
      <formula>TipoOrçamento="Licitado"</formula>
    </cfRule>
  </conditionalFormatting>
  <conditionalFormatting sqref="F64:O66">
    <cfRule type="expression" dxfId="153" priority="144" stopIfTrue="1">
      <formula>$A64="Meta"</formula>
    </cfRule>
    <cfRule type="expression" dxfId="152" priority="145" stopIfTrue="1">
      <formula>OR(F$9=0,$A64&lt;&gt;"Serviço")</formula>
    </cfRule>
    <cfRule type="expression" dxfId="151" priority="146" stopIfTrue="1">
      <formula>TipoOrçamento="Licitado"</formula>
    </cfRule>
  </conditionalFormatting>
  <conditionalFormatting sqref="D14:E14 D16:E18 D21:E26">
    <cfRule type="expression" dxfId="150" priority="121" stopIfTrue="1">
      <formula>$A14="Meta"</formula>
    </cfRule>
    <cfRule type="expression" dxfId="149" priority="122" stopIfTrue="1">
      <formula>$A14&lt;&gt;"Serviço"</formula>
    </cfRule>
  </conditionalFormatting>
  <conditionalFormatting sqref="C14 C16:C18 C21:C26">
    <cfRule type="expression" dxfId="148" priority="123" stopIfTrue="1">
      <formula>$A14="Meta"</formula>
    </cfRule>
    <cfRule type="expression" dxfId="147" priority="124" stopIfTrue="1">
      <formula>$A14&lt;&gt;"Serviço"</formula>
    </cfRule>
  </conditionalFormatting>
  <conditionalFormatting sqref="A14:B14 A16:B18 A21:B26">
    <cfRule type="expression" dxfId="146" priority="125" stopIfTrue="1">
      <formula>$A14="Meta"</formula>
    </cfRule>
    <cfRule type="expression" dxfId="145" priority="126" stopIfTrue="1">
      <formula>LEFT($A14,5)="Nível"</formula>
    </cfRule>
    <cfRule type="expression" dxfId="144" priority="127" stopIfTrue="1">
      <formula>$A14=0</formula>
    </cfRule>
  </conditionalFormatting>
  <conditionalFormatting sqref="U14 U16:U18 U21:U26">
    <cfRule type="expression" dxfId="143" priority="128" stopIfTrue="1">
      <formula>$A14="Meta"</formula>
    </cfRule>
    <cfRule type="expression" dxfId="142" priority="129" stopIfTrue="1">
      <formula>OR(U$9=0,$A14&lt;&gt;"Serviço")</formula>
    </cfRule>
    <cfRule type="expression" dxfId="141" priority="130" stopIfTrue="1">
      <formula>TipoOrçamento="Licitado"</formula>
    </cfRule>
  </conditionalFormatting>
  <conditionalFormatting sqref="F14:O14 F16:O18 F21:O26">
    <cfRule type="expression" dxfId="140" priority="118" stopIfTrue="1">
      <formula>$A14="Meta"</formula>
    </cfRule>
    <cfRule type="expression" dxfId="139" priority="119" stopIfTrue="1">
      <formula>OR(F$9=0,$A14&lt;&gt;"Serviço")</formula>
    </cfRule>
    <cfRule type="expression" dxfId="138" priority="120" stopIfTrue="1">
      <formula>TipoOrçamento="Licitado"</formula>
    </cfRule>
  </conditionalFormatting>
  <conditionalFormatting sqref="D15:E15">
    <cfRule type="expression" dxfId="137" priority="108" stopIfTrue="1">
      <formula>$A15="Meta"</formula>
    </cfRule>
    <cfRule type="expression" dxfId="136" priority="109" stopIfTrue="1">
      <formula>$A15&lt;&gt;"Serviço"</formula>
    </cfRule>
  </conditionalFormatting>
  <conditionalFormatting sqref="C15">
    <cfRule type="expression" dxfId="135" priority="110" stopIfTrue="1">
      <formula>$A15="Meta"</formula>
    </cfRule>
    <cfRule type="expression" dxfId="134" priority="111" stopIfTrue="1">
      <formula>$A15&lt;&gt;"Serviço"</formula>
    </cfRule>
  </conditionalFormatting>
  <conditionalFormatting sqref="A15:B15">
    <cfRule type="expression" dxfId="133" priority="112" stopIfTrue="1">
      <formula>$A15="Meta"</formula>
    </cfRule>
    <cfRule type="expression" dxfId="132" priority="113" stopIfTrue="1">
      <formula>LEFT($A15,5)="Nível"</formula>
    </cfRule>
    <cfRule type="expression" dxfId="131" priority="114" stopIfTrue="1">
      <formula>$A15=0</formula>
    </cfRule>
  </conditionalFormatting>
  <conditionalFormatting sqref="U15">
    <cfRule type="expression" dxfId="130" priority="115" stopIfTrue="1">
      <formula>$A15="Meta"</formula>
    </cfRule>
    <cfRule type="expression" dxfId="129" priority="116" stopIfTrue="1">
      <formula>OR(U$9=0,$A15&lt;&gt;"Serviço")</formula>
    </cfRule>
    <cfRule type="expression" dxfId="128" priority="117" stopIfTrue="1">
      <formula>TipoOrçamento="Licitado"</formula>
    </cfRule>
  </conditionalFormatting>
  <conditionalFormatting sqref="F15:O15">
    <cfRule type="expression" dxfId="127" priority="105" stopIfTrue="1">
      <formula>$A15="Meta"</formula>
    </cfRule>
    <cfRule type="expression" dxfId="126" priority="106" stopIfTrue="1">
      <formula>OR(F$9=0,$A15&lt;&gt;"Serviço")</formula>
    </cfRule>
    <cfRule type="expression" dxfId="125" priority="107" stopIfTrue="1">
      <formula>TipoOrçamento="Licitado"</formula>
    </cfRule>
  </conditionalFormatting>
  <conditionalFormatting sqref="D19:E20">
    <cfRule type="expression" dxfId="124" priority="69" stopIfTrue="1">
      <formula>$A19="Meta"</formula>
    </cfRule>
    <cfRule type="expression" dxfId="123" priority="70" stopIfTrue="1">
      <formula>$A19&lt;&gt;"Serviço"</formula>
    </cfRule>
  </conditionalFormatting>
  <conditionalFormatting sqref="C19:C20">
    <cfRule type="expression" dxfId="122" priority="71" stopIfTrue="1">
      <formula>$A19="Meta"</formula>
    </cfRule>
    <cfRule type="expression" dxfId="121" priority="72" stopIfTrue="1">
      <formula>$A19&lt;&gt;"Serviço"</formula>
    </cfRule>
  </conditionalFormatting>
  <conditionalFormatting sqref="A19:B20">
    <cfRule type="expression" dxfId="120" priority="73" stopIfTrue="1">
      <formula>$A19="Meta"</formula>
    </cfRule>
    <cfRule type="expression" dxfId="119" priority="74" stopIfTrue="1">
      <formula>LEFT($A19,5)="Nível"</formula>
    </cfRule>
    <cfRule type="expression" dxfId="118" priority="75" stopIfTrue="1">
      <formula>$A19=0</formula>
    </cfRule>
  </conditionalFormatting>
  <conditionalFormatting sqref="U19:U20">
    <cfRule type="expression" dxfId="117" priority="76" stopIfTrue="1">
      <formula>$A19="Meta"</formula>
    </cfRule>
    <cfRule type="expression" dxfId="116" priority="77" stopIfTrue="1">
      <formula>OR(U$9=0,$A19&lt;&gt;"Serviço")</formula>
    </cfRule>
    <cfRule type="expression" dxfId="115" priority="78" stopIfTrue="1">
      <formula>TipoOrçamento="Licitado"</formula>
    </cfRule>
  </conditionalFormatting>
  <conditionalFormatting sqref="F19:O20">
    <cfRule type="expression" dxfId="114" priority="66" stopIfTrue="1">
      <formula>$A19="Meta"</formula>
    </cfRule>
    <cfRule type="expression" dxfId="113" priority="67" stopIfTrue="1">
      <formula>OR(F$9=0,$A19&lt;&gt;"Serviço")</formula>
    </cfRule>
    <cfRule type="expression" dxfId="112" priority="68" stopIfTrue="1">
      <formula>TipoOrçamento="Licitado"</formula>
    </cfRule>
  </conditionalFormatting>
  <conditionalFormatting sqref="D69:E73">
    <cfRule type="expression" dxfId="111" priority="43" stopIfTrue="1">
      <formula>$A69="Meta"</formula>
    </cfRule>
    <cfRule type="expression" dxfId="110" priority="44" stopIfTrue="1">
      <formula>$A69&lt;&gt;"Serviço"</formula>
    </cfRule>
  </conditionalFormatting>
  <conditionalFormatting sqref="C69:C73">
    <cfRule type="expression" dxfId="109" priority="45" stopIfTrue="1">
      <formula>$A69="Meta"</formula>
    </cfRule>
    <cfRule type="expression" dxfId="108" priority="46" stopIfTrue="1">
      <formula>$A69&lt;&gt;"Serviço"</formula>
    </cfRule>
  </conditionalFormatting>
  <conditionalFormatting sqref="A69:B73">
    <cfRule type="expression" dxfId="107" priority="47" stopIfTrue="1">
      <formula>$A69="Meta"</formula>
    </cfRule>
    <cfRule type="expression" dxfId="106" priority="48" stopIfTrue="1">
      <formula>LEFT($A69,5)="Nível"</formula>
    </cfRule>
    <cfRule type="expression" dxfId="105" priority="49" stopIfTrue="1">
      <formula>$A69=0</formula>
    </cfRule>
  </conditionalFormatting>
  <conditionalFormatting sqref="D55:E55">
    <cfRule type="expression" dxfId="104" priority="30" stopIfTrue="1">
      <formula>$A55="Meta"</formula>
    </cfRule>
    <cfRule type="expression" dxfId="103" priority="31" stopIfTrue="1">
      <formula>$A55&lt;&gt;"Serviço"</formula>
    </cfRule>
  </conditionalFormatting>
  <conditionalFormatting sqref="C55">
    <cfRule type="expression" dxfId="102" priority="32" stopIfTrue="1">
      <formula>$A55="Meta"</formula>
    </cfRule>
    <cfRule type="expression" dxfId="101" priority="33" stopIfTrue="1">
      <formula>$A55&lt;&gt;"Serviço"</formula>
    </cfRule>
  </conditionalFormatting>
  <conditionalFormatting sqref="A55:B55">
    <cfRule type="expression" dxfId="100" priority="34" stopIfTrue="1">
      <formula>$A55="Meta"</formula>
    </cfRule>
    <cfRule type="expression" dxfId="99" priority="35" stopIfTrue="1">
      <formula>LEFT($A55,5)="Nível"</formula>
    </cfRule>
    <cfRule type="expression" dxfId="98" priority="36" stopIfTrue="1">
      <formula>$A55=0</formula>
    </cfRule>
  </conditionalFormatting>
  <conditionalFormatting sqref="U55">
    <cfRule type="expression" dxfId="97" priority="37" stopIfTrue="1">
      <formula>$A55="Meta"</formula>
    </cfRule>
    <cfRule type="expression" dxfId="96" priority="38" stopIfTrue="1">
      <formula>OR(U$9=0,$A55&lt;&gt;"Serviço")</formula>
    </cfRule>
    <cfRule type="expression" dxfId="95" priority="39" stopIfTrue="1">
      <formula>TipoOrçamento="Licitado"</formula>
    </cfRule>
  </conditionalFormatting>
  <conditionalFormatting sqref="F55:O55">
    <cfRule type="expression" dxfId="94" priority="27" stopIfTrue="1">
      <formula>$A55="Meta"</formula>
    </cfRule>
    <cfRule type="expression" dxfId="93" priority="28" stopIfTrue="1">
      <formula>OR(F$9=0,$A55&lt;&gt;"Serviço")</formula>
    </cfRule>
    <cfRule type="expression" dxfId="92" priority="29" stopIfTrue="1">
      <formula>TipoOrçamento="Licitado"</formula>
    </cfRule>
  </conditionalFormatting>
  <conditionalFormatting sqref="D102:E102">
    <cfRule type="expression" dxfId="91" priority="17" stopIfTrue="1">
      <formula>$A102="Meta"</formula>
    </cfRule>
    <cfRule type="expression" dxfId="90" priority="18" stopIfTrue="1">
      <formula>$A102&lt;&gt;"Serviço"</formula>
    </cfRule>
  </conditionalFormatting>
  <conditionalFormatting sqref="C102">
    <cfRule type="expression" dxfId="89" priority="19" stopIfTrue="1">
      <formula>$A102="Meta"</formula>
    </cfRule>
    <cfRule type="expression" dxfId="88" priority="20" stopIfTrue="1">
      <formula>$A102&lt;&gt;"Serviço"</formula>
    </cfRule>
  </conditionalFormatting>
  <conditionalFormatting sqref="A102:B102">
    <cfRule type="expression" dxfId="87" priority="21" stopIfTrue="1">
      <formula>$A102="Meta"</formula>
    </cfRule>
    <cfRule type="expression" dxfId="86" priority="22" stopIfTrue="1">
      <formula>LEFT($A102,5)="Nível"</formula>
    </cfRule>
    <cfRule type="expression" dxfId="85" priority="23" stopIfTrue="1">
      <formula>$A102=0</formula>
    </cfRule>
  </conditionalFormatting>
  <conditionalFormatting sqref="U102">
    <cfRule type="expression" dxfId="84" priority="24" stopIfTrue="1">
      <formula>$A102="Meta"</formula>
    </cfRule>
    <cfRule type="expression" dxfId="83" priority="25" stopIfTrue="1">
      <formula>OR(U$9=0,$A102&lt;&gt;"Serviço")</formula>
    </cfRule>
    <cfRule type="expression" dxfId="82" priority="26" stopIfTrue="1">
      <formula>TipoOrçamento="Licitado"</formula>
    </cfRule>
  </conditionalFormatting>
  <conditionalFormatting sqref="F102:O102">
    <cfRule type="expression" dxfId="81" priority="14" stopIfTrue="1">
      <formula>$A102="Meta"</formula>
    </cfRule>
    <cfRule type="expression" dxfId="80" priority="15" stopIfTrue="1">
      <formula>OR(F$9=0,$A102&lt;&gt;"Serviço")</formula>
    </cfRule>
    <cfRule type="expression" dxfId="79" priority="16" stopIfTrue="1">
      <formula>TipoOrçamento="Licitado"</formula>
    </cfRule>
  </conditionalFormatting>
  <conditionalFormatting sqref="D95:E95">
    <cfRule type="expression" dxfId="78" priority="4" stopIfTrue="1">
      <formula>$A95="Meta"</formula>
    </cfRule>
    <cfRule type="expression" dxfId="77" priority="5" stopIfTrue="1">
      <formula>$A95&lt;&gt;"Serviço"</formula>
    </cfRule>
  </conditionalFormatting>
  <conditionalFormatting sqref="C95">
    <cfRule type="expression" dxfId="76" priority="6" stopIfTrue="1">
      <formula>$A95="Meta"</formula>
    </cfRule>
    <cfRule type="expression" dxfId="75" priority="7" stopIfTrue="1">
      <formula>$A95&lt;&gt;"Serviço"</formula>
    </cfRule>
  </conditionalFormatting>
  <conditionalFormatting sqref="A95:B95">
    <cfRule type="expression" dxfId="74" priority="8" stopIfTrue="1">
      <formula>$A95="Meta"</formula>
    </cfRule>
    <cfRule type="expression" dxfId="73" priority="9" stopIfTrue="1">
      <formula>LEFT($A95,5)="Nível"</formula>
    </cfRule>
    <cfRule type="expression" dxfId="72" priority="10" stopIfTrue="1">
      <formula>$A95=0</formula>
    </cfRule>
  </conditionalFormatting>
  <conditionalFormatting sqref="U95">
    <cfRule type="expression" dxfId="71" priority="11" stopIfTrue="1">
      <formula>$A95="Meta"</formula>
    </cfRule>
    <cfRule type="expression" dxfId="70" priority="12" stopIfTrue="1">
      <formula>OR(U$9=0,$A95&lt;&gt;"Serviço")</formula>
    </cfRule>
    <cfRule type="expression" dxfId="69" priority="13" stopIfTrue="1">
      <formula>TipoOrçamento="Licitado"</formula>
    </cfRule>
  </conditionalFormatting>
  <conditionalFormatting sqref="F95:O95">
    <cfRule type="expression" dxfId="68" priority="1" stopIfTrue="1">
      <formula>$A95="Meta"</formula>
    </cfRule>
    <cfRule type="expression" dxfId="67" priority="2" stopIfTrue="1">
      <formula>OR(F$9=0,$A95&lt;&gt;"Serviço")</formula>
    </cfRule>
    <cfRule type="expression" dxfId="66"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110 F14:O110"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116 B113"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100"/>
  <sheetViews>
    <sheetView showGridLines="0" topLeftCell="L7" zoomScaleNormal="100" zoomScaleSheetLayoutView="100" workbookViewId="0">
      <selection activeCell="U84" sqref="U84"/>
    </sheetView>
  </sheetViews>
  <sheetFormatPr defaultColWidth="9.140625"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176</v>
      </c>
      <c r="B8" s="1"/>
      <c r="C8" s="1"/>
      <c r="D8" s="1"/>
      <c r="E8" s="1"/>
      <c r="F8" s="1"/>
      <c r="G8" s="1"/>
      <c r="H8" s="1"/>
      <c r="I8" s="1"/>
      <c r="J8" s="1"/>
      <c r="K8" s="1"/>
      <c r="L8" s="379" t="str">
        <f ca="1">IF(MAX($A$14:$A$91)&lt;&gt;MAX(PO!$V$12:$V$111),"ERRO: CRONOGRAMA DESATUALIZADO",IF(OR(COUNTIF($O$16:$X$16,"&gt;1")&gt;0,OFFSET($X$17,0,-1)&lt;&gt;$N$14),"ERRO: CRONOGRAMA NÃO FECHA EM 100%",""))</f>
        <v>ERRO: CRONOGRAMA NÃO FECHA EM 100%</v>
      </c>
      <c r="M8" s="379"/>
      <c r="N8" s="160" t="str">
        <f>IF(TipoOrçamento="REPROGRAMADOAC","Qtde de Medições realizadas","")</f>
        <v/>
      </c>
      <c r="O8" s="178"/>
      <c r="P8" s="179"/>
      <c r="Q8" s="1"/>
      <c r="R8" s="1"/>
      <c r="S8" s="1"/>
      <c r="T8" s="1"/>
      <c r="U8" s="1"/>
      <c r="V8" s="1"/>
      <c r="W8" s="1"/>
      <c r="X8" s="1"/>
      <c r="AC8" s="1"/>
    </row>
    <row r="9" spans="1:29" s="41" customFormat="1" ht="14.1" customHeight="1" x14ac:dyDescent="0.2">
      <c r="A9" s="166">
        <v>4</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01/11/21</v>
      </c>
      <c r="P10" s="219" t="str">
        <f ca="1">IF(AND(TipoOrçamento="REPROGRAMADOAC",$N$9&gt;0,N10="Valores Totais (R$)"),"Parcela "&amp;$N$9&amp;" Executado","Parcela "&amp;P$9&amp;CHAR(10)&amp;TEXT(DATE(YEAR(DADOS!$A$48),MONTH(DADOS!$A$48)+P$9-IF(AND(TipoOrçamento="REPROGRAMADOAC",$N$9&gt;0),$N$9,0),1),"mmm/aa"))</f>
        <v>Parcela 1
dez/21</v>
      </c>
      <c r="Q10" s="210" t="str">
        <f ca="1">IF(AND(TipoOrçamento="REPROGRAMADOAC",$N$9&gt;0,O10="Valores Totais (R$)"),"Parcela "&amp;$N$9&amp;" Executado","Parcela "&amp;Q$9&amp;CHAR(10)&amp;TEXT(DATE(YEAR(DADOS!$A$48),MONTH(DADOS!$A$48)+Q$9-IF(AND(TipoOrçamento="REPROGRAMADOAC",$N$9&gt;0),$N$9,0),1),"mmm/aa"))</f>
        <v>Parcela 2
jan/22</v>
      </c>
      <c r="R10" s="210" t="str">
        <f ca="1">IF(AND(TipoOrçamento="REPROGRAMADOAC",$N$9&gt;0,P10="Valores Totais (R$)"),"Parcela "&amp;$N$9&amp;" Executado","Parcela "&amp;R$9&amp;CHAR(10)&amp;TEXT(DATE(YEAR(DADOS!$A$48),MONTH(DADOS!$A$48)+R$9-IF(AND(TipoOrçamento="REPROGRAMADOAC",$N$9&gt;0),$N$9,0),1),"mmm/aa"))</f>
        <v>Parcela 3
fev/22</v>
      </c>
      <c r="S10" s="210" t="str">
        <f ca="1">IF(AND(TipoOrçamento="REPROGRAMADOAC",$N$9&gt;0,Q10="Valores Totais (R$)"),"Parcela "&amp;$N$9&amp;" Executado","Parcela "&amp;S$9&amp;CHAR(10)&amp;TEXT(DATE(YEAR(DADOS!$A$48),MONTH(DADOS!$A$48)+S$9-IF(AND(TipoOrçamento="REPROGRAMADOAC",$N$9&gt;0),$N$9,0),1),"mmm/aa"))</f>
        <v>Parcela 4
mar/22</v>
      </c>
      <c r="T10" s="210" t="str">
        <f ca="1">IF(AND(TipoOrçamento="REPROGRAMADOAC",$N$9&gt;0,R10="Valores Totais (R$)"),"Parcela "&amp;$N$9&amp;" Executado","Parcela "&amp;T$9&amp;CHAR(10)&amp;TEXT(DATE(YEAR(DADOS!$A$48),MONTH(DADOS!$A$48)+T$9-IF(AND(TipoOrçamento="REPROGRAMADOAC",$N$9&gt;0),$N$9,0),1),"mmm/aa"))</f>
        <v>Parcela 5
abr/22</v>
      </c>
      <c r="U10" s="210" t="str">
        <f ca="1">IF(AND(TipoOrçamento="REPROGRAMADOAC",$N$9&gt;0,S10="Valores Totais (R$)"),"Parcela "&amp;$N$9&amp;" Executado","Parcela "&amp;U$9&amp;CHAR(10)&amp;TEXT(DATE(YEAR(DADOS!$A$48),MONTH(DADOS!$A$48)+U$9-IF(AND(TipoOrçamento="REPROGRAMADOAC",$N$9&gt;0),$N$9,0),1),"mmm/aa"))</f>
        <v>Parcela 6
mai/22</v>
      </c>
      <c r="V10" s="210" t="str">
        <f ca="1">IF(AND(TipoOrçamento="REPROGRAMADOAC",$N$9&gt;0,T10="Valores Totais (R$)"),"Parcela "&amp;$N$9&amp;" Executado","Parcela "&amp;V$9&amp;CHAR(10)&amp;TEXT(DATE(YEAR(DADOS!$A$48),MONTH(DADOS!$A$48)+V$9-IF(AND(TipoOrçamento="REPROGRAMADOAC",$N$9&gt;0),$N$9,0),1),"mmm/aa"))</f>
        <v>Parcela 7
jun/22</v>
      </c>
      <c r="W10" s="222" t="str">
        <f ca="1">IF(AND(TipoOrçamento="REPROGRAMADOAC",$N$9&gt;0,U10="Valores Totais (R$)"),"Parcela "&amp;$N$9&amp;" Executado","Parcela "&amp;W$9&amp;CHAR(10)&amp;TEXT(DATE(YEAR(DADOS!$A$48),MONTH(DADOS!$A$48)+W$9-IF(AND(TipoOrçamento="REPROGRAMADOAC",$N$9&gt;0),$N$9,0),1),"mmm/aa"))</f>
        <v>Parcela 8
jul/22</v>
      </c>
      <c r="X10" s="195"/>
      <c r="AC10" s="210" t="str">
        <f ca="1">IF(AND(TipoOrçamento="REPROGRAMADOAC",$N$9&gt;0,AA10="Valores Totais (R$)"),"Parcela "&amp;$N$9&amp;" Executado","Parcela "&amp;AC$9&amp;CHAR(10)&amp;TEXT(DATE(YEAR(DADOS!$A$48),MONTH(DADOS!$A$48)+AC$9-IF(AND(TipoOrçamento="REPROGRAMADOAC",$N$9&gt;0),$N$9,0),1),"mmm/aa"))</f>
        <v>Parcela 1
dez/21</v>
      </c>
    </row>
    <row r="11" spans="1:29" customFormat="1" ht="14.25" hidden="1" customHeight="1" x14ac:dyDescent="0.2">
      <c r="A11" s="82"/>
      <c r="B11" s="82"/>
      <c r="C11" s="82"/>
      <c r="D11" s="82"/>
      <c r="E11" s="82"/>
      <c r="F11" s="82"/>
      <c r="G11" s="82"/>
      <c r="H11" s="82"/>
      <c r="I11" s="82"/>
      <c r="J11" s="82"/>
      <c r="K11" s="82"/>
      <c r="L11" s="373" t="e">
        <f ca="1">INDEX(PO!K$12:K$111,MATCH($A13,PO!$V$12:$V$111,0))</f>
        <v>#VALUE!</v>
      </c>
      <c r="M11" s="375" t="e">
        <f ca="1">INDEX(PO!N$12:N$111,MATCH($A13,PO!$V$12:$V$111,0))</f>
        <v>#VALUE!</v>
      </c>
      <c r="N11" s="377"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74"/>
      <c r="M12" s="376"/>
      <c r="N12" s="378"/>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INDEX(PO!A$12:A$111,MATCH($A13,PO!$V$12:$V$111,0))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MATCH(0,OFFSET($D13,1,$C13,ROW($A$90)-ROW($A13)),0)</f>
        <v>#VALUE!</v>
      </c>
      <c r="J13" s="184" t="e">
        <f ca="1">MATCH(OFFSET($D13,0,$C13)+1,OFFSET($D13,1,$C13,ROW($A$90)-ROW($A13)),0)</f>
        <v>#VALUE!</v>
      </c>
      <c r="K13" s="185" t="e">
        <f ca="1">ROUND(INDEX(PO!T$12:T$111,MATCH($A13,PO!$V$12:$V$111,0)),2)+10^-12</f>
        <v>#VALUE!</v>
      </c>
      <c r="L13" s="374"/>
      <c r="M13" s="376"/>
      <c r="N13" s="378"/>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85" t="s">
        <v>19</v>
      </c>
      <c r="M14" s="386"/>
      <c r="N14" s="391">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
      <c r="A15" s="1"/>
      <c r="B15" s="1"/>
      <c r="C15" s="1"/>
      <c r="D15" s="1"/>
      <c r="E15" s="1"/>
      <c r="F15" s="1"/>
      <c r="G15" s="1"/>
      <c r="H15" s="1"/>
      <c r="I15" s="1"/>
      <c r="J15" s="1"/>
      <c r="K15" s="1"/>
      <c r="L15" s="387"/>
      <c r="M15" s="388"/>
      <c r="N15" s="392"/>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
      <c r="A16" s="1"/>
      <c r="B16" s="1"/>
      <c r="C16" s="1"/>
      <c r="D16" s="1"/>
      <c r="E16" s="1"/>
      <c r="F16" s="1"/>
      <c r="G16" s="1"/>
      <c r="H16" s="1"/>
      <c r="I16" s="1"/>
      <c r="J16" s="1"/>
      <c r="K16" s="1"/>
      <c r="L16" s="387"/>
      <c r="M16" s="388"/>
      <c r="N16" s="392"/>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
      <c r="A17" s="114">
        <v>0</v>
      </c>
      <c r="B17" s="1"/>
      <c r="C17" s="1"/>
      <c r="D17" s="114">
        <f>ROW(D$90)-ROW(D18)</f>
        <v>72</v>
      </c>
      <c r="E17" s="1"/>
      <c r="F17" s="1"/>
      <c r="G17" s="1"/>
      <c r="H17" s="1"/>
      <c r="I17" s="1"/>
      <c r="J17" s="1"/>
      <c r="K17" s="1"/>
      <c r="L17" s="389"/>
      <c r="M17" s="390"/>
      <c r="N17" s="393"/>
      <c r="O17" s="158" t="s">
        <v>20</v>
      </c>
      <c r="P17" s="202">
        <f ca="1">SUMIF(OFFSET($C17,1,0):$C$90,1,OFFSET(P17,1,0):P$90)</f>
        <v>0</v>
      </c>
      <c r="Q17" s="152">
        <f ca="1">SUMIF(OFFSET($C17,1,0):$C$90,1,OFFSET(Q17,1,0):Q$90)</f>
        <v>0</v>
      </c>
      <c r="R17" s="152">
        <f ca="1">SUMIF(OFFSET($C17,1,0):$C$90,1,OFFSET(R17,1,0):R$90)</f>
        <v>0</v>
      </c>
      <c r="S17" s="152">
        <f ca="1">SUMIF(OFFSET($C17,1,0):$C$90,1,OFFSET(S17,1,0):S$90)</f>
        <v>0</v>
      </c>
      <c r="T17" s="152">
        <f ca="1">SUMIF(OFFSET($C17,1,0):$C$90,1,OFFSET(T17,1,0):T$90)</f>
        <v>0</v>
      </c>
      <c r="U17" s="152">
        <f ca="1">SUMIF(OFFSET($C17,1,0):$C$90,1,OFFSET(U17,1,0):U$90)</f>
        <v>0</v>
      </c>
      <c r="V17" s="152">
        <f ca="1">SUMIF(OFFSET($C17,1,0):$C$90,1,OFFSET(V17,1,0):V$90)</f>
        <v>0</v>
      </c>
      <c r="W17" s="152">
        <f ca="1">SUMIF(OFFSET($C17,1,0):$C$90,1,OFFSET(W17,1,0):W$90)</f>
        <v>0</v>
      </c>
      <c r="X17" s="171"/>
      <c r="AC17" s="152">
        <f ca="1">SUMIF(OFFSET($C17,1,0):$C$90,1,OFFSET(AC17,1,0):AC$90)</f>
        <v>0</v>
      </c>
    </row>
    <row r="18" spans="1:29" customFormat="1" ht="14.25" customHeight="1" x14ac:dyDescent="0.2">
      <c r="A18" s="1"/>
      <c r="B18" s="1"/>
      <c r="C18" s="1"/>
      <c r="D18" s="1"/>
      <c r="E18" s="1"/>
      <c r="F18" s="1"/>
      <c r="G18" s="1"/>
      <c r="H18" s="1"/>
      <c r="I18" s="1"/>
      <c r="J18" s="1"/>
      <c r="K18" s="1"/>
      <c r="L18" s="373" t="str">
        <f ca="1">INDEX(PO!K$12:K$111,MATCH($A20,PO!$V$12:$V$111,0))</f>
        <v>1.</v>
      </c>
      <c r="M18" s="375" t="str">
        <f ca="1">INDEX(PO!N$12:N$111,MATCH($A20,PO!$V$12:$V$111,0))</f>
        <v>SERVIÇO INICIAIS</v>
      </c>
      <c r="N18" s="377">
        <f ca="1">IF(ROUND(K20,2)=0,K20,ROUND(K20,2))</f>
        <v>9.9999999999999998E-13</v>
      </c>
      <c r="O18" s="203" t="s">
        <v>143</v>
      </c>
      <c r="P18" s="225">
        <v>1</v>
      </c>
      <c r="Q18" s="226">
        <f t="shared" ref="Q18:W18" ca="1" si="7">IF($B20,0,Q19-IF(ISNUMBER(P19),P19,0))</f>
        <v>0</v>
      </c>
      <c r="R18" s="226">
        <f t="shared" ca="1" si="7"/>
        <v>0</v>
      </c>
      <c r="S18" s="226">
        <f t="shared" ca="1" si="7"/>
        <v>0</v>
      </c>
      <c r="T18" s="226">
        <f t="shared" ca="1" si="7"/>
        <v>0</v>
      </c>
      <c r="U18" s="226">
        <f t="shared" ca="1" si="7"/>
        <v>0</v>
      </c>
      <c r="V18" s="226">
        <f t="shared" ca="1" si="7"/>
        <v>0</v>
      </c>
      <c r="W18" s="227">
        <f t="shared" ca="1" si="7"/>
        <v>0</v>
      </c>
      <c r="X18" s="197" t="s">
        <v>106</v>
      </c>
      <c r="AC18" s="221">
        <f ca="1">IF($B20,0,AC19-IF(ISNUMBER(AB19),AB19,0))</f>
        <v>0</v>
      </c>
    </row>
    <row r="19" spans="1:29" customFormat="1" ht="14.25" x14ac:dyDescent="0.2">
      <c r="A19" s="1"/>
      <c r="B19" s="1"/>
      <c r="C19" s="1"/>
      <c r="D19" s="1"/>
      <c r="E19" s="1"/>
      <c r="F19" s="1"/>
      <c r="G19" s="1"/>
      <c r="H19" s="1"/>
      <c r="I19" s="1"/>
      <c r="J19" s="1"/>
      <c r="K19" s="1"/>
      <c r="L19" s="374"/>
      <c r="M19" s="376"/>
      <c r="N19" s="378"/>
      <c r="O19" s="170" t="s">
        <v>145</v>
      </c>
      <c r="P19" s="198">
        <f t="shared" ref="P19:W19" ca="1" si="8">MIN(IF($B20,P18+IF(ISNUMBER(O19),O19,0),P20/$N18),1)</f>
        <v>1</v>
      </c>
      <c r="Q19" s="168">
        <f t="shared" ca="1" si="8"/>
        <v>1</v>
      </c>
      <c r="R19" s="168">
        <f t="shared" ca="1" si="8"/>
        <v>1</v>
      </c>
      <c r="S19" s="168">
        <f t="shared" ca="1" si="8"/>
        <v>1</v>
      </c>
      <c r="T19" s="168">
        <f t="shared" ca="1" si="8"/>
        <v>1</v>
      </c>
      <c r="U19" s="168">
        <f t="shared" ca="1" si="8"/>
        <v>1</v>
      </c>
      <c r="V19" s="168">
        <f t="shared" ca="1" si="8"/>
        <v>1</v>
      </c>
      <c r="W19" s="168">
        <f t="shared" ca="1" si="8"/>
        <v>1</v>
      </c>
      <c r="X19" s="196"/>
      <c r="AC19" s="168">
        <f ca="1">MIN(IF($B20,AC18+IF(ISNUMBER(AB19),AB19,0),AC20/$N18),1)</f>
        <v>0</v>
      </c>
    </row>
    <row r="20" spans="1:29" customFormat="1" ht="14.25" x14ac:dyDescent="0.2">
      <c r="A20" s="114">
        <f ca="1">OFFSET(A20,-CFF.NumLinha,0)+1</f>
        <v>1</v>
      </c>
      <c r="B20" s="1" t="b">
        <f ca="1">$C20&gt;=OFFSET($C20,CFF.NumLinha,0)</f>
        <v>1</v>
      </c>
      <c r="C20" s="184">
        <f ca="1">INDEX(PO!A$12:A$111,MATCH($A20,PO!$V$12:$V$111,0))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MATCH(0,OFFSET($D20,1,$C20,ROW($A$90)-ROW($A20)),0)</f>
        <v>70</v>
      </c>
      <c r="J20" s="184">
        <f ca="1">MATCH(OFFSET($D20,0,$C20)+1,OFFSET($D20,1,$C20,ROW($A$90)-ROW($A20)),0)</f>
        <v>3</v>
      </c>
      <c r="K20" s="185">
        <f ca="1">ROUND(INDEX(PO!T$12:T$111,MATCH($A20,PO!$V$12:$V$111,0)),2)+10^-12</f>
        <v>9.9999999999999998E-13</v>
      </c>
      <c r="L20" s="374"/>
      <c r="M20" s="376"/>
      <c r="N20" s="378"/>
      <c r="O20" s="204" t="s">
        <v>20</v>
      </c>
      <c r="P20" s="199">
        <f t="shared" ref="P20:W20" ca="1" si="9">IF($B20,ROUND(P19*$N18,2),ROUND(SUMIF(OFFSET($B20,1,0,$D20),TRUE,OFFSET(P20,1,0,$D20))/SUMIF(OFFSET($B20,1,0,$D20),TRUE,OFFSET($K20,1,0,$D20))*$N18,2))</f>
        <v>0</v>
      </c>
      <c r="Q20" s="169">
        <f t="shared" ca="1" si="9"/>
        <v>0</v>
      </c>
      <c r="R20" s="169">
        <f t="shared" ca="1" si="9"/>
        <v>0</v>
      </c>
      <c r="S20" s="169">
        <f t="shared" ca="1" si="9"/>
        <v>0</v>
      </c>
      <c r="T20" s="169">
        <f t="shared" ca="1" si="9"/>
        <v>0</v>
      </c>
      <c r="U20" s="169">
        <f t="shared" ca="1" si="9"/>
        <v>0</v>
      </c>
      <c r="V20" s="169">
        <f t="shared" ca="1" si="9"/>
        <v>0</v>
      </c>
      <c r="W20" s="207">
        <f t="shared" ca="1" si="9"/>
        <v>0</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73" t="str">
        <f ca="1">INDEX(PO!K$12:K$111,MATCH($A23,PO!$V$12:$V$111,0))</f>
        <v>2.</v>
      </c>
      <c r="M21" s="375" t="str">
        <f ca="1">INDEX(PO!N$12:N$111,MATCH($A23,PO!$V$12:$V$111,0))</f>
        <v>BLOCO B</v>
      </c>
      <c r="N21" s="377">
        <f t="shared" ref="N21" ca="1" si="10">IF(ROUND(K23,2)=0,K23,ROUND(K23,2))</f>
        <v>9.9999999999999998E-13</v>
      </c>
      <c r="O21" s="220" t="s">
        <v>143</v>
      </c>
      <c r="P21" s="225">
        <f t="shared" ref="P21" ca="1" si="11">IF($B23,0,P22-IF(ISNUMBER(O22),O22,0))</f>
        <v>0</v>
      </c>
      <c r="Q21" s="226">
        <f t="shared" ref="Q21" ca="1" si="12">IF($B23,0,Q22-IF(ISNUMBER(P22),P22,0))</f>
        <v>0</v>
      </c>
      <c r="R21" s="226">
        <f t="shared" ref="R21" ca="1" si="13">IF($B23,0,R22-IF(ISNUMBER(Q22),Q22,0))</f>
        <v>0</v>
      </c>
      <c r="S21" s="226">
        <f t="shared" ref="S21" ca="1" si="14">IF($B23,0,S22-IF(ISNUMBER(R22),R22,0))</f>
        <v>0</v>
      </c>
      <c r="T21" s="226">
        <f t="shared" ref="T21" ca="1" si="15">IF($B23,0,T22-IF(ISNUMBER(S22),S22,0))</f>
        <v>0</v>
      </c>
      <c r="U21" s="226">
        <f t="shared" ref="U21" ca="1" si="16">IF($B23,0,U22-IF(ISNUMBER(T22),T22,0))</f>
        <v>0</v>
      </c>
      <c r="V21" s="226">
        <f t="shared" ref="V21" ca="1" si="17">IF($B23,0,V22-IF(ISNUMBER(U22),U22,0))</f>
        <v>0</v>
      </c>
      <c r="W21" s="227">
        <f t="shared" ref="W21" ca="1" si="18">IF($B23,0,W22-IF(ISNUMBER(V22),V22,0))</f>
        <v>0</v>
      </c>
      <c r="X21" s="196"/>
      <c r="AC21" s="221">
        <f t="shared" ref="AC21" ca="1" si="19">IF($B23,0,AC22-IF(ISNUMBER(AB22),AB22,0))</f>
        <v>0</v>
      </c>
    </row>
    <row r="22" spans="1:29" customFormat="1" ht="14.25" x14ac:dyDescent="0.2">
      <c r="A22" s="184"/>
      <c r="B22" s="184"/>
      <c r="C22" s="184"/>
      <c r="D22" s="184"/>
      <c r="E22" s="184"/>
      <c r="F22" s="184"/>
      <c r="G22" s="184"/>
      <c r="H22" s="184"/>
      <c r="I22" s="184"/>
      <c r="J22" s="184"/>
      <c r="K22" s="184"/>
      <c r="L22" s="374"/>
      <c r="M22" s="376"/>
      <c r="N22" s="378"/>
      <c r="O22" s="170" t="s">
        <v>145</v>
      </c>
      <c r="P22" s="198">
        <f t="shared" ref="P22" ca="1" si="20">MIN(IF($B23,P21+IF(ISNUMBER(O22),O22,0),P23/$N21),1)</f>
        <v>0</v>
      </c>
      <c r="Q22" s="168">
        <f t="shared" ref="Q22" ca="1" si="21">MIN(IF($B23,Q21+IF(ISNUMBER(P22),P22,0),Q23/$N21),1)</f>
        <v>0</v>
      </c>
      <c r="R22" s="168">
        <f t="shared" ref="R22" ca="1" si="22">MIN(IF($B23,R21+IF(ISNUMBER(Q22),Q22,0),R23/$N21),1)</f>
        <v>0</v>
      </c>
      <c r="S22" s="168">
        <f t="shared" ref="S22" ca="1" si="23">MIN(IF($B23,S21+IF(ISNUMBER(R22),R22,0),S23/$N21),1)</f>
        <v>0</v>
      </c>
      <c r="T22" s="168">
        <f t="shared" ref="T22" ca="1" si="24">MIN(IF($B23,T21+IF(ISNUMBER(S22),S22,0),T23/$N21),1)</f>
        <v>0</v>
      </c>
      <c r="U22" s="168">
        <f t="shared" ref="U22" ca="1" si="25">MIN(IF($B23,U21+IF(ISNUMBER(T22),T22,0),U23/$N21),1)</f>
        <v>0</v>
      </c>
      <c r="V22" s="168">
        <f t="shared" ref="V22" ca="1" si="26">MIN(IF($B23,V21+IF(ISNUMBER(U22),U22,0),V23/$N21),1)</f>
        <v>0</v>
      </c>
      <c r="W22" s="168">
        <f t="shared" ref="W22" ca="1" si="27">MIN(IF($B23,W21+IF(ISNUMBER(V22),V22,0),W23/$N21),1)</f>
        <v>0</v>
      </c>
      <c r="X22" s="196"/>
      <c r="AC22" s="168">
        <f t="shared" ref="AC22" ca="1" si="28">MIN(IF($B23,AC21+IF(ISNUMBER(AB22),AB22,0),AC23/$N21),1)</f>
        <v>0</v>
      </c>
    </row>
    <row r="23" spans="1:29" customFormat="1" ht="14.25" x14ac:dyDescent="0.2">
      <c r="A23" s="184">
        <f ca="1">OFFSET(A23,-CFF.NumLinha,0)+1</f>
        <v>2</v>
      </c>
      <c r="B23" s="184" t="b">
        <f ca="1">$C23&gt;=OFFSET($C23,CFF.NumLinha,0)</f>
        <v>0</v>
      </c>
      <c r="C23" s="184">
        <f ca="1">INDEX(PO!A$12:A$111,MATCH($A23,PO!$V$12:$V$111,0))</f>
        <v>1</v>
      </c>
      <c r="D23" s="184">
        <f t="shared" ref="D23" ca="1" si="29">IF(ISERROR(J23),I23,SMALL(I23:J23,1))-1</f>
        <v>14</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MATCH(0,OFFSET($D23,1,$C23,ROW($A$90)-ROW($A23)),0)</f>
        <v>67</v>
      </c>
      <c r="J23" s="184">
        <f ca="1">MATCH(OFFSET($D23,0,$C23)+1,OFFSET($D23,1,$C23,ROW($A$90)-ROW($A23)),0)</f>
        <v>15</v>
      </c>
      <c r="K23" s="185">
        <f ca="1">ROUND(INDEX(PO!T$12:T$111,MATCH($A23,PO!$V$12:$V$111,0)),2)+10^-12</f>
        <v>9.9999999999999998E-13</v>
      </c>
      <c r="L23" s="374"/>
      <c r="M23" s="376"/>
      <c r="N23" s="378"/>
      <c r="O23" s="204" t="s">
        <v>20</v>
      </c>
      <c r="P23" s="199">
        <f t="shared" ref="P23:W23" ca="1" si="30">IF($B23,ROUND(P22*$N21,2),ROUND(SUMIF(OFFSET($B23,1,0,$D23),TRUE,OFFSET(P23,1,0,$D23))/SUMIF(OFFSET($B23,1,0,$D23),TRUE,OFFSET($K23,1,0,$D23))*$N21,2))</f>
        <v>0</v>
      </c>
      <c r="Q23" s="169">
        <f t="shared" ca="1" si="30"/>
        <v>0</v>
      </c>
      <c r="R23" s="169">
        <f t="shared" ca="1" si="30"/>
        <v>0</v>
      </c>
      <c r="S23" s="169">
        <f t="shared" ca="1" si="30"/>
        <v>0</v>
      </c>
      <c r="T23" s="169">
        <f t="shared" ca="1" si="30"/>
        <v>0</v>
      </c>
      <c r="U23" s="169">
        <f t="shared" ca="1" si="30"/>
        <v>0</v>
      </c>
      <c r="V23" s="169">
        <f t="shared" ca="1" si="30"/>
        <v>0</v>
      </c>
      <c r="W23" s="207">
        <f t="shared" ca="1" si="30"/>
        <v>0</v>
      </c>
      <c r="X23" s="196"/>
      <c r="AC23" s="169">
        <f t="shared" ref="AC23" ca="1" si="31">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73" t="str">
        <f ca="1">INDEX(PO!K$12:K$111,MATCH($A26,PO!$V$12:$V$111,0))</f>
        <v>2.1.</v>
      </c>
      <c r="M24" s="375" t="str">
        <f ca="1">INDEX(PO!N$12:N$111,MATCH($A26,PO!$V$12:$V$111,0))</f>
        <v>FORRO</v>
      </c>
      <c r="N24" s="377">
        <f t="shared" ref="N24" ca="1" si="32">IF(ROUND(K26,2)=0,K26,ROUND(K26,2))</f>
        <v>9.9999999999999998E-13</v>
      </c>
      <c r="O24" s="220" t="s">
        <v>143</v>
      </c>
      <c r="P24" s="225">
        <f t="shared" ref="P24" ca="1" si="33">IF($B26,0,P25-IF(ISNUMBER(O25),O25,0))</f>
        <v>0</v>
      </c>
      <c r="Q24" s="226">
        <v>1</v>
      </c>
      <c r="R24" s="226">
        <f t="shared" ref="R24" ca="1" si="34">IF($B26,0,R25-IF(ISNUMBER(Q25),Q25,0))</f>
        <v>0</v>
      </c>
      <c r="S24" s="226">
        <f t="shared" ref="S24" ca="1" si="35">IF($B26,0,S25-IF(ISNUMBER(R25),R25,0))</f>
        <v>0</v>
      </c>
      <c r="T24" s="226">
        <f t="shared" ref="T24" ca="1" si="36">IF($B26,0,T25-IF(ISNUMBER(S25),S25,0))</f>
        <v>0</v>
      </c>
      <c r="U24" s="226">
        <f t="shared" ref="U24" ca="1" si="37">IF($B26,0,U25-IF(ISNUMBER(T25),T25,0))</f>
        <v>0</v>
      </c>
      <c r="V24" s="226">
        <f t="shared" ref="V24" ca="1" si="38">IF($B26,0,V25-IF(ISNUMBER(U25),U25,0))</f>
        <v>0</v>
      </c>
      <c r="W24" s="227">
        <f t="shared" ref="W24" ca="1" si="39">IF($B26,0,W25-IF(ISNUMBER(V25),V25,0))</f>
        <v>0</v>
      </c>
      <c r="X24" s="196"/>
      <c r="AC24" s="221">
        <f t="shared" ref="AC24" ca="1" si="40">IF($B26,0,AC25-IF(ISNUMBER(AB25),AB25,0))</f>
        <v>0</v>
      </c>
    </row>
    <row r="25" spans="1:29" customFormat="1" ht="14.25" x14ac:dyDescent="0.2">
      <c r="A25" s="184"/>
      <c r="B25" s="184"/>
      <c r="C25" s="184"/>
      <c r="D25" s="184"/>
      <c r="E25" s="184"/>
      <c r="F25" s="184"/>
      <c r="G25" s="184"/>
      <c r="H25" s="184"/>
      <c r="I25" s="184"/>
      <c r="J25" s="184"/>
      <c r="K25" s="184"/>
      <c r="L25" s="374"/>
      <c r="M25" s="376"/>
      <c r="N25" s="378"/>
      <c r="O25" s="170" t="s">
        <v>145</v>
      </c>
      <c r="P25" s="198">
        <f t="shared" ref="P25" ca="1" si="41">MIN(IF($B26,P24+IF(ISNUMBER(O25),O25,0),P26/$N24),1)</f>
        <v>0</v>
      </c>
      <c r="Q25" s="168">
        <f t="shared" ref="Q25" ca="1" si="42">MIN(IF($B26,Q24+IF(ISNUMBER(P25),P25,0),Q26/$N24),1)</f>
        <v>1</v>
      </c>
      <c r="R25" s="168">
        <f t="shared" ref="R25" ca="1" si="43">MIN(IF($B26,R24+IF(ISNUMBER(Q25),Q25,0),R26/$N24),1)</f>
        <v>1</v>
      </c>
      <c r="S25" s="168">
        <f t="shared" ref="S25" ca="1" si="44">MIN(IF($B26,S24+IF(ISNUMBER(R25),R25,0),S26/$N24),1)</f>
        <v>1</v>
      </c>
      <c r="T25" s="168">
        <f t="shared" ref="T25" ca="1" si="45">MIN(IF($B26,T24+IF(ISNUMBER(S25),S25,0),T26/$N24),1)</f>
        <v>1</v>
      </c>
      <c r="U25" s="168">
        <f t="shared" ref="U25" ca="1" si="46">MIN(IF($B26,U24+IF(ISNUMBER(T25),T25,0),U26/$N24),1)</f>
        <v>1</v>
      </c>
      <c r="V25" s="168">
        <f t="shared" ref="V25" ca="1" si="47">MIN(IF($B26,V24+IF(ISNUMBER(U25),U25,0),V26/$N24),1)</f>
        <v>1</v>
      </c>
      <c r="W25" s="168">
        <f t="shared" ref="W25" ca="1" si="48">MIN(IF($B26,W24+IF(ISNUMBER(V25),V25,0),W26/$N24),1)</f>
        <v>1</v>
      </c>
      <c r="X25" s="196"/>
      <c r="AC25" s="168">
        <f t="shared" ref="AC25" ca="1" si="49">MIN(IF($B26,AC24+IF(ISNUMBER(AB25),AB25,0),AC26/$N24),1)</f>
        <v>0</v>
      </c>
    </row>
    <row r="26" spans="1:29" customFormat="1" ht="14.25" x14ac:dyDescent="0.2">
      <c r="A26" s="184">
        <f ca="1">OFFSET(A26,-CFF.NumLinha,0)+1</f>
        <v>3</v>
      </c>
      <c r="B26" s="184" t="b">
        <f ca="1">$C26&gt;=OFFSET($C26,CFF.NumLinha,0)</f>
        <v>1</v>
      </c>
      <c r="C26" s="184">
        <f ca="1">INDEX(PO!A$12:A$111,MATCH($A26,PO!$V$12:$V$111,0))</f>
        <v>2</v>
      </c>
      <c r="D26" s="184">
        <f t="shared" ref="D26" ca="1" si="50">IF(ISERROR(J26),I26,SMALL(I26:J26,1))-1</f>
        <v>2</v>
      </c>
      <c r="E26" s="184">
        <f ca="1">IF($C26=1,OFFSET(E26,-CFF.NumLinha,0)+1,OFFSET(E26,-CFF.NumLinha,0))</f>
        <v>2</v>
      </c>
      <c r="F26" s="184">
        <f ca="1">IF($C26=1,0,IF($C26=2,OFFSET(F26,-CFF.NumLinha,0)+1,OFFSET(F26,-CFF.NumLinha,0)))</f>
        <v>1</v>
      </c>
      <c r="G26" s="184">
        <f ca="1">IF(AND($C26&lt;=2,$C26&lt;&gt;0),0,IF($C26=3,OFFSET(G26,-CFF.NumLinha,0)+1,OFFSET(G26,-CFF.NumLinha,0)))</f>
        <v>0</v>
      </c>
      <c r="H26" s="184">
        <f ca="1">IF(AND($C26&lt;=3,$C26&lt;&gt;0),0,IF($C26=4,OFFSET(H26,-CFF.NumLinha,0)+1,OFFSET(H26,-CFF.NumLinha,0)))</f>
        <v>0</v>
      </c>
      <c r="I26" s="184">
        <f ca="1">MATCH(0,OFFSET($D26,1,$C26,ROW($A$90)-ROW($A26)),0)</f>
        <v>12</v>
      </c>
      <c r="J26" s="184">
        <f ca="1">MATCH(OFFSET($D26,0,$C26)+1,OFFSET($D26,1,$C26,ROW($A$90)-ROW($A26)),0)</f>
        <v>3</v>
      </c>
      <c r="K26" s="185">
        <f ca="1">ROUND(INDEX(PO!T$12:T$111,MATCH($A26,PO!$V$12:$V$111,0)),2)+10^-12</f>
        <v>9.9999999999999998E-13</v>
      </c>
      <c r="L26" s="374"/>
      <c r="M26" s="376"/>
      <c r="N26" s="378"/>
      <c r="O26" s="204" t="s">
        <v>20</v>
      </c>
      <c r="P26" s="199">
        <f t="shared" ref="P26:W26" ca="1" si="51">IF($B26,ROUND(P25*$N24,2),ROUND(SUMIF(OFFSET($B26,1,0,$D26),TRUE,OFFSET(P26,1,0,$D26))/SUMIF(OFFSET($B26,1,0,$D26),TRUE,OFFSET($K26,1,0,$D26))*$N24,2))</f>
        <v>0</v>
      </c>
      <c r="Q26" s="169">
        <f t="shared" ca="1" si="51"/>
        <v>0</v>
      </c>
      <c r="R26" s="169">
        <f t="shared" ca="1" si="51"/>
        <v>0</v>
      </c>
      <c r="S26" s="169">
        <f t="shared" ca="1" si="51"/>
        <v>0</v>
      </c>
      <c r="T26" s="169">
        <f t="shared" ca="1" si="51"/>
        <v>0</v>
      </c>
      <c r="U26" s="169">
        <f t="shared" ca="1" si="51"/>
        <v>0</v>
      </c>
      <c r="V26" s="169">
        <f t="shared" ca="1" si="51"/>
        <v>0</v>
      </c>
      <c r="W26" s="207">
        <f t="shared" ca="1" si="51"/>
        <v>0</v>
      </c>
      <c r="X26" s="196"/>
      <c r="AC26" s="169">
        <f t="shared" ref="AC26" ca="1" si="52">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73" t="str">
        <f ca="1">INDEX(PO!K$12:K$111,MATCH($A29,PO!$V$12:$V$111,0))</f>
        <v>2.2.</v>
      </c>
      <c r="M27" s="375" t="str">
        <f ca="1">INDEX(PO!N$12:N$111,MATCH($A29,PO!$V$12:$V$111,0))</f>
        <v>REFORÇO TESOURAS</v>
      </c>
      <c r="N27" s="377">
        <f t="shared" ref="N27" ca="1" si="53">IF(ROUND(K29,2)=0,K29,ROUND(K29,2))</f>
        <v>9.9999999999999998E-13</v>
      </c>
      <c r="O27" s="220" t="s">
        <v>143</v>
      </c>
      <c r="P27" s="225">
        <f t="shared" ref="P27" ca="1" si="54">IF($B29,0,P28-IF(ISNUMBER(O28),O28,0))</f>
        <v>0</v>
      </c>
      <c r="Q27" s="226">
        <v>1</v>
      </c>
      <c r="R27" s="226">
        <f t="shared" ref="R27" ca="1" si="55">IF($B29,0,R28-IF(ISNUMBER(Q28),Q28,0))</f>
        <v>0</v>
      </c>
      <c r="S27" s="226">
        <f t="shared" ref="S27" ca="1" si="56">IF($B29,0,S28-IF(ISNUMBER(R28),R28,0))</f>
        <v>0</v>
      </c>
      <c r="T27" s="226">
        <f t="shared" ref="T27" ca="1" si="57">IF($B29,0,T28-IF(ISNUMBER(S28),S28,0))</f>
        <v>0</v>
      </c>
      <c r="U27" s="226">
        <f t="shared" ref="U27" ca="1" si="58">IF($B29,0,U28-IF(ISNUMBER(T28),T28,0))</f>
        <v>0</v>
      </c>
      <c r="V27" s="226">
        <f t="shared" ref="V27" ca="1" si="59">IF($B29,0,V28-IF(ISNUMBER(U28),U28,0))</f>
        <v>0</v>
      </c>
      <c r="W27" s="227">
        <f t="shared" ref="W27" ca="1" si="60">IF($B29,0,W28-IF(ISNUMBER(V28),V28,0))</f>
        <v>0</v>
      </c>
      <c r="X27" s="196"/>
      <c r="AC27" s="221">
        <f t="shared" ref="AC27" ca="1" si="61">IF($B29,0,AC28-IF(ISNUMBER(AB28),AB28,0))</f>
        <v>0</v>
      </c>
    </row>
    <row r="28" spans="1:29" customFormat="1" ht="14.25" x14ac:dyDescent="0.2">
      <c r="A28" s="184"/>
      <c r="B28" s="184"/>
      <c r="C28" s="184"/>
      <c r="D28" s="184"/>
      <c r="E28" s="184"/>
      <c r="F28" s="184"/>
      <c r="G28" s="184"/>
      <c r="H28" s="184"/>
      <c r="I28" s="184"/>
      <c r="J28" s="184"/>
      <c r="K28" s="184"/>
      <c r="L28" s="374"/>
      <c r="M28" s="376"/>
      <c r="N28" s="378"/>
      <c r="O28" s="170" t="s">
        <v>145</v>
      </c>
      <c r="P28" s="198">
        <f t="shared" ref="P28" ca="1" si="62">MIN(IF($B29,P27+IF(ISNUMBER(O28),O28,0),P29/$N27),1)</f>
        <v>0</v>
      </c>
      <c r="Q28" s="168">
        <f t="shared" ref="Q28" ca="1" si="63">MIN(IF($B29,Q27+IF(ISNUMBER(P28),P28,0),Q29/$N27),1)</f>
        <v>1</v>
      </c>
      <c r="R28" s="168">
        <f t="shared" ref="R28" ca="1" si="64">MIN(IF($B29,R27+IF(ISNUMBER(Q28),Q28,0),R29/$N27),1)</f>
        <v>1</v>
      </c>
      <c r="S28" s="168">
        <f t="shared" ref="S28" ca="1" si="65">MIN(IF($B29,S27+IF(ISNUMBER(R28),R28,0),S29/$N27),1)</f>
        <v>1</v>
      </c>
      <c r="T28" s="168">
        <f t="shared" ref="T28" ca="1" si="66">MIN(IF($B29,T27+IF(ISNUMBER(S28),S28,0),T29/$N27),1)</f>
        <v>1</v>
      </c>
      <c r="U28" s="168">
        <f t="shared" ref="U28" ca="1" si="67">MIN(IF($B29,U27+IF(ISNUMBER(T28),T28,0),U29/$N27),1)</f>
        <v>1</v>
      </c>
      <c r="V28" s="168">
        <f t="shared" ref="V28" ca="1" si="68">MIN(IF($B29,V27+IF(ISNUMBER(U28),U28,0),V29/$N27),1)</f>
        <v>1</v>
      </c>
      <c r="W28" s="168">
        <f t="shared" ref="W28" ca="1" si="69">MIN(IF($B29,W27+IF(ISNUMBER(V28),V28,0),W29/$N27),1)</f>
        <v>1</v>
      </c>
      <c r="X28" s="196"/>
      <c r="AC28" s="168">
        <f t="shared" ref="AC28" ca="1" si="70">MIN(IF($B29,AC27+IF(ISNUMBER(AB28),AB28,0),AC29/$N27),1)</f>
        <v>0</v>
      </c>
    </row>
    <row r="29" spans="1:29" customFormat="1" ht="14.25" x14ac:dyDescent="0.2">
      <c r="A29" s="184">
        <f ca="1">OFFSET(A29,-CFF.NumLinha,0)+1</f>
        <v>4</v>
      </c>
      <c r="B29" s="184" t="b">
        <f ca="1">$C29&gt;=OFFSET($C29,CFF.NumLinha,0)</f>
        <v>1</v>
      </c>
      <c r="C29" s="184">
        <f ca="1">INDEX(PO!A$12:A$111,MATCH($A29,PO!$V$12:$V$111,0))</f>
        <v>2</v>
      </c>
      <c r="D29" s="184">
        <f t="shared" ref="D29" ca="1" si="71">IF(ISERROR(J29),I29,SMALL(I29:J29,1))-1</f>
        <v>2</v>
      </c>
      <c r="E29" s="184">
        <f ca="1">IF($C29=1,OFFSET(E29,-CFF.NumLinha,0)+1,OFFSET(E29,-CFF.NumLinha,0))</f>
        <v>2</v>
      </c>
      <c r="F29" s="184">
        <f ca="1">IF($C29=1,0,IF($C29=2,OFFSET(F29,-CFF.NumLinha,0)+1,OFFSET(F29,-CFF.NumLinha,0)))</f>
        <v>2</v>
      </c>
      <c r="G29" s="184">
        <f ca="1">IF(AND($C29&lt;=2,$C29&lt;&gt;0),0,IF($C29=3,OFFSET(G29,-CFF.NumLinha,0)+1,OFFSET(G29,-CFF.NumLinha,0)))</f>
        <v>0</v>
      </c>
      <c r="H29" s="184">
        <f ca="1">IF(AND($C29&lt;=3,$C29&lt;&gt;0),0,IF($C29=4,OFFSET(H29,-CFF.NumLinha,0)+1,OFFSET(H29,-CFF.NumLinha,0)))</f>
        <v>0</v>
      </c>
      <c r="I29" s="184">
        <f ca="1">MATCH(0,OFFSET($D29,1,$C29,ROW($A$90)-ROW($A29)),0)</f>
        <v>9</v>
      </c>
      <c r="J29" s="184">
        <f ca="1">MATCH(OFFSET($D29,0,$C29)+1,OFFSET($D29,1,$C29,ROW($A$90)-ROW($A29)),0)</f>
        <v>3</v>
      </c>
      <c r="K29" s="185">
        <f ca="1">ROUND(INDEX(PO!T$12:T$111,MATCH($A29,PO!$V$12:$V$111,0)),2)+10^-12</f>
        <v>9.9999999999999998E-13</v>
      </c>
      <c r="L29" s="374"/>
      <c r="M29" s="376"/>
      <c r="N29" s="378"/>
      <c r="O29" s="204" t="s">
        <v>20</v>
      </c>
      <c r="P29" s="199">
        <f t="shared" ref="P29:W29" ca="1" si="72">IF($B29,ROUND(P28*$N27,2),ROUND(SUMIF(OFFSET($B29,1,0,$D29),TRUE,OFFSET(P29,1,0,$D29))/SUMIF(OFFSET($B29,1,0,$D29),TRUE,OFFSET($K29,1,0,$D29))*$N27,2))</f>
        <v>0</v>
      </c>
      <c r="Q29" s="169">
        <f t="shared" ca="1" si="72"/>
        <v>0</v>
      </c>
      <c r="R29" s="169">
        <f t="shared" ca="1" si="72"/>
        <v>0</v>
      </c>
      <c r="S29" s="169">
        <f t="shared" ca="1" si="72"/>
        <v>0</v>
      </c>
      <c r="T29" s="169">
        <f t="shared" ca="1" si="72"/>
        <v>0</v>
      </c>
      <c r="U29" s="169">
        <f t="shared" ca="1" si="72"/>
        <v>0</v>
      </c>
      <c r="V29" s="169">
        <f t="shared" ca="1" si="72"/>
        <v>0</v>
      </c>
      <c r="W29" s="207">
        <f t="shared" ca="1" si="72"/>
        <v>0</v>
      </c>
      <c r="X29" s="196"/>
      <c r="AC29" s="169">
        <f t="shared" ref="AC29" ca="1" si="73">IF($B29,ROUND(AC28*$N27,2),ROUND(SUMIF(OFFSET($B29,1,0,$D29),TRUE,OFFSET(AC29,1,0,$D29))/SUMIF(OFFSET($B29,1,0,$D29),TRUE,OFFSET($K29,1,0,$D29))*$N27,2))</f>
        <v>0</v>
      </c>
    </row>
    <row r="30" spans="1:29" customFormat="1" ht="14.25" customHeight="1" x14ac:dyDescent="0.2">
      <c r="A30" s="82"/>
      <c r="B30" s="82"/>
      <c r="C30" s="82"/>
      <c r="D30" s="82"/>
      <c r="E30" s="82"/>
      <c r="F30" s="82"/>
      <c r="G30" s="82"/>
      <c r="H30" s="82"/>
      <c r="I30" s="82"/>
      <c r="J30" s="82"/>
      <c r="K30" s="82"/>
      <c r="L30" s="373" t="str">
        <f ca="1">INDEX(PO!K$12:K$111,MATCH($A32,PO!$V$12:$V$111,0))</f>
        <v>2.3.</v>
      </c>
      <c r="M30" s="375" t="str">
        <f ca="1">INDEX(PO!N$12:N$111,MATCH($A32,PO!$V$12:$V$111,0))</f>
        <v>PISOS</v>
      </c>
      <c r="N30" s="377">
        <f t="shared" ref="N30" ca="1" si="74">IF(ROUND(K32,2)=0,K32,ROUND(K32,2))</f>
        <v>9.9999999999999998E-13</v>
      </c>
      <c r="O30" s="220" t="s">
        <v>143</v>
      </c>
      <c r="P30" s="225">
        <f t="shared" ref="P30" ca="1" si="75">IF($B32,0,P31-IF(ISNUMBER(O31),O31,0))</f>
        <v>0</v>
      </c>
      <c r="Q30" s="226">
        <f t="shared" ref="Q30" ca="1" si="76">IF($B32,0,Q31-IF(ISNUMBER(P31),P31,0))</f>
        <v>0</v>
      </c>
      <c r="R30" s="226">
        <v>1</v>
      </c>
      <c r="S30" s="226">
        <f t="shared" ref="S30" ca="1" si="77">IF($B32,0,S31-IF(ISNUMBER(R31),R31,0))</f>
        <v>0</v>
      </c>
      <c r="T30" s="226">
        <f t="shared" ref="T30" ca="1" si="78">IF($B32,0,T31-IF(ISNUMBER(S31),S31,0))</f>
        <v>0</v>
      </c>
      <c r="U30" s="226">
        <f t="shared" ref="U30" ca="1" si="79">IF($B32,0,U31-IF(ISNUMBER(T31),T31,0))</f>
        <v>0</v>
      </c>
      <c r="V30" s="226">
        <f t="shared" ref="V30" ca="1" si="80">IF($B32,0,V31-IF(ISNUMBER(U31),U31,0))</f>
        <v>0</v>
      </c>
      <c r="W30" s="227">
        <f t="shared" ref="W30" ca="1" si="81">IF($B32,0,W31-IF(ISNUMBER(V31),V31,0))</f>
        <v>0</v>
      </c>
      <c r="X30" s="196"/>
      <c r="AC30" s="221">
        <f t="shared" ref="AC30" ca="1" si="82">IF($B32,0,AC31-IF(ISNUMBER(AB31),AB31,0))</f>
        <v>0</v>
      </c>
    </row>
    <row r="31" spans="1:29" customFormat="1" ht="14.25" x14ac:dyDescent="0.2">
      <c r="A31" s="184"/>
      <c r="B31" s="184"/>
      <c r="C31" s="184"/>
      <c r="D31" s="184"/>
      <c r="E31" s="184"/>
      <c r="F31" s="184"/>
      <c r="G31" s="184"/>
      <c r="H31" s="184"/>
      <c r="I31" s="184"/>
      <c r="J31" s="184"/>
      <c r="K31" s="184"/>
      <c r="L31" s="374"/>
      <c r="M31" s="376"/>
      <c r="N31" s="378"/>
      <c r="O31" s="170" t="s">
        <v>145</v>
      </c>
      <c r="P31" s="198">
        <f t="shared" ref="P31" ca="1" si="83">MIN(IF($B32,P30+IF(ISNUMBER(O31),O31,0),P32/$N30),1)</f>
        <v>0</v>
      </c>
      <c r="Q31" s="168">
        <f t="shared" ref="Q31" ca="1" si="84">MIN(IF($B32,Q30+IF(ISNUMBER(P31),P31,0),Q32/$N30),1)</f>
        <v>0</v>
      </c>
      <c r="R31" s="168">
        <f t="shared" ref="R31" ca="1" si="85">MIN(IF($B32,R30+IF(ISNUMBER(Q31),Q31,0),R32/$N30),1)</f>
        <v>1</v>
      </c>
      <c r="S31" s="168">
        <f t="shared" ref="S31" ca="1" si="86">MIN(IF($B32,S30+IF(ISNUMBER(R31),R31,0),S32/$N30),1)</f>
        <v>1</v>
      </c>
      <c r="T31" s="168">
        <f t="shared" ref="T31" ca="1" si="87">MIN(IF($B32,T30+IF(ISNUMBER(S31),S31,0),T32/$N30),1)</f>
        <v>1</v>
      </c>
      <c r="U31" s="168">
        <f t="shared" ref="U31" ca="1" si="88">MIN(IF($B32,U30+IF(ISNUMBER(T31),T31,0),U32/$N30),1)</f>
        <v>1</v>
      </c>
      <c r="V31" s="168">
        <f t="shared" ref="V31" ca="1" si="89">MIN(IF($B32,V30+IF(ISNUMBER(U31),U31,0),V32/$N30),1)</f>
        <v>1</v>
      </c>
      <c r="W31" s="168">
        <f t="shared" ref="W31" ca="1" si="90">MIN(IF($B32,W30+IF(ISNUMBER(V31),V31,0),W32/$N30),1)</f>
        <v>1</v>
      </c>
      <c r="X31" s="196"/>
      <c r="AC31" s="168">
        <f t="shared" ref="AC31" ca="1" si="91">MIN(IF($B32,AC30+IF(ISNUMBER(AB31),AB31,0),AC32/$N30),1)</f>
        <v>0</v>
      </c>
    </row>
    <row r="32" spans="1:29" customFormat="1" ht="14.25" x14ac:dyDescent="0.2">
      <c r="A32" s="184">
        <f ca="1">OFFSET(A32,-CFF.NumLinha,0)+1</f>
        <v>5</v>
      </c>
      <c r="B32" s="184" t="b">
        <f ca="1">$C32&gt;=OFFSET($C32,CFF.NumLinha,0)</f>
        <v>1</v>
      </c>
      <c r="C32" s="184">
        <f ca="1">INDEX(PO!A$12:A$111,MATCH($A32,PO!$V$12:$V$111,0))</f>
        <v>2</v>
      </c>
      <c r="D32" s="184">
        <f t="shared" ref="D32" ca="1" si="92">IF(ISERROR(J32),I32,SMALL(I32:J32,1))-1</f>
        <v>2</v>
      </c>
      <c r="E32" s="184">
        <f ca="1">IF($C32=1,OFFSET(E32,-CFF.NumLinha,0)+1,OFFSET(E32,-CFF.NumLinha,0))</f>
        <v>2</v>
      </c>
      <c r="F32" s="184">
        <f ca="1">IF($C32=1,0,IF($C32=2,OFFSET(F32,-CFF.NumLinha,0)+1,OFFSET(F32,-CFF.NumLinha,0)))</f>
        <v>3</v>
      </c>
      <c r="G32" s="184">
        <f ca="1">IF(AND($C32&lt;=2,$C32&lt;&gt;0),0,IF($C32=3,OFFSET(G32,-CFF.NumLinha,0)+1,OFFSET(G32,-CFF.NumLinha,0)))</f>
        <v>0</v>
      </c>
      <c r="H32" s="184">
        <f ca="1">IF(AND($C32&lt;=3,$C32&lt;&gt;0),0,IF($C32=4,OFFSET(H32,-CFF.NumLinha,0)+1,OFFSET(H32,-CFF.NumLinha,0)))</f>
        <v>0</v>
      </c>
      <c r="I32" s="184">
        <f ca="1">MATCH(0,OFFSET($D32,1,$C32,ROW($A$90)-ROW($A32)),0)</f>
        <v>6</v>
      </c>
      <c r="J32" s="184">
        <f ca="1">MATCH(OFFSET($D32,0,$C32)+1,OFFSET($D32,1,$C32,ROW($A$90)-ROW($A32)),0)</f>
        <v>3</v>
      </c>
      <c r="K32" s="185">
        <f ca="1">ROUND(INDEX(PO!T$12:T$111,MATCH($A32,PO!$V$12:$V$111,0)),2)+10^-12</f>
        <v>9.9999999999999998E-13</v>
      </c>
      <c r="L32" s="374"/>
      <c r="M32" s="376"/>
      <c r="N32" s="378"/>
      <c r="O32" s="204" t="s">
        <v>20</v>
      </c>
      <c r="P32" s="199">
        <f t="shared" ref="P32:W32" ca="1" si="93">IF($B32,ROUND(P31*$N30,2),ROUND(SUMIF(OFFSET($B32,1,0,$D32),TRUE,OFFSET(P32,1,0,$D32))/SUMIF(OFFSET($B32,1,0,$D32),TRUE,OFFSET($K32,1,0,$D32))*$N30,2))</f>
        <v>0</v>
      </c>
      <c r="Q32" s="169">
        <f t="shared" ca="1" si="93"/>
        <v>0</v>
      </c>
      <c r="R32" s="169">
        <f t="shared" ca="1" si="93"/>
        <v>0</v>
      </c>
      <c r="S32" s="169">
        <f t="shared" ca="1" si="93"/>
        <v>0</v>
      </c>
      <c r="T32" s="169">
        <f t="shared" ca="1" si="93"/>
        <v>0</v>
      </c>
      <c r="U32" s="169">
        <f t="shared" ca="1" si="93"/>
        <v>0</v>
      </c>
      <c r="V32" s="169">
        <f t="shared" ca="1" si="93"/>
        <v>0</v>
      </c>
      <c r="W32" s="207">
        <f t="shared" ca="1" si="93"/>
        <v>0</v>
      </c>
      <c r="X32" s="196"/>
      <c r="AC32" s="169">
        <f t="shared" ref="AC32" ca="1" si="94">IF($B32,ROUND(AC31*$N30,2),ROUND(SUMIF(OFFSET($B32,1,0,$D32),TRUE,OFFSET(AC32,1,0,$D32))/SUMIF(OFFSET($B32,1,0,$D32),TRUE,OFFSET($K32,1,0,$D32))*$N30,2))</f>
        <v>0</v>
      </c>
    </row>
    <row r="33" spans="1:29" customFormat="1" ht="14.25" customHeight="1" x14ac:dyDescent="0.2">
      <c r="A33" s="82"/>
      <c r="B33" s="82"/>
      <c r="C33" s="82"/>
      <c r="D33" s="82"/>
      <c r="E33" s="82"/>
      <c r="F33" s="82"/>
      <c r="G33" s="82"/>
      <c r="H33" s="82"/>
      <c r="I33" s="82"/>
      <c r="J33" s="82"/>
      <c r="K33" s="82"/>
      <c r="L33" s="373" t="str">
        <f ca="1">INDEX(PO!K$12:K$111,MATCH($A35,PO!$V$12:$V$111,0))</f>
        <v>2.4.</v>
      </c>
      <c r="M33" s="375" t="str">
        <f ca="1">INDEX(PO!N$12:N$111,MATCH($A35,PO!$V$12:$V$111,0))</f>
        <v>PINTURA</v>
      </c>
      <c r="N33" s="377">
        <f t="shared" ref="N33" ca="1" si="95">IF(ROUND(K35,2)=0,K35,ROUND(K35,2))</f>
        <v>9.9999999999999998E-13</v>
      </c>
      <c r="O33" s="220" t="s">
        <v>143</v>
      </c>
      <c r="P33" s="225">
        <f t="shared" ref="P33" ca="1" si="96">IF($B35,0,P34-IF(ISNUMBER(O34),O34,0))</f>
        <v>0</v>
      </c>
      <c r="Q33" s="226">
        <f t="shared" ref="Q33" ca="1" si="97">IF($B35,0,Q34-IF(ISNUMBER(P34),P34,0))</f>
        <v>0</v>
      </c>
      <c r="R33" s="226">
        <f t="shared" ref="R33" ca="1" si="98">IF($B35,0,R34-IF(ISNUMBER(Q34),Q34,0))</f>
        <v>0</v>
      </c>
      <c r="S33" s="226">
        <v>1</v>
      </c>
      <c r="T33" s="226">
        <f t="shared" ref="T33" ca="1" si="99">IF($B35,0,T34-IF(ISNUMBER(S34),S34,0))</f>
        <v>0</v>
      </c>
      <c r="U33" s="226">
        <f t="shared" ref="U33" ca="1" si="100">IF($B35,0,U34-IF(ISNUMBER(T34),T34,0))</f>
        <v>0</v>
      </c>
      <c r="V33" s="226">
        <f t="shared" ref="V33" ca="1" si="101">IF($B35,0,V34-IF(ISNUMBER(U34),U34,0))</f>
        <v>0</v>
      </c>
      <c r="W33" s="227">
        <f t="shared" ref="W33" ca="1" si="102">IF($B35,0,W34-IF(ISNUMBER(V34),V34,0))</f>
        <v>0</v>
      </c>
      <c r="X33" s="196"/>
      <c r="AC33" s="221">
        <f t="shared" ref="AC33" ca="1" si="103">IF($B35,0,AC34-IF(ISNUMBER(AB34),AB34,0))</f>
        <v>0</v>
      </c>
    </row>
    <row r="34" spans="1:29" customFormat="1" ht="14.25" x14ac:dyDescent="0.2">
      <c r="A34" s="184"/>
      <c r="B34" s="184"/>
      <c r="C34" s="184"/>
      <c r="D34" s="184"/>
      <c r="E34" s="184"/>
      <c r="F34" s="184"/>
      <c r="G34" s="184"/>
      <c r="H34" s="184"/>
      <c r="I34" s="184"/>
      <c r="J34" s="184"/>
      <c r="K34" s="184"/>
      <c r="L34" s="374"/>
      <c r="M34" s="376"/>
      <c r="N34" s="378"/>
      <c r="O34" s="170" t="s">
        <v>145</v>
      </c>
      <c r="P34" s="198">
        <f t="shared" ref="P34" ca="1" si="104">MIN(IF($B35,P33+IF(ISNUMBER(O34),O34,0),P35/$N33),1)</f>
        <v>0</v>
      </c>
      <c r="Q34" s="168">
        <f t="shared" ref="Q34" ca="1" si="105">MIN(IF($B35,Q33+IF(ISNUMBER(P34),P34,0),Q35/$N33),1)</f>
        <v>0</v>
      </c>
      <c r="R34" s="168">
        <f t="shared" ref="R34" ca="1" si="106">MIN(IF($B35,R33+IF(ISNUMBER(Q34),Q34,0),R35/$N33),1)</f>
        <v>0</v>
      </c>
      <c r="S34" s="168">
        <f t="shared" ref="S34" ca="1" si="107">MIN(IF($B35,S33+IF(ISNUMBER(R34),R34,0),S35/$N33),1)</f>
        <v>1</v>
      </c>
      <c r="T34" s="168">
        <f t="shared" ref="T34" ca="1" si="108">MIN(IF($B35,T33+IF(ISNUMBER(S34),S34,0),T35/$N33),1)</f>
        <v>1</v>
      </c>
      <c r="U34" s="168">
        <f t="shared" ref="U34" ca="1" si="109">MIN(IF($B35,U33+IF(ISNUMBER(T34),T34,0),U35/$N33),1)</f>
        <v>1</v>
      </c>
      <c r="V34" s="168">
        <f t="shared" ref="V34" ca="1" si="110">MIN(IF($B35,V33+IF(ISNUMBER(U34),U34,0),V35/$N33),1)</f>
        <v>1</v>
      </c>
      <c r="W34" s="168">
        <f t="shared" ref="W34" ca="1" si="111">MIN(IF($B35,W33+IF(ISNUMBER(V34),V34,0),W35/$N33),1)</f>
        <v>1</v>
      </c>
      <c r="X34" s="196"/>
      <c r="AC34" s="168">
        <f t="shared" ref="AC34" ca="1" si="112">MIN(IF($B35,AC33+IF(ISNUMBER(AB34),AB34,0),AC35/$N33),1)</f>
        <v>0</v>
      </c>
    </row>
    <row r="35" spans="1:29" customFormat="1" ht="14.25" x14ac:dyDescent="0.2">
      <c r="A35" s="184">
        <f ca="1">OFFSET(A35,-CFF.NumLinha,0)+1</f>
        <v>6</v>
      </c>
      <c r="B35" s="184" t="b">
        <f ca="1">$C35&gt;=OFFSET($C35,CFF.NumLinha,0)</f>
        <v>1</v>
      </c>
      <c r="C35" s="184">
        <f ca="1">INDEX(PO!A$12:A$111,MATCH($A35,PO!$V$12:$V$111,0))</f>
        <v>2</v>
      </c>
      <c r="D35" s="184">
        <f t="shared" ref="D35" ca="1" si="113">IF(ISERROR(J35),I35,SMALL(I35:J35,1))-1</f>
        <v>2</v>
      </c>
      <c r="E35" s="184">
        <f ca="1">IF($C35=1,OFFSET(E35,-CFF.NumLinha,0)+1,OFFSET(E35,-CFF.NumLinha,0))</f>
        <v>2</v>
      </c>
      <c r="F35" s="184">
        <f ca="1">IF($C35=1,0,IF($C35=2,OFFSET(F35,-CFF.NumLinha,0)+1,OFFSET(F35,-CFF.NumLinha,0)))</f>
        <v>4</v>
      </c>
      <c r="G35" s="184">
        <f ca="1">IF(AND($C35&lt;=2,$C35&lt;&gt;0),0,IF($C35=3,OFFSET(G35,-CFF.NumLinha,0)+1,OFFSET(G35,-CFF.NumLinha,0)))</f>
        <v>0</v>
      </c>
      <c r="H35" s="184">
        <f ca="1">IF(AND($C35&lt;=3,$C35&lt;&gt;0),0,IF($C35=4,OFFSET(H35,-CFF.NumLinha,0)+1,OFFSET(H35,-CFF.NumLinha,0)))</f>
        <v>0</v>
      </c>
      <c r="I35" s="184">
        <f ca="1">MATCH(0,OFFSET($D35,1,$C35,ROW($A$90)-ROW($A35)),0)</f>
        <v>3</v>
      </c>
      <c r="J35" s="184">
        <f ca="1">MATCH(OFFSET($D35,0,$C35)+1,OFFSET($D35,1,$C35,ROW($A$90)-ROW($A35)),0)</f>
        <v>18</v>
      </c>
      <c r="K35" s="185">
        <f ca="1">ROUND(INDEX(PO!T$12:T$111,MATCH($A35,PO!$V$12:$V$111,0)),2)+10^-12</f>
        <v>9.9999999999999998E-13</v>
      </c>
      <c r="L35" s="374"/>
      <c r="M35" s="376"/>
      <c r="N35" s="378"/>
      <c r="O35" s="204" t="s">
        <v>20</v>
      </c>
      <c r="P35" s="199">
        <f t="shared" ref="P35:W35" ca="1" si="114">IF($B35,ROUND(P34*$N33,2),ROUND(SUMIF(OFFSET($B35,1,0,$D35),TRUE,OFFSET(P35,1,0,$D35))/SUMIF(OFFSET($B35,1,0,$D35),TRUE,OFFSET($K35,1,0,$D35))*$N33,2))</f>
        <v>0</v>
      </c>
      <c r="Q35" s="169">
        <f t="shared" ca="1" si="114"/>
        <v>0</v>
      </c>
      <c r="R35" s="169">
        <f t="shared" ca="1" si="114"/>
        <v>0</v>
      </c>
      <c r="S35" s="169">
        <f t="shared" ca="1" si="114"/>
        <v>0</v>
      </c>
      <c r="T35" s="169">
        <f t="shared" ca="1" si="114"/>
        <v>0</v>
      </c>
      <c r="U35" s="169">
        <f t="shared" ca="1" si="114"/>
        <v>0</v>
      </c>
      <c r="V35" s="169">
        <f t="shared" ca="1" si="114"/>
        <v>0</v>
      </c>
      <c r="W35" s="207">
        <f t="shared" ca="1" si="114"/>
        <v>0</v>
      </c>
      <c r="X35" s="196"/>
      <c r="AC35" s="169">
        <f t="shared" ref="AC35" ca="1" si="115">IF($B35,ROUND(AC34*$N33,2),ROUND(SUMIF(OFFSET($B35,1,0,$D35),TRUE,OFFSET(AC35,1,0,$D35))/SUMIF(OFFSET($B35,1,0,$D35),TRUE,OFFSET($K35,1,0,$D35))*$N33,2))</f>
        <v>0</v>
      </c>
    </row>
    <row r="36" spans="1:29" customFormat="1" ht="14.25" customHeight="1" x14ac:dyDescent="0.2">
      <c r="A36" s="82"/>
      <c r="B36" s="82"/>
      <c r="C36" s="82"/>
      <c r="D36" s="82"/>
      <c r="E36" s="82"/>
      <c r="F36" s="82"/>
      <c r="G36" s="82"/>
      <c r="H36" s="82"/>
      <c r="I36" s="82"/>
      <c r="J36" s="82"/>
      <c r="K36" s="82"/>
      <c r="L36" s="373" t="str">
        <f ca="1">INDEX(PO!K$12:K$111,MATCH($A38,PO!$V$12:$V$111,0))</f>
        <v>3.</v>
      </c>
      <c r="M36" s="375" t="str">
        <f ca="1">INDEX(PO!N$12:N$111,MATCH($A38,PO!$V$12:$V$111,0))</f>
        <v>BLOCO C -</v>
      </c>
      <c r="N36" s="377">
        <f t="shared" ref="N36" ca="1" si="116">IF(ROUND(K38,2)=0,K38,ROUND(K38,2))</f>
        <v>9.9999999999999998E-13</v>
      </c>
      <c r="O36" s="220" t="s">
        <v>143</v>
      </c>
      <c r="P36" s="225">
        <f t="shared" ref="P36" ca="1" si="117">IF($B38,0,P37-IF(ISNUMBER(O37),O37,0))</f>
        <v>0</v>
      </c>
      <c r="Q36" s="226">
        <f t="shared" ref="Q36" ca="1" si="118">IF($B38,0,Q37-IF(ISNUMBER(P37),P37,0))</f>
        <v>0</v>
      </c>
      <c r="R36" s="226">
        <f t="shared" ref="R36" ca="1" si="119">IF($B38,0,R37-IF(ISNUMBER(Q37),Q37,0))</f>
        <v>0</v>
      </c>
      <c r="S36" s="226">
        <v>1</v>
      </c>
      <c r="T36" s="226">
        <f t="shared" ref="T36" ca="1" si="120">IF($B38,0,T37-IF(ISNUMBER(S37),S37,0))</f>
        <v>0</v>
      </c>
      <c r="U36" s="226">
        <f t="shared" ref="U36" ca="1" si="121">IF($B38,0,U37-IF(ISNUMBER(T37),T37,0))</f>
        <v>0</v>
      </c>
      <c r="V36" s="226">
        <f t="shared" ref="V36" ca="1" si="122">IF($B38,0,V37-IF(ISNUMBER(U37),U37,0))</f>
        <v>0</v>
      </c>
      <c r="W36" s="227">
        <f t="shared" ref="W36" ca="1" si="123">IF($B38,0,W37-IF(ISNUMBER(V37),V37,0))</f>
        <v>0</v>
      </c>
      <c r="X36" s="196"/>
      <c r="AC36" s="221">
        <f t="shared" ref="AC36" ca="1" si="124">IF($B38,0,AC37-IF(ISNUMBER(AB37),AB37,0))</f>
        <v>0</v>
      </c>
    </row>
    <row r="37" spans="1:29" customFormat="1" ht="14.25" x14ac:dyDescent="0.2">
      <c r="A37" s="184"/>
      <c r="B37" s="184"/>
      <c r="C37" s="184"/>
      <c r="D37" s="184"/>
      <c r="E37" s="184"/>
      <c r="F37" s="184"/>
      <c r="G37" s="184"/>
      <c r="H37" s="184"/>
      <c r="I37" s="184"/>
      <c r="J37" s="184"/>
      <c r="K37" s="184"/>
      <c r="L37" s="374"/>
      <c r="M37" s="376"/>
      <c r="N37" s="378"/>
      <c r="O37" s="170" t="s">
        <v>145</v>
      </c>
      <c r="P37" s="198">
        <f t="shared" ref="P37" ca="1" si="125">MIN(IF($B38,P36+IF(ISNUMBER(O37),O37,0),P38/$N36),1)</f>
        <v>0</v>
      </c>
      <c r="Q37" s="168">
        <f t="shared" ref="Q37" ca="1" si="126">MIN(IF($B38,Q36+IF(ISNUMBER(P37),P37,0),Q38/$N36),1)</f>
        <v>0</v>
      </c>
      <c r="R37" s="168">
        <f t="shared" ref="R37" ca="1" si="127">MIN(IF($B38,R36+IF(ISNUMBER(Q37),Q37,0),R38/$N36),1)</f>
        <v>0</v>
      </c>
      <c r="S37" s="168">
        <f t="shared" ref="S37" ca="1" si="128">MIN(IF($B38,S36+IF(ISNUMBER(R37),R37,0),S38/$N36),1)</f>
        <v>0</v>
      </c>
      <c r="T37" s="168">
        <f t="shared" ref="T37" ca="1" si="129">MIN(IF($B38,T36+IF(ISNUMBER(S37),S37,0),T38/$N36),1)</f>
        <v>0</v>
      </c>
      <c r="U37" s="168">
        <f t="shared" ref="U37" ca="1" si="130">MIN(IF($B38,U36+IF(ISNUMBER(T37),T37,0),U38/$N36),1)</f>
        <v>0</v>
      </c>
      <c r="V37" s="168">
        <f t="shared" ref="V37" ca="1" si="131">MIN(IF($B38,V36+IF(ISNUMBER(U37),U37,0),V38/$N36),1)</f>
        <v>0</v>
      </c>
      <c r="W37" s="168">
        <f t="shared" ref="W37" ca="1" si="132">MIN(IF($B38,W36+IF(ISNUMBER(V37),V37,0),W38/$N36),1)</f>
        <v>0</v>
      </c>
      <c r="X37" s="196"/>
      <c r="AC37" s="168">
        <f t="shared" ref="AC37" ca="1" si="133">MIN(IF($B38,AC36+IF(ISNUMBER(AB37),AB37,0),AC38/$N36),1)</f>
        <v>0</v>
      </c>
    </row>
    <row r="38" spans="1:29" customFormat="1" ht="14.25" x14ac:dyDescent="0.2">
      <c r="A38" s="184">
        <f ca="1">OFFSET(A38,-CFF.NumLinha,0)+1</f>
        <v>7</v>
      </c>
      <c r="B38" s="184" t="b">
        <f ca="1">$C38&gt;=OFFSET($C38,CFF.NumLinha,0)</f>
        <v>0</v>
      </c>
      <c r="C38" s="184">
        <f ca="1">INDEX(PO!A$12:A$111,MATCH($A38,PO!$V$12:$V$111,0))</f>
        <v>1</v>
      </c>
      <c r="D38" s="184">
        <f t="shared" ref="D38" ca="1" si="134">IF(ISERROR(J38),I38,SMALL(I38:J38,1))-1</f>
        <v>29</v>
      </c>
      <c r="E38" s="184">
        <f ca="1">IF($C38=1,OFFSET(E38,-CFF.NumLinha,0)+1,OFFSET(E38,-CFF.NumLinha,0))</f>
        <v>3</v>
      </c>
      <c r="F38" s="184">
        <f ca="1">IF($C38=1,0,IF($C38=2,OFFSET(F38,-CFF.NumLinha,0)+1,OFFSET(F38,-CFF.NumLinha,0)))</f>
        <v>0</v>
      </c>
      <c r="G38" s="184">
        <f ca="1">IF(AND($C38&lt;=2,$C38&lt;&gt;0),0,IF($C38=3,OFFSET(G38,-CFF.NumLinha,0)+1,OFFSET(G38,-CFF.NumLinha,0)))</f>
        <v>0</v>
      </c>
      <c r="H38" s="184">
        <f ca="1">IF(AND($C38&lt;=3,$C38&lt;&gt;0),0,IF($C38=4,OFFSET(H38,-CFF.NumLinha,0)+1,OFFSET(H38,-CFF.NumLinha,0)))</f>
        <v>0</v>
      </c>
      <c r="I38" s="184">
        <f ca="1">MATCH(0,OFFSET($D38,1,$C38,ROW($A$90)-ROW($A38)),0)</f>
        <v>52</v>
      </c>
      <c r="J38" s="184">
        <f ca="1">MATCH(OFFSET($D38,0,$C38)+1,OFFSET($D38,1,$C38,ROW($A$90)-ROW($A38)),0)</f>
        <v>30</v>
      </c>
      <c r="K38" s="185">
        <f ca="1">ROUND(INDEX(PO!T$12:T$111,MATCH($A38,PO!$V$12:$V$111,0)),2)+10^-12</f>
        <v>9.9999999999999998E-13</v>
      </c>
      <c r="L38" s="374"/>
      <c r="M38" s="376"/>
      <c r="N38" s="378"/>
      <c r="O38" s="204" t="s">
        <v>20</v>
      </c>
      <c r="P38" s="199">
        <f t="shared" ref="P38:W38" ca="1" si="135">IF($B38,ROUND(P37*$N36,2),ROUND(SUMIF(OFFSET($B38,1,0,$D38),TRUE,OFFSET(P38,1,0,$D38))/SUMIF(OFFSET($B38,1,0,$D38),TRUE,OFFSET($K38,1,0,$D38))*$N36,2))</f>
        <v>0</v>
      </c>
      <c r="Q38" s="169">
        <f t="shared" ca="1" si="135"/>
        <v>0</v>
      </c>
      <c r="R38" s="169">
        <f t="shared" ca="1" si="135"/>
        <v>0</v>
      </c>
      <c r="S38" s="169">
        <f t="shared" ca="1" si="135"/>
        <v>0</v>
      </c>
      <c r="T38" s="169">
        <f t="shared" ca="1" si="135"/>
        <v>0</v>
      </c>
      <c r="U38" s="169">
        <f t="shared" ca="1" si="135"/>
        <v>0</v>
      </c>
      <c r="V38" s="169">
        <f t="shared" ca="1" si="135"/>
        <v>0</v>
      </c>
      <c r="W38" s="207">
        <f t="shared" ca="1" si="135"/>
        <v>0</v>
      </c>
      <c r="X38" s="196"/>
      <c r="AC38" s="169">
        <f t="shared" ref="AC38" ca="1" si="136">IF($B38,ROUND(AC37*$N36,2),ROUND(SUMIF(OFFSET($B38,1,0,$D38),TRUE,OFFSET(AC38,1,0,$D38))/SUMIF(OFFSET($B38,1,0,$D38),TRUE,OFFSET($K38,1,0,$D38))*$N36,2))</f>
        <v>0</v>
      </c>
    </row>
    <row r="39" spans="1:29" customFormat="1" ht="14.25" customHeight="1" x14ac:dyDescent="0.2">
      <c r="A39" s="82"/>
      <c r="B39" s="82"/>
      <c r="C39" s="82"/>
      <c r="D39" s="82"/>
      <c r="E39" s="82"/>
      <c r="F39" s="82"/>
      <c r="G39" s="82"/>
      <c r="H39" s="82"/>
      <c r="I39" s="82"/>
      <c r="J39" s="82"/>
      <c r="K39" s="82"/>
      <c r="L39" s="373" t="str">
        <f ca="1">INDEX(PO!K$12:K$111,MATCH($A41,PO!$V$12:$V$111,0))</f>
        <v>3.1.</v>
      </c>
      <c r="M39" s="375" t="str">
        <f ca="1">INDEX(PO!N$12:N$111,MATCH($A41,PO!$V$12:$V$111,0))</f>
        <v>RETIRADAS</v>
      </c>
      <c r="N39" s="377">
        <f t="shared" ref="N39" ca="1" si="137">IF(ROUND(K41,2)=0,K41,ROUND(K41,2))</f>
        <v>9.9999999999999998E-13</v>
      </c>
      <c r="O39" s="220" t="s">
        <v>143</v>
      </c>
      <c r="P39" s="225">
        <f t="shared" ref="P39" ca="1" si="138">IF($B41,0,P40-IF(ISNUMBER(O40),O40,0))</f>
        <v>0</v>
      </c>
      <c r="Q39" s="226">
        <f t="shared" ref="Q39" ca="1" si="139">IF($B41,0,Q40-IF(ISNUMBER(P40),P40,0))</f>
        <v>0</v>
      </c>
      <c r="R39" s="226">
        <v>1</v>
      </c>
      <c r="S39" s="226">
        <f t="shared" ref="S39" ca="1" si="140">IF($B41,0,S40-IF(ISNUMBER(R40),R40,0))</f>
        <v>0</v>
      </c>
      <c r="T39" s="226">
        <f t="shared" ref="T39" ca="1" si="141">IF($B41,0,T40-IF(ISNUMBER(S40),S40,0))</f>
        <v>0</v>
      </c>
      <c r="U39" s="226">
        <f t="shared" ref="U39" ca="1" si="142">IF($B41,0,U40-IF(ISNUMBER(T40),T40,0))</f>
        <v>0</v>
      </c>
      <c r="V39" s="226">
        <f t="shared" ref="V39" ca="1" si="143">IF($B41,0,V40-IF(ISNUMBER(U40),U40,0))</f>
        <v>0</v>
      </c>
      <c r="W39" s="227">
        <f t="shared" ref="W39" ca="1" si="144">IF($B41,0,W40-IF(ISNUMBER(V40),V40,0))</f>
        <v>0</v>
      </c>
      <c r="X39" s="196"/>
      <c r="AC39" s="221">
        <f t="shared" ref="AC39" ca="1" si="145">IF($B41,0,AC40-IF(ISNUMBER(AB40),AB40,0))</f>
        <v>0</v>
      </c>
    </row>
    <row r="40" spans="1:29" customFormat="1" ht="14.25" x14ac:dyDescent="0.2">
      <c r="A40" s="184"/>
      <c r="B40" s="184"/>
      <c r="C40" s="184"/>
      <c r="D40" s="184"/>
      <c r="E40" s="184"/>
      <c r="F40" s="184"/>
      <c r="G40" s="184"/>
      <c r="H40" s="184"/>
      <c r="I40" s="184"/>
      <c r="J40" s="184"/>
      <c r="K40" s="184"/>
      <c r="L40" s="374"/>
      <c r="M40" s="376"/>
      <c r="N40" s="378"/>
      <c r="O40" s="170" t="s">
        <v>145</v>
      </c>
      <c r="P40" s="198">
        <f t="shared" ref="P40" ca="1" si="146">MIN(IF($B41,P39+IF(ISNUMBER(O40),O40,0),P41/$N39),1)</f>
        <v>0</v>
      </c>
      <c r="Q40" s="168">
        <f t="shared" ref="Q40" ca="1" si="147">MIN(IF($B41,Q39+IF(ISNUMBER(P40),P40,0),Q41/$N39),1)</f>
        <v>0</v>
      </c>
      <c r="R40" s="168">
        <f t="shared" ref="R40" ca="1" si="148">MIN(IF($B41,R39+IF(ISNUMBER(Q40),Q40,0),R41/$N39),1)</f>
        <v>1</v>
      </c>
      <c r="S40" s="168">
        <f t="shared" ref="S40" ca="1" si="149">MIN(IF($B41,S39+IF(ISNUMBER(R40),R40,0),S41/$N39),1)</f>
        <v>1</v>
      </c>
      <c r="T40" s="168">
        <f t="shared" ref="T40" ca="1" si="150">MIN(IF($B41,T39+IF(ISNUMBER(S40),S40,0),T41/$N39),1)</f>
        <v>1</v>
      </c>
      <c r="U40" s="168">
        <f t="shared" ref="U40" ca="1" si="151">MIN(IF($B41,U39+IF(ISNUMBER(T40),T40,0),U41/$N39),1)</f>
        <v>1</v>
      </c>
      <c r="V40" s="168">
        <f t="shared" ref="V40" ca="1" si="152">MIN(IF($B41,V39+IF(ISNUMBER(U40),U40,0),V41/$N39),1)</f>
        <v>1</v>
      </c>
      <c r="W40" s="168">
        <f t="shared" ref="W40" ca="1" si="153">MIN(IF($B41,W39+IF(ISNUMBER(V40),V40,0),W41/$N39),1)</f>
        <v>1</v>
      </c>
      <c r="X40" s="196"/>
      <c r="AC40" s="168">
        <f t="shared" ref="AC40" ca="1" si="154">MIN(IF($B41,AC39+IF(ISNUMBER(AB40),AB40,0),AC41/$N39),1)</f>
        <v>0</v>
      </c>
    </row>
    <row r="41" spans="1:29" customFormat="1" ht="14.25" x14ac:dyDescent="0.2">
      <c r="A41" s="184">
        <f ca="1">OFFSET(A41,-CFF.NumLinha,0)+1</f>
        <v>8</v>
      </c>
      <c r="B41" s="184" t="b">
        <f ca="1">$C41&gt;=OFFSET($C41,CFF.NumLinha,0)</f>
        <v>1</v>
      </c>
      <c r="C41" s="184">
        <f ca="1">INDEX(PO!A$12:A$111,MATCH($A41,PO!$V$12:$V$111,0))</f>
        <v>2</v>
      </c>
      <c r="D41" s="184">
        <f t="shared" ref="D41" ca="1" si="155">IF(ISERROR(J41),I41,SMALL(I41:J41,1))-1</f>
        <v>2</v>
      </c>
      <c r="E41" s="184">
        <f ca="1">IF($C41=1,OFFSET(E41,-CFF.NumLinha,0)+1,OFFSET(E41,-CFF.NumLinha,0))</f>
        <v>3</v>
      </c>
      <c r="F41" s="184">
        <f ca="1">IF($C41=1,0,IF($C41=2,OFFSET(F41,-CFF.NumLinha,0)+1,OFFSET(F41,-CFF.NumLinha,0)))</f>
        <v>1</v>
      </c>
      <c r="G41" s="184">
        <f ca="1">IF(AND($C41&lt;=2,$C41&lt;&gt;0),0,IF($C41=3,OFFSET(G41,-CFF.NumLinha,0)+1,OFFSET(G41,-CFF.NumLinha,0)))</f>
        <v>0</v>
      </c>
      <c r="H41" s="184">
        <f ca="1">IF(AND($C41&lt;=3,$C41&lt;&gt;0),0,IF($C41=4,OFFSET(H41,-CFF.NumLinha,0)+1,OFFSET(H41,-CFF.NumLinha,0)))</f>
        <v>0</v>
      </c>
      <c r="I41" s="184">
        <f ca="1">MATCH(0,OFFSET($D41,1,$C41,ROW($A$90)-ROW($A41)),0)</f>
        <v>27</v>
      </c>
      <c r="J41" s="184">
        <f ca="1">MATCH(OFFSET($D41,0,$C41)+1,OFFSET($D41,1,$C41,ROW($A$90)-ROW($A41)),0)</f>
        <v>3</v>
      </c>
      <c r="K41" s="185">
        <f ca="1">ROUND(INDEX(PO!T$12:T$111,MATCH($A41,PO!$V$12:$V$111,0)),2)+10^-12</f>
        <v>9.9999999999999998E-13</v>
      </c>
      <c r="L41" s="374"/>
      <c r="M41" s="376"/>
      <c r="N41" s="378"/>
      <c r="O41" s="204" t="s">
        <v>20</v>
      </c>
      <c r="P41" s="199">
        <f t="shared" ref="P41:W41" ca="1" si="156">IF($B41,ROUND(P40*$N39,2),ROUND(SUMIF(OFFSET($B41,1,0,$D41),TRUE,OFFSET(P41,1,0,$D41))/SUMIF(OFFSET($B41,1,0,$D41),TRUE,OFFSET($K41,1,0,$D41))*$N39,2))</f>
        <v>0</v>
      </c>
      <c r="Q41" s="169">
        <f t="shared" ca="1" si="156"/>
        <v>0</v>
      </c>
      <c r="R41" s="169">
        <f t="shared" ca="1" si="156"/>
        <v>0</v>
      </c>
      <c r="S41" s="169">
        <f t="shared" ca="1" si="156"/>
        <v>0</v>
      </c>
      <c r="T41" s="169">
        <f t="shared" ca="1" si="156"/>
        <v>0</v>
      </c>
      <c r="U41" s="169">
        <f t="shared" ca="1" si="156"/>
        <v>0</v>
      </c>
      <c r="V41" s="169">
        <f t="shared" ca="1" si="156"/>
        <v>0</v>
      </c>
      <c r="W41" s="207">
        <f t="shared" ca="1" si="156"/>
        <v>0</v>
      </c>
      <c r="X41" s="196"/>
      <c r="AC41" s="169">
        <f t="shared" ref="AC41" ca="1" si="157">IF($B41,ROUND(AC40*$N39,2),ROUND(SUMIF(OFFSET($B41,1,0,$D41),TRUE,OFFSET(AC41,1,0,$D41))/SUMIF(OFFSET($B41,1,0,$D41),TRUE,OFFSET($K41,1,0,$D41))*$N39,2))</f>
        <v>0</v>
      </c>
    </row>
    <row r="42" spans="1:29" customFormat="1" ht="14.25" customHeight="1" x14ac:dyDescent="0.2">
      <c r="A42" s="82"/>
      <c r="B42" s="82"/>
      <c r="C42" s="82"/>
      <c r="D42" s="82"/>
      <c r="E42" s="82"/>
      <c r="F42" s="82"/>
      <c r="G42" s="82"/>
      <c r="H42" s="82"/>
      <c r="I42" s="82"/>
      <c r="J42" s="82"/>
      <c r="K42" s="82"/>
      <c r="L42" s="373" t="str">
        <f ca="1">INDEX(PO!K$12:K$111,MATCH($A44,PO!$V$12:$V$111,0))</f>
        <v>3.2.</v>
      </c>
      <c r="M42" s="375" t="str">
        <f ca="1">INDEX(PO!N$12:N$111,MATCH($A44,PO!$V$12:$V$111,0))</f>
        <v>INFRAESTRUTURA</v>
      </c>
      <c r="N42" s="377">
        <f t="shared" ref="N42" ca="1" si="158">IF(ROUND(K44,2)=0,K44,ROUND(K44,2))</f>
        <v>9.9999999999999998E-13</v>
      </c>
      <c r="O42" s="220" t="s">
        <v>143</v>
      </c>
      <c r="P42" s="225">
        <f t="shared" ref="P42" ca="1" si="159">IF($B44,0,P43-IF(ISNUMBER(O43),O43,0))</f>
        <v>0</v>
      </c>
      <c r="Q42" s="226">
        <f t="shared" ref="Q42" ca="1" si="160">IF($B44,0,Q43-IF(ISNUMBER(P43),P43,0))</f>
        <v>0</v>
      </c>
      <c r="R42" s="226">
        <v>1</v>
      </c>
      <c r="S42" s="226">
        <f t="shared" ref="S42" ca="1" si="161">IF($B44,0,S43-IF(ISNUMBER(R43),R43,0))</f>
        <v>0</v>
      </c>
      <c r="T42" s="226">
        <f t="shared" ref="T42" ca="1" si="162">IF($B44,0,T43-IF(ISNUMBER(S43),S43,0))</f>
        <v>0</v>
      </c>
      <c r="U42" s="226">
        <f t="shared" ref="U42" ca="1" si="163">IF($B44,0,U43-IF(ISNUMBER(T43),T43,0))</f>
        <v>0</v>
      </c>
      <c r="V42" s="226">
        <f t="shared" ref="V42" ca="1" si="164">IF($B44,0,V43-IF(ISNUMBER(U43),U43,0))</f>
        <v>0</v>
      </c>
      <c r="W42" s="227">
        <f t="shared" ref="W42" ca="1" si="165">IF($B44,0,W43-IF(ISNUMBER(V43),V43,0))</f>
        <v>0</v>
      </c>
      <c r="X42" s="196"/>
      <c r="AC42" s="221">
        <f t="shared" ref="AC42" ca="1" si="166">IF($B44,0,AC43-IF(ISNUMBER(AB43),AB43,0))</f>
        <v>0</v>
      </c>
    </row>
    <row r="43" spans="1:29" customFormat="1" ht="14.25" x14ac:dyDescent="0.2">
      <c r="A43" s="184"/>
      <c r="B43" s="184"/>
      <c r="C43" s="184"/>
      <c r="D43" s="184"/>
      <c r="E43" s="184"/>
      <c r="F43" s="184"/>
      <c r="G43" s="184"/>
      <c r="H43" s="184"/>
      <c r="I43" s="184"/>
      <c r="J43" s="184"/>
      <c r="K43" s="184"/>
      <c r="L43" s="374"/>
      <c r="M43" s="376"/>
      <c r="N43" s="378"/>
      <c r="O43" s="170" t="s">
        <v>145</v>
      </c>
      <c r="P43" s="198">
        <f t="shared" ref="P43" ca="1" si="167">MIN(IF($B44,P42+IF(ISNUMBER(O43),O43,0),P44/$N42),1)</f>
        <v>0</v>
      </c>
      <c r="Q43" s="168">
        <f t="shared" ref="Q43" ca="1" si="168">MIN(IF($B44,Q42+IF(ISNUMBER(P43),P43,0),Q44/$N42),1)</f>
        <v>0</v>
      </c>
      <c r="R43" s="168">
        <f t="shared" ref="R43" ca="1" si="169">MIN(IF($B44,R42+IF(ISNUMBER(Q43),Q43,0),R44/$N42),1)</f>
        <v>1</v>
      </c>
      <c r="S43" s="168">
        <f t="shared" ref="S43" ca="1" si="170">MIN(IF($B44,S42+IF(ISNUMBER(R43),R43,0),S44/$N42),1)</f>
        <v>1</v>
      </c>
      <c r="T43" s="168">
        <f t="shared" ref="T43" ca="1" si="171">MIN(IF($B44,T42+IF(ISNUMBER(S43),S43,0),T44/$N42),1)</f>
        <v>1</v>
      </c>
      <c r="U43" s="168">
        <f t="shared" ref="U43" ca="1" si="172">MIN(IF($B44,U42+IF(ISNUMBER(T43),T43,0),U44/$N42),1)</f>
        <v>1</v>
      </c>
      <c r="V43" s="168">
        <f t="shared" ref="V43" ca="1" si="173">MIN(IF($B44,V42+IF(ISNUMBER(U43),U43,0),V44/$N42),1)</f>
        <v>1</v>
      </c>
      <c r="W43" s="168">
        <f t="shared" ref="W43" ca="1" si="174">MIN(IF($B44,W42+IF(ISNUMBER(V43),V43,0),W44/$N42),1)</f>
        <v>1</v>
      </c>
      <c r="X43" s="196"/>
      <c r="AC43" s="168">
        <f t="shared" ref="AC43" ca="1" si="175">MIN(IF($B44,AC42+IF(ISNUMBER(AB43),AB43,0),AC44/$N42),1)</f>
        <v>0</v>
      </c>
    </row>
    <row r="44" spans="1:29" customFormat="1" ht="14.25" x14ac:dyDescent="0.2">
      <c r="A44" s="184">
        <f ca="1">OFFSET(A44,-CFF.NumLinha,0)+1</f>
        <v>9</v>
      </c>
      <c r="B44" s="184" t="b">
        <f ca="1">$C44&gt;=OFFSET($C44,CFF.NumLinha,0)</f>
        <v>1</v>
      </c>
      <c r="C44" s="184">
        <f ca="1">INDEX(PO!A$12:A$111,MATCH($A44,PO!$V$12:$V$111,0))</f>
        <v>2</v>
      </c>
      <c r="D44" s="184">
        <f t="shared" ref="D44" ca="1" si="176">IF(ISERROR(J44),I44,SMALL(I44:J44,1))-1</f>
        <v>2</v>
      </c>
      <c r="E44" s="184">
        <f ca="1">IF($C44=1,OFFSET(E44,-CFF.NumLinha,0)+1,OFFSET(E44,-CFF.NumLinha,0))</f>
        <v>3</v>
      </c>
      <c r="F44" s="184">
        <f ca="1">IF($C44=1,0,IF($C44=2,OFFSET(F44,-CFF.NumLinha,0)+1,OFFSET(F44,-CFF.NumLinha,0)))</f>
        <v>2</v>
      </c>
      <c r="G44" s="184">
        <f ca="1">IF(AND($C44&lt;=2,$C44&lt;&gt;0),0,IF($C44=3,OFFSET(G44,-CFF.NumLinha,0)+1,OFFSET(G44,-CFF.NumLinha,0)))</f>
        <v>0</v>
      </c>
      <c r="H44" s="184">
        <f ca="1">IF(AND($C44&lt;=3,$C44&lt;&gt;0),0,IF($C44=4,OFFSET(H44,-CFF.NumLinha,0)+1,OFFSET(H44,-CFF.NumLinha,0)))</f>
        <v>0</v>
      </c>
      <c r="I44" s="184">
        <f ca="1">MATCH(0,OFFSET($D44,1,$C44,ROW($A$90)-ROW($A44)),0)</f>
        <v>24</v>
      </c>
      <c r="J44" s="184">
        <f ca="1">MATCH(OFFSET($D44,0,$C44)+1,OFFSET($D44,1,$C44,ROW($A$90)-ROW($A44)),0)</f>
        <v>3</v>
      </c>
      <c r="K44" s="185">
        <f ca="1">ROUND(INDEX(PO!T$12:T$111,MATCH($A44,PO!$V$12:$V$111,0)),2)+10^-12</f>
        <v>9.9999999999999998E-13</v>
      </c>
      <c r="L44" s="374"/>
      <c r="M44" s="376"/>
      <c r="N44" s="378"/>
      <c r="O44" s="204" t="s">
        <v>20</v>
      </c>
      <c r="P44" s="199">
        <f t="shared" ref="P44:W44" ca="1" si="177">IF($B44,ROUND(P43*$N42,2),ROUND(SUMIF(OFFSET($B44,1,0,$D44),TRUE,OFFSET(P44,1,0,$D44))/SUMIF(OFFSET($B44,1,0,$D44),TRUE,OFFSET($K44,1,0,$D44))*$N42,2))</f>
        <v>0</v>
      </c>
      <c r="Q44" s="169">
        <f t="shared" ca="1" si="177"/>
        <v>0</v>
      </c>
      <c r="R44" s="169">
        <f t="shared" ca="1" si="177"/>
        <v>0</v>
      </c>
      <c r="S44" s="169">
        <f t="shared" ca="1" si="177"/>
        <v>0</v>
      </c>
      <c r="T44" s="169">
        <f t="shared" ca="1" si="177"/>
        <v>0</v>
      </c>
      <c r="U44" s="169">
        <f t="shared" ca="1" si="177"/>
        <v>0</v>
      </c>
      <c r="V44" s="169">
        <f t="shared" ca="1" si="177"/>
        <v>0</v>
      </c>
      <c r="W44" s="207">
        <f t="shared" ca="1" si="177"/>
        <v>0</v>
      </c>
      <c r="X44" s="196"/>
      <c r="AC44" s="169">
        <f t="shared" ref="AC44" ca="1" si="178">IF($B44,ROUND(AC43*$N42,2),ROUND(SUMIF(OFFSET($B44,1,0,$D44),TRUE,OFFSET(AC44,1,0,$D44))/SUMIF(OFFSET($B44,1,0,$D44),TRUE,OFFSET($K44,1,0,$D44))*$N42,2))</f>
        <v>0</v>
      </c>
    </row>
    <row r="45" spans="1:29" customFormat="1" ht="14.25" customHeight="1" x14ac:dyDescent="0.2">
      <c r="A45" s="82"/>
      <c r="B45" s="82"/>
      <c r="C45" s="82"/>
      <c r="D45" s="82"/>
      <c r="E45" s="82"/>
      <c r="F45" s="82"/>
      <c r="G45" s="82"/>
      <c r="H45" s="82"/>
      <c r="I45" s="82"/>
      <c r="J45" s="82"/>
      <c r="K45" s="82"/>
      <c r="L45" s="373" t="str">
        <f ca="1">INDEX(PO!K$12:K$111,MATCH($A47,PO!$V$12:$V$111,0))</f>
        <v>3.3.</v>
      </c>
      <c r="M45" s="375" t="str">
        <f ca="1">INDEX(PO!N$12:N$111,MATCH($A47,PO!$V$12:$V$111,0))</f>
        <v>SUPRAESTRUTURA</v>
      </c>
      <c r="N45" s="377">
        <f t="shared" ref="N45" ca="1" si="179">IF(ROUND(K47,2)=0,K47,ROUND(K47,2))</f>
        <v>9.9999999999999998E-13</v>
      </c>
      <c r="O45" s="220" t="s">
        <v>143</v>
      </c>
      <c r="P45" s="225">
        <f t="shared" ref="P45" ca="1" si="180">IF($B47,0,P46-IF(ISNUMBER(O46),O46,0))</f>
        <v>0</v>
      </c>
      <c r="Q45" s="226">
        <f t="shared" ref="Q45" ca="1" si="181">IF($B47,0,Q46-IF(ISNUMBER(P46),P46,0))</f>
        <v>0</v>
      </c>
      <c r="R45" s="226">
        <v>1</v>
      </c>
      <c r="S45" s="226">
        <f t="shared" ref="S45" ca="1" si="182">IF($B47,0,S46-IF(ISNUMBER(R46),R46,0))</f>
        <v>0</v>
      </c>
      <c r="T45" s="226">
        <v>1</v>
      </c>
      <c r="U45" s="226">
        <f t="shared" ref="U45" ca="1" si="183">IF($B47,0,U46-IF(ISNUMBER(T46),T46,0))</f>
        <v>0</v>
      </c>
      <c r="V45" s="226">
        <f t="shared" ref="V45" ca="1" si="184">IF($B47,0,V46-IF(ISNUMBER(U46),U46,0))</f>
        <v>0</v>
      </c>
      <c r="W45" s="227">
        <f t="shared" ref="W45" ca="1" si="185">IF($B47,0,W46-IF(ISNUMBER(V46),V46,0))</f>
        <v>0</v>
      </c>
      <c r="X45" s="196"/>
      <c r="AC45" s="221">
        <f t="shared" ref="AC45" ca="1" si="186">IF($B47,0,AC46-IF(ISNUMBER(AB46),AB46,0))</f>
        <v>0</v>
      </c>
    </row>
    <row r="46" spans="1:29" customFormat="1" ht="14.25" x14ac:dyDescent="0.2">
      <c r="A46" s="184"/>
      <c r="B46" s="184"/>
      <c r="C46" s="184"/>
      <c r="D46" s="184"/>
      <c r="E46" s="184"/>
      <c r="F46" s="184"/>
      <c r="G46" s="184"/>
      <c r="H46" s="184"/>
      <c r="I46" s="184"/>
      <c r="J46" s="184"/>
      <c r="K46" s="184"/>
      <c r="L46" s="374"/>
      <c r="M46" s="376"/>
      <c r="N46" s="378"/>
      <c r="O46" s="170" t="s">
        <v>145</v>
      </c>
      <c r="P46" s="198">
        <f t="shared" ref="P46" ca="1" si="187">MIN(IF($B47,P45+IF(ISNUMBER(O46),O46,0),P47/$N45),1)</f>
        <v>0</v>
      </c>
      <c r="Q46" s="168">
        <f t="shared" ref="Q46" ca="1" si="188">MIN(IF($B47,Q45+IF(ISNUMBER(P46),P46,0),Q47/$N45),1)</f>
        <v>0</v>
      </c>
      <c r="R46" s="168">
        <f t="shared" ref="R46" ca="1" si="189">MIN(IF($B47,R45+IF(ISNUMBER(Q46),Q46,0),R47/$N45),1)</f>
        <v>1</v>
      </c>
      <c r="S46" s="168">
        <f t="shared" ref="S46" ca="1" si="190">MIN(IF($B47,S45+IF(ISNUMBER(R46),R46,0),S47/$N45),1)</f>
        <v>1</v>
      </c>
      <c r="T46" s="168">
        <f t="shared" ref="T46" ca="1" si="191">MIN(IF($B47,T45+IF(ISNUMBER(S46),S46,0),T47/$N45),1)</f>
        <v>1</v>
      </c>
      <c r="U46" s="168">
        <f t="shared" ref="U46" ca="1" si="192">MIN(IF($B47,U45+IF(ISNUMBER(T46),T46,0),U47/$N45),1)</f>
        <v>1</v>
      </c>
      <c r="V46" s="168">
        <f t="shared" ref="V46" ca="1" si="193">MIN(IF($B47,V45+IF(ISNUMBER(U46),U46,0),V47/$N45),1)</f>
        <v>1</v>
      </c>
      <c r="W46" s="168">
        <f t="shared" ref="W46" ca="1" si="194">MIN(IF($B47,W45+IF(ISNUMBER(V46),V46,0),W47/$N45),1)</f>
        <v>1</v>
      </c>
      <c r="X46" s="196"/>
      <c r="AC46" s="168">
        <f t="shared" ref="AC46" ca="1" si="195">MIN(IF($B47,AC45+IF(ISNUMBER(AB46),AB46,0),AC47/$N45),1)</f>
        <v>0</v>
      </c>
    </row>
    <row r="47" spans="1:29" customFormat="1" ht="14.25" x14ac:dyDescent="0.2">
      <c r="A47" s="184">
        <f ca="1">OFFSET(A47,-CFF.NumLinha,0)+1</f>
        <v>10</v>
      </c>
      <c r="B47" s="184" t="b">
        <f ca="1">$C47&gt;=OFFSET($C47,CFF.NumLinha,0)</f>
        <v>1</v>
      </c>
      <c r="C47" s="184">
        <f ca="1">INDEX(PO!A$12:A$111,MATCH($A47,PO!$V$12:$V$111,0))</f>
        <v>2</v>
      </c>
      <c r="D47" s="184">
        <f t="shared" ref="D47" ca="1" si="196">IF(ISERROR(J47),I47,SMALL(I47:J47,1))-1</f>
        <v>2</v>
      </c>
      <c r="E47" s="184">
        <f ca="1">IF($C47=1,OFFSET(E47,-CFF.NumLinha,0)+1,OFFSET(E47,-CFF.NumLinha,0))</f>
        <v>3</v>
      </c>
      <c r="F47" s="184">
        <f ca="1">IF($C47=1,0,IF($C47=2,OFFSET(F47,-CFF.NumLinha,0)+1,OFFSET(F47,-CFF.NumLinha,0)))</f>
        <v>3</v>
      </c>
      <c r="G47" s="184">
        <f ca="1">IF(AND($C47&lt;=2,$C47&lt;&gt;0),0,IF($C47=3,OFFSET(G47,-CFF.NumLinha,0)+1,OFFSET(G47,-CFF.NumLinha,0)))</f>
        <v>0</v>
      </c>
      <c r="H47" s="184">
        <f ca="1">IF(AND($C47&lt;=3,$C47&lt;&gt;0),0,IF($C47=4,OFFSET(H47,-CFF.NumLinha,0)+1,OFFSET(H47,-CFF.NumLinha,0)))</f>
        <v>0</v>
      </c>
      <c r="I47" s="184">
        <f ca="1">MATCH(0,OFFSET($D47,1,$C47,ROW($A$90)-ROW($A47)),0)</f>
        <v>21</v>
      </c>
      <c r="J47" s="184">
        <f ca="1">MATCH(OFFSET($D47,0,$C47)+1,OFFSET($D47,1,$C47,ROW($A$90)-ROW($A47)),0)</f>
        <v>3</v>
      </c>
      <c r="K47" s="185">
        <f ca="1">ROUND(INDEX(PO!T$12:T$111,MATCH($A47,PO!$V$12:$V$111,0)),2)+10^-12</f>
        <v>9.9999999999999998E-13</v>
      </c>
      <c r="L47" s="374"/>
      <c r="M47" s="376"/>
      <c r="N47" s="378"/>
      <c r="O47" s="204" t="s">
        <v>20</v>
      </c>
      <c r="P47" s="199">
        <f t="shared" ref="P47:W47" ca="1" si="197">IF($B47,ROUND(P46*$N45,2),ROUND(SUMIF(OFFSET($B47,1,0,$D47),TRUE,OFFSET(P47,1,0,$D47))/SUMIF(OFFSET($B47,1,0,$D47),TRUE,OFFSET($K47,1,0,$D47))*$N45,2))</f>
        <v>0</v>
      </c>
      <c r="Q47" s="169">
        <f t="shared" ca="1" si="197"/>
        <v>0</v>
      </c>
      <c r="R47" s="169">
        <f t="shared" ca="1" si="197"/>
        <v>0</v>
      </c>
      <c r="S47" s="169">
        <f t="shared" ca="1" si="197"/>
        <v>0</v>
      </c>
      <c r="T47" s="169">
        <f t="shared" ca="1" si="197"/>
        <v>0</v>
      </c>
      <c r="U47" s="169">
        <f t="shared" ca="1" si="197"/>
        <v>0</v>
      </c>
      <c r="V47" s="169">
        <f t="shared" ca="1" si="197"/>
        <v>0</v>
      </c>
      <c r="W47" s="207">
        <f t="shared" ca="1" si="197"/>
        <v>0</v>
      </c>
      <c r="X47" s="196"/>
      <c r="AC47" s="169">
        <f t="shared" ref="AC47" ca="1" si="198">IF($B47,ROUND(AC46*$N45,2),ROUND(SUMIF(OFFSET($B47,1,0,$D47),TRUE,OFFSET(AC47,1,0,$D47))/SUMIF(OFFSET($B47,1,0,$D47),TRUE,OFFSET($K47,1,0,$D47))*$N45,2))</f>
        <v>0</v>
      </c>
    </row>
    <row r="48" spans="1:29" customFormat="1" ht="14.25" customHeight="1" x14ac:dyDescent="0.2">
      <c r="A48" s="82"/>
      <c r="B48" s="82"/>
      <c r="C48" s="82"/>
      <c r="D48" s="82"/>
      <c r="E48" s="82"/>
      <c r="F48" s="82"/>
      <c r="G48" s="82"/>
      <c r="H48" s="82"/>
      <c r="I48" s="82"/>
      <c r="J48" s="82"/>
      <c r="K48" s="82"/>
      <c r="L48" s="373" t="str">
        <f ca="1">INDEX(PO!K$12:K$111,MATCH($A50,PO!$V$12:$V$111,0))</f>
        <v>3.4.</v>
      </c>
      <c r="M48" s="375" t="str">
        <f ca="1">INDEX(PO!N$12:N$111,MATCH($A50,PO!$V$12:$V$111,0))</f>
        <v>CALHAS</v>
      </c>
      <c r="N48" s="377">
        <f t="shared" ref="N48" ca="1" si="199">IF(ROUND(K50,2)=0,K50,ROUND(K50,2))</f>
        <v>9.9999999999999998E-13</v>
      </c>
      <c r="O48" s="220" t="s">
        <v>143</v>
      </c>
      <c r="P48" s="225">
        <f t="shared" ref="P48" ca="1" si="200">IF($B50,0,P49-IF(ISNUMBER(O49),O49,0))</f>
        <v>0</v>
      </c>
      <c r="Q48" s="226">
        <f t="shared" ref="Q48" ca="1" si="201">IF($B50,0,Q49-IF(ISNUMBER(P49),P49,0))</f>
        <v>0</v>
      </c>
      <c r="R48" s="226">
        <f t="shared" ref="R48" ca="1" si="202">IF($B50,0,R49-IF(ISNUMBER(Q49),Q49,0))</f>
        <v>0</v>
      </c>
      <c r="S48" s="226">
        <f t="shared" ref="S48" ca="1" si="203">IF($B50,0,S49-IF(ISNUMBER(R49),R49,0))</f>
        <v>0</v>
      </c>
      <c r="T48" s="226">
        <v>1</v>
      </c>
      <c r="U48" s="226">
        <f t="shared" ref="U48" ca="1" si="204">IF($B50,0,U49-IF(ISNUMBER(T49),T49,0))</f>
        <v>0</v>
      </c>
      <c r="V48" s="226">
        <f t="shared" ref="V48" ca="1" si="205">IF($B50,0,V49-IF(ISNUMBER(U49),U49,0))</f>
        <v>0</v>
      </c>
      <c r="W48" s="227">
        <f t="shared" ref="W48" ca="1" si="206">IF($B50,0,W49-IF(ISNUMBER(V49),V49,0))</f>
        <v>0</v>
      </c>
      <c r="X48" s="196"/>
      <c r="AC48" s="221">
        <f t="shared" ref="AC48" ca="1" si="207">IF($B50,0,AC49-IF(ISNUMBER(AB49),AB49,0))</f>
        <v>0</v>
      </c>
    </row>
    <row r="49" spans="1:29" customFormat="1" ht="14.25" x14ac:dyDescent="0.2">
      <c r="A49" s="184"/>
      <c r="B49" s="184"/>
      <c r="C49" s="184"/>
      <c r="D49" s="184"/>
      <c r="E49" s="184"/>
      <c r="F49" s="184"/>
      <c r="G49" s="184"/>
      <c r="H49" s="184"/>
      <c r="I49" s="184"/>
      <c r="J49" s="184"/>
      <c r="K49" s="184"/>
      <c r="L49" s="374"/>
      <c r="M49" s="376"/>
      <c r="N49" s="378"/>
      <c r="O49" s="170" t="s">
        <v>145</v>
      </c>
      <c r="P49" s="198">
        <f t="shared" ref="P49" ca="1" si="208">MIN(IF($B50,P48+IF(ISNUMBER(O49),O49,0),P50/$N48),1)</f>
        <v>0</v>
      </c>
      <c r="Q49" s="168">
        <f t="shared" ref="Q49" ca="1" si="209">MIN(IF($B50,Q48+IF(ISNUMBER(P49),P49,0),Q50/$N48),1)</f>
        <v>0</v>
      </c>
      <c r="R49" s="168">
        <f t="shared" ref="R49" ca="1" si="210">MIN(IF($B50,R48+IF(ISNUMBER(Q49),Q49,0),R50/$N48),1)</f>
        <v>0</v>
      </c>
      <c r="S49" s="168">
        <f t="shared" ref="S49" ca="1" si="211">MIN(IF($B50,S48+IF(ISNUMBER(R49),R49,0),S50/$N48),1)</f>
        <v>0</v>
      </c>
      <c r="T49" s="168">
        <f t="shared" ref="T49" ca="1" si="212">MIN(IF($B50,T48+IF(ISNUMBER(S49),S49,0),T50/$N48),1)</f>
        <v>1</v>
      </c>
      <c r="U49" s="168">
        <f t="shared" ref="U49" ca="1" si="213">MIN(IF($B50,U48+IF(ISNUMBER(T49),T49,0),U50/$N48),1)</f>
        <v>1</v>
      </c>
      <c r="V49" s="168">
        <f t="shared" ref="V49" ca="1" si="214">MIN(IF($B50,V48+IF(ISNUMBER(U49),U49,0),V50/$N48),1)</f>
        <v>1</v>
      </c>
      <c r="W49" s="168">
        <f t="shared" ref="W49" ca="1" si="215">MIN(IF($B50,W48+IF(ISNUMBER(V49),V49,0),W50/$N48),1)</f>
        <v>1</v>
      </c>
      <c r="X49" s="196"/>
      <c r="AC49" s="168">
        <f t="shared" ref="AC49" ca="1" si="216">MIN(IF($B50,AC48+IF(ISNUMBER(AB49),AB49,0),AC50/$N48),1)</f>
        <v>0</v>
      </c>
    </row>
    <row r="50" spans="1:29" customFormat="1" ht="14.25" x14ac:dyDescent="0.2">
      <c r="A50" s="184">
        <f ca="1">OFFSET(A50,-CFF.NumLinha,0)+1</f>
        <v>11</v>
      </c>
      <c r="B50" s="184" t="b">
        <f ca="1">$C50&gt;=OFFSET($C50,CFF.NumLinha,0)</f>
        <v>1</v>
      </c>
      <c r="C50" s="184">
        <f ca="1">INDEX(PO!A$12:A$111,MATCH($A50,PO!$V$12:$V$111,0))</f>
        <v>2</v>
      </c>
      <c r="D50" s="184">
        <f t="shared" ref="D50" ca="1" si="217">IF(ISERROR(J50),I50,SMALL(I50:J50,1))-1</f>
        <v>2</v>
      </c>
      <c r="E50" s="184">
        <f ca="1">IF($C50=1,OFFSET(E50,-CFF.NumLinha,0)+1,OFFSET(E50,-CFF.NumLinha,0))</f>
        <v>3</v>
      </c>
      <c r="F50" s="184">
        <f ca="1">IF($C50=1,0,IF($C50=2,OFFSET(F50,-CFF.NumLinha,0)+1,OFFSET(F50,-CFF.NumLinha,0)))</f>
        <v>4</v>
      </c>
      <c r="G50" s="184">
        <f ca="1">IF(AND($C50&lt;=2,$C50&lt;&gt;0),0,IF($C50=3,OFFSET(G50,-CFF.NumLinha,0)+1,OFFSET(G50,-CFF.NumLinha,0)))</f>
        <v>0</v>
      </c>
      <c r="H50" s="184">
        <f ca="1">IF(AND($C50&lt;=3,$C50&lt;&gt;0),0,IF($C50=4,OFFSET(H50,-CFF.NumLinha,0)+1,OFFSET(H50,-CFF.NumLinha,0)))</f>
        <v>0</v>
      </c>
      <c r="I50" s="184">
        <f ca="1">MATCH(0,OFFSET($D50,1,$C50,ROW($A$90)-ROW($A50)),0)</f>
        <v>18</v>
      </c>
      <c r="J50" s="184">
        <f ca="1">MATCH(OFFSET($D50,0,$C50)+1,OFFSET($D50,1,$C50,ROW($A$90)-ROW($A50)),0)</f>
        <v>3</v>
      </c>
      <c r="K50" s="185">
        <f ca="1">ROUND(INDEX(PO!T$12:T$111,MATCH($A50,PO!$V$12:$V$111,0)),2)+10^-12</f>
        <v>9.9999999999999998E-13</v>
      </c>
      <c r="L50" s="374"/>
      <c r="M50" s="376"/>
      <c r="N50" s="378"/>
      <c r="O50" s="204" t="s">
        <v>20</v>
      </c>
      <c r="P50" s="199">
        <f t="shared" ref="P50:W50" ca="1" si="218">IF($B50,ROUND(P49*$N48,2),ROUND(SUMIF(OFFSET($B50,1,0,$D50),TRUE,OFFSET(P50,1,0,$D50))/SUMIF(OFFSET($B50,1,0,$D50),TRUE,OFFSET($K50,1,0,$D50))*$N48,2))</f>
        <v>0</v>
      </c>
      <c r="Q50" s="169">
        <f t="shared" ca="1" si="218"/>
        <v>0</v>
      </c>
      <c r="R50" s="169">
        <f t="shared" ca="1" si="218"/>
        <v>0</v>
      </c>
      <c r="S50" s="169">
        <f t="shared" ca="1" si="218"/>
        <v>0</v>
      </c>
      <c r="T50" s="169">
        <f t="shared" ca="1" si="218"/>
        <v>0</v>
      </c>
      <c r="U50" s="169">
        <f t="shared" ca="1" si="218"/>
        <v>0</v>
      </c>
      <c r="V50" s="169">
        <f t="shared" ca="1" si="218"/>
        <v>0</v>
      </c>
      <c r="W50" s="207">
        <f t="shared" ca="1" si="218"/>
        <v>0</v>
      </c>
      <c r="X50" s="196"/>
      <c r="AC50" s="169">
        <f t="shared" ref="AC50" ca="1" si="219">IF($B50,ROUND(AC49*$N48,2),ROUND(SUMIF(OFFSET($B50,1,0,$D50),TRUE,OFFSET(AC50,1,0,$D50))/SUMIF(OFFSET($B50,1,0,$D50),TRUE,OFFSET($K50,1,0,$D50))*$N48,2))</f>
        <v>0</v>
      </c>
    </row>
    <row r="51" spans="1:29" customFormat="1" ht="14.25" customHeight="1" x14ac:dyDescent="0.2">
      <c r="A51" s="82"/>
      <c r="B51" s="82"/>
      <c r="C51" s="82"/>
      <c r="D51" s="82"/>
      <c r="E51" s="82"/>
      <c r="F51" s="82"/>
      <c r="G51" s="82"/>
      <c r="H51" s="82"/>
      <c r="I51" s="82"/>
      <c r="J51" s="82"/>
      <c r="K51" s="82"/>
      <c r="L51" s="373" t="str">
        <f ca="1">INDEX(PO!K$12:K$111,MATCH($A53,PO!$V$12:$V$111,0))</f>
        <v>3.5.</v>
      </c>
      <c r="M51" s="375" t="str">
        <f ca="1">INDEX(PO!N$12:N$111,MATCH($A53,PO!$V$12:$V$111,0))</f>
        <v>COBERTURA</v>
      </c>
      <c r="N51" s="377">
        <f t="shared" ref="N51" ca="1" si="220">IF(ROUND(K53,2)=0,K53,ROUND(K53,2))</f>
        <v>9.9999999999999998E-13</v>
      </c>
      <c r="O51" s="220" t="s">
        <v>143</v>
      </c>
      <c r="P51" s="225">
        <f t="shared" ref="P51" ca="1" si="221">IF($B53,0,P52-IF(ISNUMBER(O52),O52,0))</f>
        <v>0</v>
      </c>
      <c r="Q51" s="226">
        <f t="shared" ref="Q51" ca="1" si="222">IF($B53,0,Q52-IF(ISNUMBER(P52),P52,0))</f>
        <v>0</v>
      </c>
      <c r="R51" s="226">
        <f t="shared" ref="R51" ca="1" si="223">IF($B53,0,R52-IF(ISNUMBER(Q52),Q52,0))</f>
        <v>0</v>
      </c>
      <c r="S51" s="226">
        <f t="shared" ref="S51" ca="1" si="224">IF($B53,0,S52-IF(ISNUMBER(R52),R52,0))</f>
        <v>0</v>
      </c>
      <c r="T51" s="226">
        <v>1</v>
      </c>
      <c r="U51" s="226">
        <f t="shared" ref="U51" ca="1" si="225">IF($B53,0,U52-IF(ISNUMBER(T52),T52,0))</f>
        <v>0</v>
      </c>
      <c r="V51" s="226">
        <f t="shared" ref="V51" ca="1" si="226">IF($B53,0,V52-IF(ISNUMBER(U52),U52,0))</f>
        <v>0</v>
      </c>
      <c r="W51" s="227">
        <f t="shared" ref="W51" ca="1" si="227">IF($B53,0,W52-IF(ISNUMBER(V52),V52,0))</f>
        <v>0</v>
      </c>
      <c r="X51" s="196"/>
      <c r="AC51" s="221">
        <f t="shared" ref="AC51" ca="1" si="228">IF($B53,0,AC52-IF(ISNUMBER(AB52),AB52,0))</f>
        <v>0</v>
      </c>
    </row>
    <row r="52" spans="1:29" customFormat="1" ht="14.25" x14ac:dyDescent="0.2">
      <c r="A52" s="184"/>
      <c r="B52" s="184"/>
      <c r="C52" s="184"/>
      <c r="D52" s="184"/>
      <c r="E52" s="184"/>
      <c r="F52" s="184"/>
      <c r="G52" s="184"/>
      <c r="H52" s="184"/>
      <c r="I52" s="184"/>
      <c r="J52" s="184"/>
      <c r="K52" s="184"/>
      <c r="L52" s="374"/>
      <c r="M52" s="376"/>
      <c r="N52" s="378"/>
      <c r="O52" s="170" t="s">
        <v>145</v>
      </c>
      <c r="P52" s="198">
        <f t="shared" ref="P52" ca="1" si="229">MIN(IF($B53,P51+IF(ISNUMBER(O52),O52,0),P53/$N51),1)</f>
        <v>0</v>
      </c>
      <c r="Q52" s="168">
        <f t="shared" ref="Q52" ca="1" si="230">MIN(IF($B53,Q51+IF(ISNUMBER(P52),P52,0),Q53/$N51),1)</f>
        <v>0</v>
      </c>
      <c r="R52" s="168">
        <f t="shared" ref="R52" ca="1" si="231">MIN(IF($B53,R51+IF(ISNUMBER(Q52),Q52,0),R53/$N51),1)</f>
        <v>0</v>
      </c>
      <c r="S52" s="168">
        <f t="shared" ref="S52" ca="1" si="232">MIN(IF($B53,S51+IF(ISNUMBER(R52),R52,0),S53/$N51),1)</f>
        <v>0</v>
      </c>
      <c r="T52" s="168">
        <f t="shared" ref="T52" ca="1" si="233">MIN(IF($B53,T51+IF(ISNUMBER(S52),S52,0),T53/$N51),1)</f>
        <v>1</v>
      </c>
      <c r="U52" s="168">
        <f t="shared" ref="U52" ca="1" si="234">MIN(IF($B53,U51+IF(ISNUMBER(T52),T52,0),U53/$N51),1)</f>
        <v>1</v>
      </c>
      <c r="V52" s="168">
        <f t="shared" ref="V52" ca="1" si="235">MIN(IF($B53,V51+IF(ISNUMBER(U52),U52,0),V53/$N51),1)</f>
        <v>1</v>
      </c>
      <c r="W52" s="168">
        <f t="shared" ref="W52" ca="1" si="236">MIN(IF($B53,W51+IF(ISNUMBER(V52),V52,0),W53/$N51),1)</f>
        <v>1</v>
      </c>
      <c r="X52" s="196"/>
      <c r="AC52" s="168">
        <f t="shared" ref="AC52" ca="1" si="237">MIN(IF($B53,AC51+IF(ISNUMBER(AB52),AB52,0),AC53/$N51),1)</f>
        <v>0</v>
      </c>
    </row>
    <row r="53" spans="1:29" customFormat="1" ht="14.25" x14ac:dyDescent="0.2">
      <c r="A53" s="184">
        <f ca="1">OFFSET(A53,-CFF.NumLinha,0)+1</f>
        <v>12</v>
      </c>
      <c r="B53" s="184" t="b">
        <f ca="1">$C53&gt;=OFFSET($C53,CFF.NumLinha,0)</f>
        <v>1</v>
      </c>
      <c r="C53" s="184">
        <f ca="1">INDEX(PO!A$12:A$111,MATCH($A53,PO!$V$12:$V$111,0))</f>
        <v>2</v>
      </c>
      <c r="D53" s="184">
        <f t="shared" ref="D53" ca="1" si="238">IF(ISERROR(J53),I53,SMALL(I53:J53,1))-1</f>
        <v>2</v>
      </c>
      <c r="E53" s="184">
        <f ca="1">IF($C53=1,OFFSET(E53,-CFF.NumLinha,0)+1,OFFSET(E53,-CFF.NumLinha,0))</f>
        <v>3</v>
      </c>
      <c r="F53" s="184">
        <f ca="1">IF($C53=1,0,IF($C53=2,OFFSET(F53,-CFF.NumLinha,0)+1,OFFSET(F53,-CFF.NumLinha,0)))</f>
        <v>5</v>
      </c>
      <c r="G53" s="184">
        <f ca="1">IF(AND($C53&lt;=2,$C53&lt;&gt;0),0,IF($C53=3,OFFSET(G53,-CFF.NumLinha,0)+1,OFFSET(G53,-CFF.NumLinha,0)))</f>
        <v>0</v>
      </c>
      <c r="H53" s="184">
        <f ca="1">IF(AND($C53&lt;=3,$C53&lt;&gt;0),0,IF($C53=4,OFFSET(H53,-CFF.NumLinha,0)+1,OFFSET(H53,-CFF.NumLinha,0)))</f>
        <v>0</v>
      </c>
      <c r="I53" s="184">
        <f ca="1">MATCH(0,OFFSET($D53,1,$C53,ROW($A$90)-ROW($A53)),0)</f>
        <v>15</v>
      </c>
      <c r="J53" s="184">
        <f ca="1">MATCH(OFFSET($D53,0,$C53)+1,OFFSET($D53,1,$C53,ROW($A$90)-ROW($A53)),0)</f>
        <v>3</v>
      </c>
      <c r="K53" s="185">
        <f ca="1">ROUND(INDEX(PO!T$12:T$111,MATCH($A53,PO!$V$12:$V$111,0)),2)+10^-12</f>
        <v>9.9999999999999998E-13</v>
      </c>
      <c r="L53" s="374"/>
      <c r="M53" s="376"/>
      <c r="N53" s="378"/>
      <c r="O53" s="204" t="s">
        <v>20</v>
      </c>
      <c r="P53" s="199">
        <f t="shared" ref="P53:W53" ca="1" si="239">IF($B53,ROUND(P52*$N51,2),ROUND(SUMIF(OFFSET($B53,1,0,$D53),TRUE,OFFSET(P53,1,0,$D53))/SUMIF(OFFSET($B53,1,0,$D53),TRUE,OFFSET($K53,1,0,$D53))*$N51,2))</f>
        <v>0</v>
      </c>
      <c r="Q53" s="169">
        <f t="shared" ca="1" si="239"/>
        <v>0</v>
      </c>
      <c r="R53" s="169">
        <f t="shared" ca="1" si="239"/>
        <v>0</v>
      </c>
      <c r="S53" s="169">
        <f t="shared" ca="1" si="239"/>
        <v>0</v>
      </c>
      <c r="T53" s="169">
        <f t="shared" ca="1" si="239"/>
        <v>0</v>
      </c>
      <c r="U53" s="169">
        <f t="shared" ca="1" si="239"/>
        <v>0</v>
      </c>
      <c r="V53" s="169">
        <f t="shared" ca="1" si="239"/>
        <v>0</v>
      </c>
      <c r="W53" s="207">
        <f t="shared" ca="1" si="239"/>
        <v>0</v>
      </c>
      <c r="X53" s="196"/>
      <c r="AC53" s="169">
        <f t="shared" ref="AC53" ca="1" si="240">IF($B53,ROUND(AC52*$N51,2),ROUND(SUMIF(OFFSET($B53,1,0,$D53),TRUE,OFFSET(AC53,1,0,$D53))/SUMIF(OFFSET($B53,1,0,$D53),TRUE,OFFSET($K53,1,0,$D53))*$N51,2))</f>
        <v>0</v>
      </c>
    </row>
    <row r="54" spans="1:29" customFormat="1" ht="14.25" customHeight="1" x14ac:dyDescent="0.2">
      <c r="A54" s="82"/>
      <c r="B54" s="82"/>
      <c r="C54" s="82"/>
      <c r="D54" s="82"/>
      <c r="E54" s="82"/>
      <c r="F54" s="82"/>
      <c r="G54" s="82"/>
      <c r="H54" s="82"/>
      <c r="I54" s="82"/>
      <c r="J54" s="82"/>
      <c r="K54" s="82"/>
      <c r="L54" s="373" t="str">
        <f ca="1">INDEX(PO!K$12:K$111,MATCH($A56,PO!$V$12:$V$111,0))</f>
        <v>3.6.</v>
      </c>
      <c r="M54" s="375" t="str">
        <f ca="1">INDEX(PO!N$12:N$111,MATCH($A56,PO!$V$12:$V$111,0))</f>
        <v>FORRO</v>
      </c>
      <c r="N54" s="377">
        <f t="shared" ref="N54" ca="1" si="241">IF(ROUND(K56,2)=0,K56,ROUND(K56,2))</f>
        <v>9.9999999999999998E-13</v>
      </c>
      <c r="O54" s="220" t="s">
        <v>143</v>
      </c>
      <c r="P54" s="225">
        <f t="shared" ref="P54" ca="1" si="242">IF($B56,0,P55-IF(ISNUMBER(O55),O55,0))</f>
        <v>0</v>
      </c>
      <c r="Q54" s="226">
        <f t="shared" ref="Q54" ca="1" si="243">IF($B56,0,Q55-IF(ISNUMBER(P55),P55,0))</f>
        <v>0</v>
      </c>
      <c r="R54" s="226">
        <f t="shared" ref="R54" ca="1" si="244">IF($B56,0,R55-IF(ISNUMBER(Q55),Q55,0))</f>
        <v>0</v>
      </c>
      <c r="S54" s="226">
        <f t="shared" ref="S54" ca="1" si="245">IF($B56,0,S55-IF(ISNUMBER(R55),R55,0))</f>
        <v>0</v>
      </c>
      <c r="T54" s="226">
        <v>1</v>
      </c>
      <c r="U54" s="226">
        <f t="shared" ref="U54" ca="1" si="246">IF($B56,0,U55-IF(ISNUMBER(T55),T55,0))</f>
        <v>0</v>
      </c>
      <c r="V54" s="226">
        <f t="shared" ref="V54" ca="1" si="247">IF($B56,0,V55-IF(ISNUMBER(U55),U55,0))</f>
        <v>0</v>
      </c>
      <c r="W54" s="227">
        <f t="shared" ref="W54" ca="1" si="248">IF($B56,0,W55-IF(ISNUMBER(V55),V55,0))</f>
        <v>0</v>
      </c>
      <c r="X54" s="196"/>
      <c r="AC54" s="221">
        <f t="shared" ref="AC54" ca="1" si="249">IF($B56,0,AC55-IF(ISNUMBER(AB55),AB55,0))</f>
        <v>0</v>
      </c>
    </row>
    <row r="55" spans="1:29" customFormat="1" ht="14.25" x14ac:dyDescent="0.2">
      <c r="A55" s="184"/>
      <c r="B55" s="184"/>
      <c r="C55" s="184"/>
      <c r="D55" s="184"/>
      <c r="E55" s="184"/>
      <c r="F55" s="184"/>
      <c r="G55" s="184"/>
      <c r="H55" s="184"/>
      <c r="I55" s="184"/>
      <c r="J55" s="184"/>
      <c r="K55" s="184"/>
      <c r="L55" s="374"/>
      <c r="M55" s="376"/>
      <c r="N55" s="378"/>
      <c r="O55" s="170" t="s">
        <v>145</v>
      </c>
      <c r="P55" s="198">
        <f t="shared" ref="P55" ca="1" si="250">MIN(IF($B56,P54+IF(ISNUMBER(O55),O55,0),P56/$N54),1)</f>
        <v>0</v>
      </c>
      <c r="Q55" s="168">
        <f t="shared" ref="Q55" ca="1" si="251">MIN(IF($B56,Q54+IF(ISNUMBER(P55),P55,0),Q56/$N54),1)</f>
        <v>0</v>
      </c>
      <c r="R55" s="168">
        <f t="shared" ref="R55" ca="1" si="252">MIN(IF($B56,R54+IF(ISNUMBER(Q55),Q55,0),R56/$N54),1)</f>
        <v>0</v>
      </c>
      <c r="S55" s="168">
        <f t="shared" ref="S55" ca="1" si="253">MIN(IF($B56,S54+IF(ISNUMBER(R55),R55,0),S56/$N54),1)</f>
        <v>0</v>
      </c>
      <c r="T55" s="168">
        <f t="shared" ref="T55" ca="1" si="254">MIN(IF($B56,T54+IF(ISNUMBER(S55),S55,0),T56/$N54),1)</f>
        <v>1</v>
      </c>
      <c r="U55" s="168">
        <f t="shared" ref="U55" ca="1" si="255">MIN(IF($B56,U54+IF(ISNUMBER(T55),T55,0),U56/$N54),1)</f>
        <v>1</v>
      </c>
      <c r="V55" s="168">
        <f t="shared" ref="V55" ca="1" si="256">MIN(IF($B56,V54+IF(ISNUMBER(U55),U55,0),V56/$N54),1)</f>
        <v>1</v>
      </c>
      <c r="W55" s="168">
        <f t="shared" ref="W55" ca="1" si="257">MIN(IF($B56,W54+IF(ISNUMBER(V55),V55,0),W56/$N54),1)</f>
        <v>1</v>
      </c>
      <c r="X55" s="196"/>
      <c r="AC55" s="168">
        <f t="shared" ref="AC55" ca="1" si="258">MIN(IF($B56,AC54+IF(ISNUMBER(AB55),AB55,0),AC56/$N54),1)</f>
        <v>0</v>
      </c>
    </row>
    <row r="56" spans="1:29" customFormat="1" ht="14.25" x14ac:dyDescent="0.2">
      <c r="A56" s="184">
        <f ca="1">OFFSET(A56,-CFF.NumLinha,0)+1</f>
        <v>13</v>
      </c>
      <c r="B56" s="184" t="b">
        <f ca="1">$C56&gt;=OFFSET($C56,CFF.NumLinha,0)</f>
        <v>1</v>
      </c>
      <c r="C56" s="184">
        <f ca="1">INDEX(PO!A$12:A$111,MATCH($A56,PO!$V$12:$V$111,0))</f>
        <v>2</v>
      </c>
      <c r="D56" s="184">
        <f t="shared" ref="D56" ca="1" si="259">IF(ISERROR(J56),I56,SMALL(I56:J56,1))-1</f>
        <v>2</v>
      </c>
      <c r="E56" s="184">
        <f ca="1">IF($C56=1,OFFSET(E56,-CFF.NumLinha,0)+1,OFFSET(E56,-CFF.NumLinha,0))</f>
        <v>3</v>
      </c>
      <c r="F56" s="184">
        <f ca="1">IF($C56=1,0,IF($C56=2,OFFSET(F56,-CFF.NumLinha,0)+1,OFFSET(F56,-CFF.NumLinha,0)))</f>
        <v>6</v>
      </c>
      <c r="G56" s="184">
        <f ca="1">IF(AND($C56&lt;=2,$C56&lt;&gt;0),0,IF($C56=3,OFFSET(G56,-CFF.NumLinha,0)+1,OFFSET(G56,-CFF.NumLinha,0)))</f>
        <v>0</v>
      </c>
      <c r="H56" s="184">
        <f ca="1">IF(AND($C56&lt;=3,$C56&lt;&gt;0),0,IF($C56=4,OFFSET(H56,-CFF.NumLinha,0)+1,OFFSET(H56,-CFF.NumLinha,0)))</f>
        <v>0</v>
      </c>
      <c r="I56" s="184">
        <f ca="1">MATCH(0,OFFSET($D56,1,$C56,ROW($A$90)-ROW($A56)),0)</f>
        <v>12</v>
      </c>
      <c r="J56" s="184">
        <f ca="1">MATCH(OFFSET($D56,0,$C56)+1,OFFSET($D56,1,$C56,ROW($A$90)-ROW($A56)),0)</f>
        <v>3</v>
      </c>
      <c r="K56" s="185">
        <f ca="1">ROUND(INDEX(PO!T$12:T$111,MATCH($A56,PO!$V$12:$V$111,0)),2)+10^-12</f>
        <v>9.9999999999999998E-13</v>
      </c>
      <c r="L56" s="374"/>
      <c r="M56" s="376"/>
      <c r="N56" s="378"/>
      <c r="O56" s="204" t="s">
        <v>20</v>
      </c>
      <c r="P56" s="199">
        <f t="shared" ref="P56:W56" ca="1" si="260">IF($B56,ROUND(P55*$N54,2),ROUND(SUMIF(OFFSET($B56,1,0,$D56),TRUE,OFFSET(P56,1,0,$D56))/SUMIF(OFFSET($B56,1,0,$D56),TRUE,OFFSET($K56,1,0,$D56))*$N54,2))</f>
        <v>0</v>
      </c>
      <c r="Q56" s="169">
        <f t="shared" ca="1" si="260"/>
        <v>0</v>
      </c>
      <c r="R56" s="169">
        <f t="shared" ca="1" si="260"/>
        <v>0</v>
      </c>
      <c r="S56" s="169">
        <f t="shared" ca="1" si="260"/>
        <v>0</v>
      </c>
      <c r="T56" s="169">
        <f t="shared" ca="1" si="260"/>
        <v>0</v>
      </c>
      <c r="U56" s="169">
        <f t="shared" ca="1" si="260"/>
        <v>0</v>
      </c>
      <c r="V56" s="169">
        <f t="shared" ca="1" si="260"/>
        <v>0</v>
      </c>
      <c r="W56" s="207">
        <f t="shared" ca="1" si="260"/>
        <v>0</v>
      </c>
      <c r="X56" s="196"/>
      <c r="AC56" s="169">
        <f t="shared" ref="AC56" ca="1" si="261">IF($B56,ROUND(AC55*$N54,2),ROUND(SUMIF(OFFSET($B56,1,0,$D56),TRUE,OFFSET(AC56,1,0,$D56))/SUMIF(OFFSET($B56,1,0,$D56),TRUE,OFFSET($K56,1,0,$D56))*$N54,2))</f>
        <v>0</v>
      </c>
    </row>
    <row r="57" spans="1:29" customFormat="1" ht="14.25" customHeight="1" x14ac:dyDescent="0.2">
      <c r="A57" s="82"/>
      <c r="B57" s="82"/>
      <c r="C57" s="82"/>
      <c r="D57" s="82"/>
      <c r="E57" s="82"/>
      <c r="F57" s="82"/>
      <c r="G57" s="82"/>
      <c r="H57" s="82"/>
      <c r="I57" s="82"/>
      <c r="J57" s="82"/>
      <c r="K57" s="82"/>
      <c r="L57" s="373" t="str">
        <f ca="1">INDEX(PO!K$12:K$111,MATCH($A59,PO!$V$12:$V$111,0))</f>
        <v>3.7.</v>
      </c>
      <c r="M57" s="375" t="str">
        <f ca="1">INDEX(PO!N$12:N$111,MATCH($A59,PO!$V$12:$V$111,0))</f>
        <v>PINTURA</v>
      </c>
      <c r="N57" s="377">
        <f t="shared" ref="N57" ca="1" si="262">IF(ROUND(K59,2)=0,K59,ROUND(K59,2))</f>
        <v>9.9999999999999998E-13</v>
      </c>
      <c r="O57" s="220" t="s">
        <v>143</v>
      </c>
      <c r="P57" s="225">
        <f t="shared" ref="P57" ca="1" si="263">IF($B59,0,P58-IF(ISNUMBER(O58),O58,0))</f>
        <v>0</v>
      </c>
      <c r="Q57" s="226">
        <f t="shared" ref="Q57" ca="1" si="264">IF($B59,0,Q58-IF(ISNUMBER(P58),P58,0))</f>
        <v>0</v>
      </c>
      <c r="R57" s="226">
        <f t="shared" ref="R57" ca="1" si="265">IF($B59,0,R58-IF(ISNUMBER(Q58),Q58,0))</f>
        <v>0</v>
      </c>
      <c r="S57" s="226">
        <f t="shared" ref="S57" ca="1" si="266">IF($B59,0,S58-IF(ISNUMBER(R58),R58,0))</f>
        <v>0</v>
      </c>
      <c r="T57" s="226">
        <v>1</v>
      </c>
      <c r="U57" s="226">
        <f t="shared" ref="U57" ca="1" si="267">IF($B59,0,U58-IF(ISNUMBER(T58),T58,0))</f>
        <v>0</v>
      </c>
      <c r="V57" s="226">
        <f t="shared" ref="V57" ca="1" si="268">IF($B59,0,V58-IF(ISNUMBER(U58),U58,0))</f>
        <v>0</v>
      </c>
      <c r="W57" s="227">
        <f t="shared" ref="W57" ca="1" si="269">IF($B59,0,W58-IF(ISNUMBER(V58),V58,0))</f>
        <v>0</v>
      </c>
      <c r="X57" s="196"/>
      <c r="AC57" s="221">
        <f t="shared" ref="AC57" ca="1" si="270">IF($B59,0,AC58-IF(ISNUMBER(AB58),AB58,0))</f>
        <v>0</v>
      </c>
    </row>
    <row r="58" spans="1:29" customFormat="1" ht="14.25" x14ac:dyDescent="0.2">
      <c r="A58" s="184"/>
      <c r="B58" s="184"/>
      <c r="C58" s="184"/>
      <c r="D58" s="184"/>
      <c r="E58" s="184"/>
      <c r="F58" s="184"/>
      <c r="G58" s="184"/>
      <c r="H58" s="184"/>
      <c r="I58" s="184"/>
      <c r="J58" s="184"/>
      <c r="K58" s="184"/>
      <c r="L58" s="374"/>
      <c r="M58" s="376"/>
      <c r="N58" s="378"/>
      <c r="O58" s="170" t="s">
        <v>145</v>
      </c>
      <c r="P58" s="198">
        <f t="shared" ref="P58" ca="1" si="271">MIN(IF($B59,P57+IF(ISNUMBER(O58),O58,0),P59/$N57),1)</f>
        <v>0</v>
      </c>
      <c r="Q58" s="168">
        <f t="shared" ref="Q58" ca="1" si="272">MIN(IF($B59,Q57+IF(ISNUMBER(P58),P58,0),Q59/$N57),1)</f>
        <v>0</v>
      </c>
      <c r="R58" s="168">
        <f t="shared" ref="R58" ca="1" si="273">MIN(IF($B59,R57+IF(ISNUMBER(Q58),Q58,0),R59/$N57),1)</f>
        <v>0</v>
      </c>
      <c r="S58" s="168">
        <f t="shared" ref="S58" ca="1" si="274">MIN(IF($B59,S57+IF(ISNUMBER(R58),R58,0),S59/$N57),1)</f>
        <v>0</v>
      </c>
      <c r="T58" s="168">
        <f t="shared" ref="T58" ca="1" si="275">MIN(IF($B59,T57+IF(ISNUMBER(S58),S58,0),T59/$N57),1)</f>
        <v>1</v>
      </c>
      <c r="U58" s="168">
        <f t="shared" ref="U58" ca="1" si="276">MIN(IF($B59,U57+IF(ISNUMBER(T58),T58,0),U59/$N57),1)</f>
        <v>1</v>
      </c>
      <c r="V58" s="168">
        <f t="shared" ref="V58" ca="1" si="277">MIN(IF($B59,V57+IF(ISNUMBER(U58),U58,0),V59/$N57),1)</f>
        <v>1</v>
      </c>
      <c r="W58" s="168">
        <f t="shared" ref="W58" ca="1" si="278">MIN(IF($B59,W57+IF(ISNUMBER(V58),V58,0),W59/$N57),1)</f>
        <v>1</v>
      </c>
      <c r="X58" s="196"/>
      <c r="AC58" s="168">
        <f t="shared" ref="AC58" ca="1" si="279">MIN(IF($B59,AC57+IF(ISNUMBER(AB58),AB58,0),AC59/$N57),1)</f>
        <v>0</v>
      </c>
    </row>
    <row r="59" spans="1:29" customFormat="1" ht="14.25" x14ac:dyDescent="0.2">
      <c r="A59" s="184">
        <f ca="1">OFFSET(A59,-CFF.NumLinha,0)+1</f>
        <v>14</v>
      </c>
      <c r="B59" s="184" t="b">
        <f ca="1">$C59&gt;=OFFSET($C59,CFF.NumLinha,0)</f>
        <v>1</v>
      </c>
      <c r="C59" s="184">
        <f ca="1">INDEX(PO!A$12:A$111,MATCH($A59,PO!$V$12:$V$111,0))</f>
        <v>2</v>
      </c>
      <c r="D59" s="184">
        <f t="shared" ref="D59" ca="1" si="280">IF(ISERROR(J59),I59,SMALL(I59:J59,1))-1</f>
        <v>2</v>
      </c>
      <c r="E59" s="184">
        <f ca="1">IF($C59=1,OFFSET(E59,-CFF.NumLinha,0)+1,OFFSET(E59,-CFF.NumLinha,0))</f>
        <v>3</v>
      </c>
      <c r="F59" s="184">
        <f ca="1">IF($C59=1,0,IF($C59=2,OFFSET(F59,-CFF.NumLinha,0)+1,OFFSET(F59,-CFF.NumLinha,0)))</f>
        <v>7</v>
      </c>
      <c r="G59" s="184">
        <f ca="1">IF(AND($C59&lt;=2,$C59&lt;&gt;0),0,IF($C59=3,OFFSET(G59,-CFF.NumLinha,0)+1,OFFSET(G59,-CFF.NumLinha,0)))</f>
        <v>0</v>
      </c>
      <c r="H59" s="184">
        <f ca="1">IF(AND($C59&lt;=3,$C59&lt;&gt;0),0,IF($C59=4,OFFSET(H59,-CFF.NumLinha,0)+1,OFFSET(H59,-CFF.NumLinha,0)))</f>
        <v>0</v>
      </c>
      <c r="I59" s="184">
        <f ca="1">MATCH(0,OFFSET($D59,1,$C59,ROW($A$90)-ROW($A59)),0)</f>
        <v>9</v>
      </c>
      <c r="J59" s="184">
        <f ca="1">MATCH(OFFSET($D59,0,$C59)+1,OFFSET($D59,1,$C59,ROW($A$90)-ROW($A59)),0)</f>
        <v>3</v>
      </c>
      <c r="K59" s="185">
        <f ca="1">ROUND(INDEX(PO!T$12:T$111,MATCH($A59,PO!$V$12:$V$111,0)),2)+10^-12</f>
        <v>9.9999999999999998E-13</v>
      </c>
      <c r="L59" s="374"/>
      <c r="M59" s="376"/>
      <c r="N59" s="378"/>
      <c r="O59" s="204" t="s">
        <v>20</v>
      </c>
      <c r="P59" s="199">
        <f t="shared" ref="P59:W59" ca="1" si="281">IF($B59,ROUND(P58*$N57,2),ROUND(SUMIF(OFFSET($B59,1,0,$D59),TRUE,OFFSET(P59,1,0,$D59))/SUMIF(OFFSET($B59,1,0,$D59),TRUE,OFFSET($K59,1,0,$D59))*$N57,2))</f>
        <v>0</v>
      </c>
      <c r="Q59" s="169">
        <f t="shared" ca="1" si="281"/>
        <v>0</v>
      </c>
      <c r="R59" s="169">
        <f t="shared" ca="1" si="281"/>
        <v>0</v>
      </c>
      <c r="S59" s="169">
        <f t="shared" ca="1" si="281"/>
        <v>0</v>
      </c>
      <c r="T59" s="169">
        <f t="shared" ca="1" si="281"/>
        <v>0</v>
      </c>
      <c r="U59" s="169">
        <f t="shared" ca="1" si="281"/>
        <v>0</v>
      </c>
      <c r="V59" s="169">
        <f t="shared" ca="1" si="281"/>
        <v>0</v>
      </c>
      <c r="W59" s="207">
        <f t="shared" ca="1" si="281"/>
        <v>0</v>
      </c>
      <c r="X59" s="196"/>
      <c r="AC59" s="169">
        <f t="shared" ref="AC59" ca="1" si="282">IF($B59,ROUND(AC58*$N57,2),ROUND(SUMIF(OFFSET($B59,1,0,$D59),TRUE,OFFSET(AC59,1,0,$D59))/SUMIF(OFFSET($B59,1,0,$D59),TRUE,OFFSET($K59,1,0,$D59))*$N57,2))</f>
        <v>0</v>
      </c>
    </row>
    <row r="60" spans="1:29" customFormat="1" ht="14.25" customHeight="1" x14ac:dyDescent="0.2">
      <c r="A60" s="82"/>
      <c r="B60" s="82"/>
      <c r="C60" s="82"/>
      <c r="D60" s="82"/>
      <c r="E60" s="82"/>
      <c r="F60" s="82"/>
      <c r="G60" s="82"/>
      <c r="H60" s="82"/>
      <c r="I60" s="82"/>
      <c r="J60" s="82"/>
      <c r="K60" s="82"/>
      <c r="L60" s="373" t="str">
        <f ca="1">INDEX(PO!K$12:K$111,MATCH($A62,PO!$V$12:$V$111,0))</f>
        <v>3.8.</v>
      </c>
      <c r="M60" s="375" t="str">
        <f ca="1">INDEX(PO!N$12:N$111,MATCH($A62,PO!$V$12:$V$111,0))</f>
        <v>INSTALAÇÃO ELÉTRICA</v>
      </c>
      <c r="N60" s="377">
        <f t="shared" ref="N60" ca="1" si="283">IF(ROUND(K62,2)=0,K62,ROUND(K62,2))</f>
        <v>9.9999999999999998E-13</v>
      </c>
      <c r="O60" s="220" t="s">
        <v>143</v>
      </c>
      <c r="P60" s="225">
        <f t="shared" ref="P60" ca="1" si="284">IF($B62,0,P61-IF(ISNUMBER(O61),O61,0))</f>
        <v>0</v>
      </c>
      <c r="Q60" s="226">
        <f t="shared" ref="Q60" ca="1" si="285">IF($B62,0,Q61-IF(ISNUMBER(P61),P61,0))</f>
        <v>0</v>
      </c>
      <c r="R60" s="226">
        <f t="shared" ref="R60" ca="1" si="286">IF($B62,0,R61-IF(ISNUMBER(Q61),Q61,0))</f>
        <v>0</v>
      </c>
      <c r="S60" s="226">
        <f t="shared" ref="S60" ca="1" si="287">IF($B62,0,S61-IF(ISNUMBER(R61),R61,0))</f>
        <v>0</v>
      </c>
      <c r="T60" s="226">
        <v>1</v>
      </c>
      <c r="U60" s="226">
        <f t="shared" ref="U60" ca="1" si="288">IF($B62,0,U61-IF(ISNUMBER(T61),T61,0))</f>
        <v>0</v>
      </c>
      <c r="V60" s="226">
        <f t="shared" ref="V60" ca="1" si="289">IF($B62,0,V61-IF(ISNUMBER(U61),U61,0))</f>
        <v>0</v>
      </c>
      <c r="W60" s="227">
        <f t="shared" ref="W60" ca="1" si="290">IF($B62,0,W61-IF(ISNUMBER(V61),V61,0))</f>
        <v>0</v>
      </c>
      <c r="X60" s="196"/>
      <c r="AC60" s="221">
        <f t="shared" ref="AC60" ca="1" si="291">IF($B62,0,AC61-IF(ISNUMBER(AB61),AB61,0))</f>
        <v>0</v>
      </c>
    </row>
    <row r="61" spans="1:29" customFormat="1" ht="14.25" x14ac:dyDescent="0.2">
      <c r="A61" s="184"/>
      <c r="B61" s="184"/>
      <c r="C61" s="184"/>
      <c r="D61" s="184"/>
      <c r="E61" s="184"/>
      <c r="F61" s="184"/>
      <c r="G61" s="184"/>
      <c r="H61" s="184"/>
      <c r="I61" s="184"/>
      <c r="J61" s="184"/>
      <c r="K61" s="184"/>
      <c r="L61" s="374"/>
      <c r="M61" s="376"/>
      <c r="N61" s="378"/>
      <c r="O61" s="170" t="s">
        <v>145</v>
      </c>
      <c r="P61" s="198">
        <f t="shared" ref="P61" ca="1" si="292">MIN(IF($B62,P60+IF(ISNUMBER(O61),O61,0),P62/$N60),1)</f>
        <v>0</v>
      </c>
      <c r="Q61" s="168">
        <f t="shared" ref="Q61" ca="1" si="293">MIN(IF($B62,Q60+IF(ISNUMBER(P61),P61,0),Q62/$N60),1)</f>
        <v>0</v>
      </c>
      <c r="R61" s="168">
        <f t="shared" ref="R61" ca="1" si="294">MIN(IF($B62,R60+IF(ISNUMBER(Q61),Q61,0),R62/$N60),1)</f>
        <v>0</v>
      </c>
      <c r="S61" s="168">
        <f t="shared" ref="S61" ca="1" si="295">MIN(IF($B62,S60+IF(ISNUMBER(R61),R61,0),S62/$N60),1)</f>
        <v>0</v>
      </c>
      <c r="T61" s="168">
        <f t="shared" ref="T61" ca="1" si="296">MIN(IF($B62,T60+IF(ISNUMBER(S61),S61,0),T62/$N60),1)</f>
        <v>1</v>
      </c>
      <c r="U61" s="168">
        <f t="shared" ref="U61" ca="1" si="297">MIN(IF($B62,U60+IF(ISNUMBER(T61),T61,0),U62/$N60),1)</f>
        <v>1</v>
      </c>
      <c r="V61" s="168">
        <f t="shared" ref="V61" ca="1" si="298">MIN(IF($B62,V60+IF(ISNUMBER(U61),U61,0),V62/$N60),1)</f>
        <v>1</v>
      </c>
      <c r="W61" s="168">
        <f t="shared" ref="W61" ca="1" si="299">MIN(IF($B62,W60+IF(ISNUMBER(V61),V61,0),W62/$N60),1)</f>
        <v>1</v>
      </c>
      <c r="X61" s="196"/>
      <c r="AC61" s="168">
        <f t="shared" ref="AC61" ca="1" si="300">MIN(IF($B62,AC60+IF(ISNUMBER(AB61),AB61,0),AC62/$N60),1)</f>
        <v>0</v>
      </c>
    </row>
    <row r="62" spans="1:29" customFormat="1" ht="14.25" x14ac:dyDescent="0.2">
      <c r="A62" s="184">
        <f ca="1">OFFSET(A62,-CFF.NumLinha,0)+1</f>
        <v>15</v>
      </c>
      <c r="B62" s="184" t="b">
        <f ca="1">$C62&gt;=OFFSET($C62,CFF.NumLinha,0)</f>
        <v>1</v>
      </c>
      <c r="C62" s="184">
        <f ca="1">INDEX(PO!A$12:A$111,MATCH($A62,PO!$V$12:$V$111,0))</f>
        <v>2</v>
      </c>
      <c r="D62" s="184">
        <f t="shared" ref="D62" ca="1" si="301">IF(ISERROR(J62),I62,SMALL(I62:J62,1))-1</f>
        <v>2</v>
      </c>
      <c r="E62" s="184">
        <f ca="1">IF($C62=1,OFFSET(E62,-CFF.NumLinha,0)+1,OFFSET(E62,-CFF.NumLinha,0))</f>
        <v>3</v>
      </c>
      <c r="F62" s="184">
        <f ca="1">IF($C62=1,0,IF($C62=2,OFFSET(F62,-CFF.NumLinha,0)+1,OFFSET(F62,-CFF.NumLinha,0)))</f>
        <v>8</v>
      </c>
      <c r="G62" s="184">
        <f ca="1">IF(AND($C62&lt;=2,$C62&lt;&gt;0),0,IF($C62=3,OFFSET(G62,-CFF.NumLinha,0)+1,OFFSET(G62,-CFF.NumLinha,0)))</f>
        <v>0</v>
      </c>
      <c r="H62" s="184">
        <f ca="1">IF(AND($C62&lt;=3,$C62&lt;&gt;0),0,IF($C62=4,OFFSET(H62,-CFF.NumLinha,0)+1,OFFSET(H62,-CFF.NumLinha,0)))</f>
        <v>0</v>
      </c>
      <c r="I62" s="184">
        <f ca="1">MATCH(0,OFFSET($D62,1,$C62,ROW($A$90)-ROW($A62)),0)</f>
        <v>6</v>
      </c>
      <c r="J62" s="184">
        <f ca="1">MATCH(OFFSET($D62,0,$C62)+1,OFFSET($D62,1,$C62,ROW($A$90)-ROW($A62)),0)</f>
        <v>3</v>
      </c>
      <c r="K62" s="185">
        <f ca="1">ROUND(INDEX(PO!T$12:T$111,MATCH($A62,PO!$V$12:$V$111,0)),2)+10^-12</f>
        <v>9.9999999999999998E-13</v>
      </c>
      <c r="L62" s="374"/>
      <c r="M62" s="376"/>
      <c r="N62" s="378"/>
      <c r="O62" s="204" t="s">
        <v>20</v>
      </c>
      <c r="P62" s="199">
        <f t="shared" ref="P62:W62" ca="1" si="302">IF($B62,ROUND(P61*$N60,2),ROUND(SUMIF(OFFSET($B62,1,0,$D62),TRUE,OFFSET(P62,1,0,$D62))/SUMIF(OFFSET($B62,1,0,$D62),TRUE,OFFSET($K62,1,0,$D62))*$N60,2))</f>
        <v>0</v>
      </c>
      <c r="Q62" s="169">
        <f t="shared" ca="1" si="302"/>
        <v>0</v>
      </c>
      <c r="R62" s="169">
        <f t="shared" ca="1" si="302"/>
        <v>0</v>
      </c>
      <c r="S62" s="169">
        <f t="shared" ca="1" si="302"/>
        <v>0</v>
      </c>
      <c r="T62" s="169">
        <f t="shared" ca="1" si="302"/>
        <v>0</v>
      </c>
      <c r="U62" s="169">
        <f t="shared" ca="1" si="302"/>
        <v>0</v>
      </c>
      <c r="V62" s="169">
        <f t="shared" ca="1" si="302"/>
        <v>0</v>
      </c>
      <c r="W62" s="207">
        <f t="shared" ca="1" si="302"/>
        <v>0</v>
      </c>
      <c r="X62" s="196"/>
      <c r="AC62" s="169">
        <f t="shared" ref="AC62" ca="1" si="303">IF($B62,ROUND(AC61*$N60,2),ROUND(SUMIF(OFFSET($B62,1,0,$D62),TRUE,OFFSET(AC62,1,0,$D62))/SUMIF(OFFSET($B62,1,0,$D62),TRUE,OFFSET($K62,1,0,$D62))*$N60,2))</f>
        <v>0</v>
      </c>
    </row>
    <row r="63" spans="1:29" customFormat="1" ht="14.25" customHeight="1" x14ac:dyDescent="0.2">
      <c r="A63" s="82"/>
      <c r="B63" s="82"/>
      <c r="C63" s="82"/>
      <c r="D63" s="82"/>
      <c r="E63" s="82"/>
      <c r="F63" s="82"/>
      <c r="G63" s="82"/>
      <c r="H63" s="82"/>
      <c r="I63" s="82"/>
      <c r="J63" s="82"/>
      <c r="K63" s="82"/>
      <c r="L63" s="373" t="str">
        <f ca="1">INDEX(PO!K$12:K$111,MATCH($A65,PO!$V$12:$V$111,0))</f>
        <v>3.9.</v>
      </c>
      <c r="M63" s="375" t="str">
        <f ca="1">INDEX(PO!N$12:N$111,MATCH($A65,PO!$V$12:$V$111,0))</f>
        <v>PISO SALA AO LADO DA COZINHA</v>
      </c>
      <c r="N63" s="377">
        <f t="shared" ref="N63" ca="1" si="304">IF(ROUND(K65,2)=0,K65,ROUND(K65,2))</f>
        <v>9.9999999999999998E-13</v>
      </c>
      <c r="O63" s="220" t="s">
        <v>143</v>
      </c>
      <c r="P63" s="225">
        <f t="shared" ref="P63" ca="1" si="305">IF($B65,0,P64-IF(ISNUMBER(O64),O64,0))</f>
        <v>0</v>
      </c>
      <c r="Q63" s="226">
        <f t="shared" ref="Q63" ca="1" si="306">IF($B65,0,Q64-IF(ISNUMBER(P64),P64,0))</f>
        <v>0</v>
      </c>
      <c r="R63" s="226">
        <f t="shared" ref="R63" ca="1" si="307">IF($B65,0,R64-IF(ISNUMBER(Q64),Q64,0))</f>
        <v>0</v>
      </c>
      <c r="S63" s="226">
        <f t="shared" ref="S63" ca="1" si="308">IF($B65,0,S64-IF(ISNUMBER(R64),R64,0))</f>
        <v>0</v>
      </c>
      <c r="T63" s="226">
        <v>1</v>
      </c>
      <c r="U63" s="226">
        <f t="shared" ref="U63" ca="1" si="309">IF($B65,0,U64-IF(ISNUMBER(T64),T64,0))</f>
        <v>0</v>
      </c>
      <c r="V63" s="226">
        <f t="shared" ref="V63" ca="1" si="310">IF($B65,0,V64-IF(ISNUMBER(U64),U64,0))</f>
        <v>0</v>
      </c>
      <c r="W63" s="227">
        <f t="shared" ref="W63" ca="1" si="311">IF($B65,0,W64-IF(ISNUMBER(V64),V64,0))</f>
        <v>0</v>
      </c>
      <c r="X63" s="196"/>
      <c r="AC63" s="221">
        <f t="shared" ref="AC63" ca="1" si="312">IF($B65,0,AC64-IF(ISNUMBER(AB64),AB64,0))</f>
        <v>0</v>
      </c>
    </row>
    <row r="64" spans="1:29" customFormat="1" ht="14.25" x14ac:dyDescent="0.2">
      <c r="A64" s="184"/>
      <c r="B64" s="184"/>
      <c r="C64" s="184"/>
      <c r="D64" s="184"/>
      <c r="E64" s="184"/>
      <c r="F64" s="184"/>
      <c r="G64" s="184"/>
      <c r="H64" s="184"/>
      <c r="I64" s="184"/>
      <c r="J64" s="184"/>
      <c r="K64" s="184"/>
      <c r="L64" s="374"/>
      <c r="M64" s="376"/>
      <c r="N64" s="378"/>
      <c r="O64" s="170" t="s">
        <v>145</v>
      </c>
      <c r="P64" s="198">
        <f t="shared" ref="P64" ca="1" si="313">MIN(IF($B65,P63+IF(ISNUMBER(O64),O64,0),P65/$N63),1)</f>
        <v>0</v>
      </c>
      <c r="Q64" s="168">
        <f t="shared" ref="Q64" ca="1" si="314">MIN(IF($B65,Q63+IF(ISNUMBER(P64),P64,0),Q65/$N63),1)</f>
        <v>0</v>
      </c>
      <c r="R64" s="168">
        <f t="shared" ref="R64" ca="1" si="315">MIN(IF($B65,R63+IF(ISNUMBER(Q64),Q64,0),R65/$N63),1)</f>
        <v>0</v>
      </c>
      <c r="S64" s="168">
        <f t="shared" ref="S64" ca="1" si="316">MIN(IF($B65,S63+IF(ISNUMBER(R64),R64,0),S65/$N63),1)</f>
        <v>0</v>
      </c>
      <c r="T64" s="168">
        <f t="shared" ref="T64" ca="1" si="317">MIN(IF($B65,T63+IF(ISNUMBER(S64),S64,0),T65/$N63),1)</f>
        <v>1</v>
      </c>
      <c r="U64" s="168">
        <f t="shared" ref="U64" ca="1" si="318">MIN(IF($B65,U63+IF(ISNUMBER(T64),T64,0),U65/$N63),1)</f>
        <v>1</v>
      </c>
      <c r="V64" s="168">
        <f t="shared" ref="V64" ca="1" si="319">MIN(IF($B65,V63+IF(ISNUMBER(U64),U64,0),V65/$N63),1)</f>
        <v>1</v>
      </c>
      <c r="W64" s="168">
        <f t="shared" ref="W64" ca="1" si="320">MIN(IF($B65,W63+IF(ISNUMBER(V64),V64,0),W65/$N63),1)</f>
        <v>1</v>
      </c>
      <c r="X64" s="196"/>
      <c r="AC64" s="168">
        <f t="shared" ref="AC64" ca="1" si="321">MIN(IF($B65,AC63+IF(ISNUMBER(AB64),AB64,0),AC65/$N63),1)</f>
        <v>0</v>
      </c>
    </row>
    <row r="65" spans="1:29" customFormat="1" ht="14.25" x14ac:dyDescent="0.2">
      <c r="A65" s="184">
        <f ca="1">OFFSET(A65,-CFF.NumLinha,0)+1</f>
        <v>16</v>
      </c>
      <c r="B65" s="184" t="b">
        <f ca="1">$C65&gt;=OFFSET($C65,CFF.NumLinha,0)</f>
        <v>1</v>
      </c>
      <c r="C65" s="184">
        <f ca="1">INDEX(PO!A$12:A$111,MATCH($A65,PO!$V$12:$V$111,0))</f>
        <v>2</v>
      </c>
      <c r="D65" s="184">
        <f t="shared" ref="D65" ca="1" si="322">IF(ISERROR(J65),I65,SMALL(I65:J65,1))-1</f>
        <v>2</v>
      </c>
      <c r="E65" s="184">
        <f ca="1">IF($C65=1,OFFSET(E65,-CFF.NumLinha,0)+1,OFFSET(E65,-CFF.NumLinha,0))</f>
        <v>3</v>
      </c>
      <c r="F65" s="184">
        <f ca="1">IF($C65=1,0,IF($C65=2,OFFSET(F65,-CFF.NumLinha,0)+1,OFFSET(F65,-CFF.NumLinha,0)))</f>
        <v>9</v>
      </c>
      <c r="G65" s="184">
        <f ca="1">IF(AND($C65&lt;=2,$C65&lt;&gt;0),0,IF($C65=3,OFFSET(G65,-CFF.NumLinha,0)+1,OFFSET(G65,-CFF.NumLinha,0)))</f>
        <v>0</v>
      </c>
      <c r="H65" s="184">
        <f ca="1">IF(AND($C65&lt;=3,$C65&lt;&gt;0),0,IF($C65=4,OFFSET(H65,-CFF.NumLinha,0)+1,OFFSET(H65,-CFF.NumLinha,0)))</f>
        <v>0</v>
      </c>
      <c r="I65" s="184">
        <f ca="1">MATCH(0,OFFSET($D65,1,$C65,ROW($A$90)-ROW($A65)),0)</f>
        <v>3</v>
      </c>
      <c r="J65" s="184" t="e">
        <f ca="1">MATCH(OFFSET($D65,0,$C65)+1,OFFSET($D65,1,$C65,ROW($A$90)-ROW($A65)),0)</f>
        <v>#N/A</v>
      </c>
      <c r="K65" s="185">
        <f ca="1">ROUND(INDEX(PO!T$12:T$111,MATCH($A65,PO!$V$12:$V$111,0)),2)+10^-12</f>
        <v>9.9999999999999998E-13</v>
      </c>
      <c r="L65" s="374"/>
      <c r="M65" s="376"/>
      <c r="N65" s="378"/>
      <c r="O65" s="204" t="s">
        <v>20</v>
      </c>
      <c r="P65" s="199">
        <f t="shared" ref="P65:W65" ca="1" si="323">IF($B65,ROUND(P64*$N63,2),ROUND(SUMIF(OFFSET($B65,1,0,$D65),TRUE,OFFSET(P65,1,0,$D65))/SUMIF(OFFSET($B65,1,0,$D65),TRUE,OFFSET($K65,1,0,$D65))*$N63,2))</f>
        <v>0</v>
      </c>
      <c r="Q65" s="169">
        <f t="shared" ca="1" si="323"/>
        <v>0</v>
      </c>
      <c r="R65" s="169">
        <f t="shared" ca="1" si="323"/>
        <v>0</v>
      </c>
      <c r="S65" s="169">
        <f t="shared" ca="1" si="323"/>
        <v>0</v>
      </c>
      <c r="T65" s="169">
        <f t="shared" ca="1" si="323"/>
        <v>0</v>
      </c>
      <c r="U65" s="169">
        <f t="shared" ca="1" si="323"/>
        <v>0</v>
      </c>
      <c r="V65" s="169">
        <f t="shared" ca="1" si="323"/>
        <v>0</v>
      </c>
      <c r="W65" s="207">
        <f t="shared" ca="1" si="323"/>
        <v>0</v>
      </c>
      <c r="X65" s="196"/>
      <c r="AC65" s="169">
        <f t="shared" ref="AC65" ca="1" si="324">IF($B65,ROUND(AC64*$N63,2),ROUND(SUMIF(OFFSET($B65,1,0,$D65),TRUE,OFFSET(AC65,1,0,$D65))/SUMIF(OFFSET($B65,1,0,$D65),TRUE,OFFSET($K65,1,0,$D65))*$N63,2))</f>
        <v>0</v>
      </c>
    </row>
    <row r="66" spans="1:29" customFormat="1" ht="14.25" customHeight="1" x14ac:dyDescent="0.2">
      <c r="A66" s="82"/>
      <c r="B66" s="82"/>
      <c r="C66" s="82"/>
      <c r="D66" s="82"/>
      <c r="E66" s="82"/>
      <c r="F66" s="82"/>
      <c r="G66" s="82"/>
      <c r="H66" s="82"/>
      <c r="I66" s="82"/>
      <c r="J66" s="82"/>
      <c r="K66" s="82"/>
      <c r="L66" s="373" t="str">
        <f ca="1">INDEX(PO!K$12:K$111,MATCH($A68,PO!$V$12:$V$111,0))</f>
        <v>4.</v>
      </c>
      <c r="M66" s="375" t="str">
        <f ca="1">INDEX(PO!N$12:N$111,MATCH($A68,PO!$V$12:$V$111,0))</f>
        <v>BLOCO D</v>
      </c>
      <c r="N66" s="377">
        <f t="shared" ref="N66" ca="1" si="325">IF(ROUND(K68,2)=0,K68,ROUND(K68,2))</f>
        <v>9.9999999999999998E-13</v>
      </c>
      <c r="O66" s="220" t="s">
        <v>143</v>
      </c>
      <c r="P66" s="225">
        <f t="shared" ref="P66" ca="1" si="326">IF($B68,0,P67-IF(ISNUMBER(O67),O67,0))</f>
        <v>0</v>
      </c>
      <c r="Q66" s="226">
        <f t="shared" ref="Q66" ca="1" si="327">IF($B68,0,Q67-IF(ISNUMBER(P67),P67,0))</f>
        <v>0</v>
      </c>
      <c r="R66" s="226">
        <f t="shared" ref="R66" ca="1" si="328">IF($B68,0,R67-IF(ISNUMBER(Q67),Q67,0))</f>
        <v>0</v>
      </c>
      <c r="S66" s="226">
        <f t="shared" ref="S66" ca="1" si="329">IF($B68,0,S67-IF(ISNUMBER(R67),R67,0))</f>
        <v>0</v>
      </c>
      <c r="T66" s="226">
        <v>1</v>
      </c>
      <c r="U66" s="226">
        <f t="shared" ref="U66" ca="1" si="330">IF($B68,0,U67-IF(ISNUMBER(T67),T67,0))</f>
        <v>0</v>
      </c>
      <c r="V66" s="226">
        <f t="shared" ref="V66" ca="1" si="331">IF($B68,0,V67-IF(ISNUMBER(U67),U67,0))</f>
        <v>0</v>
      </c>
      <c r="W66" s="227">
        <f t="shared" ref="W66" ca="1" si="332">IF($B68,0,W67-IF(ISNUMBER(V67),V67,0))</f>
        <v>0</v>
      </c>
      <c r="X66" s="196"/>
      <c r="AC66" s="221">
        <f t="shared" ref="AC66" ca="1" si="333">IF($B68,0,AC67-IF(ISNUMBER(AB67),AB67,0))</f>
        <v>0</v>
      </c>
    </row>
    <row r="67" spans="1:29" customFormat="1" ht="14.25" x14ac:dyDescent="0.2">
      <c r="A67" s="184"/>
      <c r="B67" s="184"/>
      <c r="C67" s="184"/>
      <c r="D67" s="184"/>
      <c r="E67" s="184"/>
      <c r="F67" s="184"/>
      <c r="G67" s="184"/>
      <c r="H67" s="184"/>
      <c r="I67" s="184"/>
      <c r="J67" s="184"/>
      <c r="K67" s="184"/>
      <c r="L67" s="374"/>
      <c r="M67" s="376"/>
      <c r="N67" s="378"/>
      <c r="O67" s="170" t="s">
        <v>145</v>
      </c>
      <c r="P67" s="198">
        <f t="shared" ref="P67" ca="1" si="334">MIN(IF($B68,P66+IF(ISNUMBER(O67),O67,0),P68/$N66),1)</f>
        <v>0</v>
      </c>
      <c r="Q67" s="168">
        <f t="shared" ref="Q67" ca="1" si="335">MIN(IF($B68,Q66+IF(ISNUMBER(P67),P67,0),Q68/$N66),1)</f>
        <v>0</v>
      </c>
      <c r="R67" s="168">
        <f t="shared" ref="R67" ca="1" si="336">MIN(IF($B68,R66+IF(ISNUMBER(Q67),Q67,0),R68/$N66),1)</f>
        <v>0</v>
      </c>
      <c r="S67" s="168">
        <f t="shared" ref="S67" ca="1" si="337">MIN(IF($B68,S66+IF(ISNUMBER(R67),R67,0),S68/$N66),1)</f>
        <v>0</v>
      </c>
      <c r="T67" s="168">
        <f t="shared" ref="T67" ca="1" si="338">MIN(IF($B68,T66+IF(ISNUMBER(S67),S67,0),T68/$N66),1)</f>
        <v>0</v>
      </c>
      <c r="U67" s="168">
        <f t="shared" ref="U67" ca="1" si="339">MIN(IF($B68,U66+IF(ISNUMBER(T67),T67,0),U68/$N66),1)</f>
        <v>0</v>
      </c>
      <c r="V67" s="168">
        <f t="shared" ref="V67" ca="1" si="340">MIN(IF($B68,V66+IF(ISNUMBER(U67),U67,0),V68/$N66),1)</f>
        <v>0</v>
      </c>
      <c r="W67" s="168">
        <f t="shared" ref="W67" ca="1" si="341">MIN(IF($B68,W66+IF(ISNUMBER(V67),V67,0),W68/$N66),1)</f>
        <v>0</v>
      </c>
      <c r="X67" s="196"/>
      <c r="AC67" s="168">
        <f t="shared" ref="AC67" ca="1" si="342">MIN(IF($B68,AC66+IF(ISNUMBER(AB67),AB67,0),AC68/$N66),1)</f>
        <v>0</v>
      </c>
    </row>
    <row r="68" spans="1:29" customFormat="1" ht="14.25" x14ac:dyDescent="0.2">
      <c r="A68" s="184">
        <f ca="1">OFFSET(A68,-CFF.NumLinha,0)+1</f>
        <v>17</v>
      </c>
      <c r="B68" s="184" t="b">
        <f ca="1">$C68&gt;=OFFSET($C68,CFF.NumLinha,0)</f>
        <v>0</v>
      </c>
      <c r="C68" s="184">
        <f ca="1">INDEX(PO!A$12:A$111,MATCH($A68,PO!$V$12:$V$111,0))</f>
        <v>1</v>
      </c>
      <c r="D68" s="184">
        <f t="shared" ref="D68" ca="1" si="343">IF(ISERROR(J68),I68,SMALL(I68:J68,1))-1</f>
        <v>21</v>
      </c>
      <c r="E68" s="184">
        <f ca="1">IF($C68=1,OFFSET(E68,-CFF.NumLinha,0)+1,OFFSET(E68,-CFF.NumLinha,0))</f>
        <v>4</v>
      </c>
      <c r="F68" s="184">
        <f ca="1">IF($C68=1,0,IF($C68=2,OFFSET(F68,-CFF.NumLinha,0)+1,OFFSET(F68,-CFF.NumLinha,0)))</f>
        <v>0</v>
      </c>
      <c r="G68" s="184">
        <f ca="1">IF(AND($C68&lt;=2,$C68&lt;&gt;0),0,IF($C68=3,OFFSET(G68,-CFF.NumLinha,0)+1,OFFSET(G68,-CFF.NumLinha,0)))</f>
        <v>0</v>
      </c>
      <c r="H68" s="184">
        <f ca="1">IF(AND($C68&lt;=3,$C68&lt;&gt;0),0,IF($C68=4,OFFSET(H68,-CFF.NumLinha,0)+1,OFFSET(H68,-CFF.NumLinha,0)))</f>
        <v>0</v>
      </c>
      <c r="I68" s="184">
        <f ca="1">MATCH(0,OFFSET($D68,1,$C68,ROW($A$90)-ROW($A68)),0)</f>
        <v>22</v>
      </c>
      <c r="J68" s="184" t="e">
        <f ca="1">MATCH(OFFSET($D68,0,$C68)+1,OFFSET($D68,1,$C68,ROW($A$90)-ROW($A68)),0)</f>
        <v>#N/A</v>
      </c>
      <c r="K68" s="185">
        <f ca="1">ROUND(INDEX(PO!T$12:T$111,MATCH($A68,PO!$V$12:$V$111,0)),2)+10^-12</f>
        <v>9.9999999999999998E-13</v>
      </c>
      <c r="L68" s="374"/>
      <c r="M68" s="376"/>
      <c r="N68" s="378"/>
      <c r="O68" s="204" t="s">
        <v>20</v>
      </c>
      <c r="P68" s="199">
        <f t="shared" ref="P68:W68" ca="1" si="344">IF($B68,ROUND(P67*$N66,2),ROUND(SUMIF(OFFSET($B68,1,0,$D68),TRUE,OFFSET(P68,1,0,$D68))/SUMIF(OFFSET($B68,1,0,$D68),TRUE,OFFSET($K68,1,0,$D68))*$N66,2))</f>
        <v>0</v>
      </c>
      <c r="Q68" s="169">
        <f t="shared" ca="1" si="344"/>
        <v>0</v>
      </c>
      <c r="R68" s="169">
        <f t="shared" ca="1" si="344"/>
        <v>0</v>
      </c>
      <c r="S68" s="169">
        <f t="shared" ca="1" si="344"/>
        <v>0</v>
      </c>
      <c r="T68" s="169">
        <f t="shared" ca="1" si="344"/>
        <v>0</v>
      </c>
      <c r="U68" s="169">
        <f t="shared" ca="1" si="344"/>
        <v>0</v>
      </c>
      <c r="V68" s="169">
        <f t="shared" ca="1" si="344"/>
        <v>0</v>
      </c>
      <c r="W68" s="207">
        <f t="shared" ca="1" si="344"/>
        <v>0</v>
      </c>
      <c r="X68" s="196"/>
      <c r="AC68" s="169">
        <f t="shared" ref="AC68" ca="1" si="345">IF($B68,ROUND(AC67*$N66,2),ROUND(SUMIF(OFFSET($B68,1,0,$D68),TRUE,OFFSET(AC68,1,0,$D68))/SUMIF(OFFSET($B68,1,0,$D68),TRUE,OFFSET($K68,1,0,$D68))*$N66,2))</f>
        <v>0</v>
      </c>
    </row>
    <row r="69" spans="1:29" customFormat="1" ht="14.25" customHeight="1" x14ac:dyDescent="0.2">
      <c r="A69" s="82"/>
      <c r="B69" s="82"/>
      <c r="C69" s="82"/>
      <c r="D69" s="82"/>
      <c r="E69" s="82"/>
      <c r="F69" s="82"/>
      <c r="G69" s="82"/>
      <c r="H69" s="82"/>
      <c r="I69" s="82"/>
      <c r="J69" s="82"/>
      <c r="K69" s="82"/>
      <c r="L69" s="373" t="str">
        <f ca="1">INDEX(PO!K$12:K$111,MATCH($A71,PO!$V$12:$V$111,0))</f>
        <v>4.1.</v>
      </c>
      <c r="M69" s="375" t="str">
        <f ca="1">INDEX(PO!N$12:N$111,MATCH($A71,PO!$V$12:$V$111,0))</f>
        <v>DIVISÓRIA LEVE</v>
      </c>
      <c r="N69" s="377">
        <f t="shared" ref="N69" ca="1" si="346">IF(ROUND(K71,2)=0,K71,ROUND(K71,2))</f>
        <v>9.9999999999999998E-13</v>
      </c>
      <c r="O69" s="220" t="s">
        <v>143</v>
      </c>
      <c r="P69" s="225">
        <f t="shared" ref="P69" ca="1" si="347">IF($B71,0,P70-IF(ISNUMBER(O70),O70,0))</f>
        <v>0</v>
      </c>
      <c r="Q69" s="226">
        <f t="shared" ref="Q69" ca="1" si="348">IF($B71,0,Q70-IF(ISNUMBER(P70),P70,0))</f>
        <v>0</v>
      </c>
      <c r="R69" s="226">
        <f t="shared" ref="R69" ca="1" si="349">IF($B71,0,R70-IF(ISNUMBER(Q70),Q70,0))</f>
        <v>0</v>
      </c>
      <c r="S69" s="226">
        <f t="shared" ref="S69" ca="1" si="350">IF($B71,0,S70-IF(ISNUMBER(R70),R70,0))</f>
        <v>0</v>
      </c>
      <c r="T69" s="226">
        <v>1</v>
      </c>
      <c r="U69" s="226">
        <f t="shared" ref="U69" ca="1" si="351">IF($B71,0,U70-IF(ISNUMBER(T70),T70,0))</f>
        <v>0</v>
      </c>
      <c r="V69" s="226">
        <f t="shared" ref="V69" ca="1" si="352">IF($B71,0,V70-IF(ISNUMBER(U70),U70,0))</f>
        <v>0</v>
      </c>
      <c r="W69" s="227">
        <f t="shared" ref="W69" ca="1" si="353">IF($B71,0,W70-IF(ISNUMBER(V70),V70,0))</f>
        <v>0</v>
      </c>
      <c r="X69" s="196"/>
      <c r="AC69" s="221">
        <f t="shared" ref="AC69" ca="1" si="354">IF($B71,0,AC70-IF(ISNUMBER(AB70),AB70,0))</f>
        <v>0</v>
      </c>
    </row>
    <row r="70" spans="1:29" customFormat="1" ht="14.25" x14ac:dyDescent="0.2">
      <c r="A70" s="184"/>
      <c r="B70" s="184"/>
      <c r="C70" s="184"/>
      <c r="D70" s="184"/>
      <c r="E70" s="184"/>
      <c r="F70" s="184"/>
      <c r="G70" s="184"/>
      <c r="H70" s="184"/>
      <c r="I70" s="184"/>
      <c r="J70" s="184"/>
      <c r="K70" s="184"/>
      <c r="L70" s="374"/>
      <c r="M70" s="376"/>
      <c r="N70" s="378"/>
      <c r="O70" s="170" t="s">
        <v>145</v>
      </c>
      <c r="P70" s="198">
        <f t="shared" ref="P70" ca="1" si="355">MIN(IF($B71,P69+IF(ISNUMBER(O70),O70,0),P71/$N69),1)</f>
        <v>0</v>
      </c>
      <c r="Q70" s="168">
        <f t="shared" ref="Q70" ca="1" si="356">MIN(IF($B71,Q69+IF(ISNUMBER(P70),P70,0),Q71/$N69),1)</f>
        <v>0</v>
      </c>
      <c r="R70" s="168">
        <f t="shared" ref="R70" ca="1" si="357">MIN(IF($B71,R69+IF(ISNUMBER(Q70),Q70,0),R71/$N69),1)</f>
        <v>0</v>
      </c>
      <c r="S70" s="168">
        <f t="shared" ref="S70" ca="1" si="358">MIN(IF($B71,S69+IF(ISNUMBER(R70),R70,0),S71/$N69),1)</f>
        <v>0</v>
      </c>
      <c r="T70" s="168">
        <f t="shared" ref="T70" ca="1" si="359">MIN(IF($B71,T69+IF(ISNUMBER(S70),S70,0),T71/$N69),1)</f>
        <v>1</v>
      </c>
      <c r="U70" s="168">
        <f t="shared" ref="U70" ca="1" si="360">MIN(IF($B71,U69+IF(ISNUMBER(T70),T70,0),U71/$N69),1)</f>
        <v>1</v>
      </c>
      <c r="V70" s="168">
        <f t="shared" ref="V70" ca="1" si="361">MIN(IF($B71,V69+IF(ISNUMBER(U70),U70,0),V71/$N69),1)</f>
        <v>1</v>
      </c>
      <c r="W70" s="168">
        <f t="shared" ref="W70" ca="1" si="362">MIN(IF($B71,W69+IF(ISNUMBER(V70),V70,0),W71/$N69),1)</f>
        <v>1</v>
      </c>
      <c r="X70" s="196"/>
      <c r="AC70" s="168">
        <f t="shared" ref="AC70" ca="1" si="363">MIN(IF($B71,AC69+IF(ISNUMBER(AB70),AB70,0),AC71/$N69),1)</f>
        <v>0</v>
      </c>
    </row>
    <row r="71" spans="1:29" customFormat="1" ht="14.25" x14ac:dyDescent="0.2">
      <c r="A71" s="184">
        <f ca="1">OFFSET(A71,-CFF.NumLinha,0)+1</f>
        <v>18</v>
      </c>
      <c r="B71" s="184" t="b">
        <f ca="1">$C71&gt;=OFFSET($C71,CFF.NumLinha,0)</f>
        <v>1</v>
      </c>
      <c r="C71" s="184">
        <f ca="1">INDEX(PO!A$12:A$111,MATCH($A71,PO!$V$12:$V$111,0))</f>
        <v>2</v>
      </c>
      <c r="D71" s="184">
        <f t="shared" ref="D71" ca="1" si="364">IF(ISERROR(J71),I71,SMALL(I71:J71,1))-1</f>
        <v>2</v>
      </c>
      <c r="E71" s="184">
        <f ca="1">IF($C71=1,OFFSET(E71,-CFF.NumLinha,0)+1,OFFSET(E71,-CFF.NumLinha,0))</f>
        <v>4</v>
      </c>
      <c r="F71" s="184">
        <f ca="1">IF($C71=1,0,IF($C71=2,OFFSET(F71,-CFF.NumLinha,0)+1,OFFSET(F71,-CFF.NumLinha,0)))</f>
        <v>1</v>
      </c>
      <c r="G71" s="184">
        <f ca="1">IF(AND($C71&lt;=2,$C71&lt;&gt;0),0,IF($C71=3,OFFSET(G71,-CFF.NumLinha,0)+1,OFFSET(G71,-CFF.NumLinha,0)))</f>
        <v>0</v>
      </c>
      <c r="H71" s="184">
        <f ca="1">IF(AND($C71&lt;=3,$C71&lt;&gt;0),0,IF($C71=4,OFFSET(H71,-CFF.NumLinha,0)+1,OFFSET(H71,-CFF.NumLinha,0)))</f>
        <v>0</v>
      </c>
      <c r="I71" s="184">
        <f ca="1">MATCH(0,OFFSET($D71,1,$C71,ROW($A$90)-ROW($A71)),0)</f>
        <v>19</v>
      </c>
      <c r="J71" s="184">
        <f ca="1">MATCH(OFFSET($D71,0,$C71)+1,OFFSET($D71,1,$C71,ROW($A$90)-ROW($A71)),0)</f>
        <v>3</v>
      </c>
      <c r="K71" s="185">
        <f ca="1">ROUND(INDEX(PO!T$12:T$111,MATCH($A71,PO!$V$12:$V$111,0)),2)+10^-12</f>
        <v>9.9999999999999998E-13</v>
      </c>
      <c r="L71" s="374"/>
      <c r="M71" s="376"/>
      <c r="N71" s="378"/>
      <c r="O71" s="204" t="s">
        <v>20</v>
      </c>
      <c r="P71" s="199">
        <f t="shared" ref="P71:W71" ca="1" si="365">IF($B71,ROUND(P70*$N69,2),ROUND(SUMIF(OFFSET($B71,1,0,$D71),TRUE,OFFSET(P71,1,0,$D71))/SUMIF(OFFSET($B71,1,0,$D71),TRUE,OFFSET($K71,1,0,$D71))*$N69,2))</f>
        <v>0</v>
      </c>
      <c r="Q71" s="169">
        <f t="shared" ca="1" si="365"/>
        <v>0</v>
      </c>
      <c r="R71" s="169">
        <f t="shared" ca="1" si="365"/>
        <v>0</v>
      </c>
      <c r="S71" s="169">
        <f t="shared" ca="1" si="365"/>
        <v>0</v>
      </c>
      <c r="T71" s="169">
        <f t="shared" ca="1" si="365"/>
        <v>0</v>
      </c>
      <c r="U71" s="169">
        <f t="shared" ca="1" si="365"/>
        <v>0</v>
      </c>
      <c r="V71" s="169">
        <f t="shared" ca="1" si="365"/>
        <v>0</v>
      </c>
      <c r="W71" s="207">
        <f t="shared" ca="1" si="365"/>
        <v>0</v>
      </c>
      <c r="X71" s="196"/>
      <c r="AC71" s="169">
        <f t="shared" ref="AC71" ca="1" si="366">IF($B71,ROUND(AC70*$N69,2),ROUND(SUMIF(OFFSET($B71,1,0,$D71),TRUE,OFFSET(AC71,1,0,$D71))/SUMIF(OFFSET($B71,1,0,$D71),TRUE,OFFSET($K71,1,0,$D71))*$N69,2))</f>
        <v>0</v>
      </c>
    </row>
    <row r="72" spans="1:29" customFormat="1" ht="14.25" customHeight="1" x14ac:dyDescent="0.2">
      <c r="A72" s="82"/>
      <c r="B72" s="82"/>
      <c r="C72" s="82"/>
      <c r="D72" s="82"/>
      <c r="E72" s="82"/>
      <c r="F72" s="82"/>
      <c r="G72" s="82"/>
      <c r="H72" s="82"/>
      <c r="I72" s="82"/>
      <c r="J72" s="82"/>
      <c r="K72" s="82"/>
      <c r="L72" s="373" t="str">
        <f ca="1">INDEX(PO!K$12:K$111,MATCH($A74,PO!$V$12:$V$111,0))</f>
        <v>4.2.</v>
      </c>
      <c r="M72" s="375" t="str">
        <f ca="1">INDEX(PO!N$12:N$111,MATCH($A74,PO!$V$12:$V$111,0))</f>
        <v>RETIRADAS</v>
      </c>
      <c r="N72" s="377">
        <f t="shared" ref="N72" ca="1" si="367">IF(ROUND(K74,2)=0,K74,ROUND(K74,2))</f>
        <v>9.9999999999999998E-13</v>
      </c>
      <c r="O72" s="220" t="s">
        <v>143</v>
      </c>
      <c r="P72" s="225">
        <f t="shared" ref="P72" ca="1" si="368">IF($B74,0,P73-IF(ISNUMBER(O73),O73,0))</f>
        <v>0</v>
      </c>
      <c r="Q72" s="226">
        <f t="shared" ref="Q72" ca="1" si="369">IF($B74,0,Q73-IF(ISNUMBER(P73),P73,0))</f>
        <v>0</v>
      </c>
      <c r="R72" s="226">
        <f t="shared" ref="R72" ca="1" si="370">IF($B74,0,R73-IF(ISNUMBER(Q73),Q73,0))</f>
        <v>0</v>
      </c>
      <c r="S72" s="226">
        <f t="shared" ref="S72" ca="1" si="371">IF($B74,0,S73-IF(ISNUMBER(R73),R73,0))</f>
        <v>0</v>
      </c>
      <c r="T72" s="226">
        <v>1</v>
      </c>
      <c r="U72" s="226">
        <f t="shared" ref="U72" ca="1" si="372">IF($B74,0,U73-IF(ISNUMBER(T73),T73,0))</f>
        <v>0</v>
      </c>
      <c r="V72" s="226">
        <f t="shared" ref="V72" ca="1" si="373">IF($B74,0,V73-IF(ISNUMBER(U73),U73,0))</f>
        <v>0</v>
      </c>
      <c r="W72" s="227">
        <f t="shared" ref="W72" ca="1" si="374">IF($B74,0,W73-IF(ISNUMBER(V73),V73,0))</f>
        <v>0</v>
      </c>
      <c r="X72" s="196"/>
      <c r="AC72" s="221">
        <f t="shared" ref="AC72" ca="1" si="375">IF($B74,0,AC73-IF(ISNUMBER(AB73),AB73,0))</f>
        <v>0</v>
      </c>
    </row>
    <row r="73" spans="1:29" customFormat="1" ht="14.25" x14ac:dyDescent="0.2">
      <c r="A73" s="184"/>
      <c r="B73" s="184"/>
      <c r="C73" s="184"/>
      <c r="D73" s="184"/>
      <c r="E73" s="184"/>
      <c r="F73" s="184"/>
      <c r="G73" s="184"/>
      <c r="H73" s="184"/>
      <c r="I73" s="184"/>
      <c r="J73" s="184"/>
      <c r="K73" s="184"/>
      <c r="L73" s="374"/>
      <c r="M73" s="376"/>
      <c r="N73" s="378"/>
      <c r="O73" s="170" t="s">
        <v>145</v>
      </c>
      <c r="P73" s="198">
        <f t="shared" ref="P73" ca="1" si="376">MIN(IF($B74,P72+IF(ISNUMBER(O73),O73,0),P74/$N72),1)</f>
        <v>0</v>
      </c>
      <c r="Q73" s="168">
        <f t="shared" ref="Q73" ca="1" si="377">MIN(IF($B74,Q72+IF(ISNUMBER(P73),P73,0),Q74/$N72),1)</f>
        <v>0</v>
      </c>
      <c r="R73" s="168">
        <f t="shared" ref="R73" ca="1" si="378">MIN(IF($B74,R72+IF(ISNUMBER(Q73),Q73,0),R74/$N72),1)</f>
        <v>0</v>
      </c>
      <c r="S73" s="168">
        <f t="shared" ref="S73" ca="1" si="379">MIN(IF($B74,S72+IF(ISNUMBER(R73),R73,0),S74/$N72),1)</f>
        <v>0</v>
      </c>
      <c r="T73" s="168">
        <f t="shared" ref="T73" ca="1" si="380">MIN(IF($B74,T72+IF(ISNUMBER(S73),S73,0),T74/$N72),1)</f>
        <v>1</v>
      </c>
      <c r="U73" s="168">
        <f t="shared" ref="U73" ca="1" si="381">MIN(IF($B74,U72+IF(ISNUMBER(T73),T73,0),U74/$N72),1)</f>
        <v>1</v>
      </c>
      <c r="V73" s="168">
        <f t="shared" ref="V73" ca="1" si="382">MIN(IF($B74,V72+IF(ISNUMBER(U73),U73,0),V74/$N72),1)</f>
        <v>1</v>
      </c>
      <c r="W73" s="168">
        <f t="shared" ref="W73" ca="1" si="383">MIN(IF($B74,W72+IF(ISNUMBER(V73),V73,0),W74/$N72),1)</f>
        <v>1</v>
      </c>
      <c r="X73" s="196"/>
      <c r="AC73" s="168">
        <f t="shared" ref="AC73" ca="1" si="384">MIN(IF($B74,AC72+IF(ISNUMBER(AB73),AB73,0),AC74/$N72),1)</f>
        <v>0</v>
      </c>
    </row>
    <row r="74" spans="1:29" customFormat="1" ht="14.25" x14ac:dyDescent="0.2">
      <c r="A74" s="184">
        <f ca="1">OFFSET(A74,-CFF.NumLinha,0)+1</f>
        <v>19</v>
      </c>
      <c r="B74" s="184" t="b">
        <f ca="1">$C74&gt;=OFFSET($C74,CFF.NumLinha,0)</f>
        <v>1</v>
      </c>
      <c r="C74" s="184">
        <f ca="1">INDEX(PO!A$12:A$111,MATCH($A74,PO!$V$12:$V$111,0))</f>
        <v>2</v>
      </c>
      <c r="D74" s="184">
        <f t="shared" ref="D74" ca="1" si="385">IF(ISERROR(J74),I74,SMALL(I74:J74,1))-1</f>
        <v>2</v>
      </c>
      <c r="E74" s="184">
        <f ca="1">IF($C74=1,OFFSET(E74,-CFF.NumLinha,0)+1,OFFSET(E74,-CFF.NumLinha,0))</f>
        <v>4</v>
      </c>
      <c r="F74" s="184">
        <f ca="1">IF($C74=1,0,IF($C74=2,OFFSET(F74,-CFF.NumLinha,0)+1,OFFSET(F74,-CFF.NumLinha,0)))</f>
        <v>2</v>
      </c>
      <c r="G74" s="184">
        <f ca="1">IF(AND($C74&lt;=2,$C74&lt;&gt;0),0,IF($C74=3,OFFSET(G74,-CFF.NumLinha,0)+1,OFFSET(G74,-CFF.NumLinha,0)))</f>
        <v>0</v>
      </c>
      <c r="H74" s="184">
        <f ca="1">IF(AND($C74&lt;=3,$C74&lt;&gt;0),0,IF($C74=4,OFFSET(H74,-CFF.NumLinha,0)+1,OFFSET(H74,-CFF.NumLinha,0)))</f>
        <v>0</v>
      </c>
      <c r="I74" s="184">
        <f ca="1">MATCH(0,OFFSET($D74,1,$C74,ROW($A$90)-ROW($A74)),0)</f>
        <v>16</v>
      </c>
      <c r="J74" s="184">
        <f ca="1">MATCH(OFFSET($D74,0,$C74)+1,OFFSET($D74,1,$C74,ROW($A$90)-ROW($A74)),0)</f>
        <v>3</v>
      </c>
      <c r="K74" s="185">
        <f ca="1">ROUND(INDEX(PO!T$12:T$111,MATCH($A74,PO!$V$12:$V$111,0)),2)+10^-12</f>
        <v>9.9999999999999998E-13</v>
      </c>
      <c r="L74" s="374"/>
      <c r="M74" s="376"/>
      <c r="N74" s="378"/>
      <c r="O74" s="204" t="s">
        <v>20</v>
      </c>
      <c r="P74" s="199">
        <f t="shared" ref="P74:W74" ca="1" si="386">IF($B74,ROUND(P73*$N72,2),ROUND(SUMIF(OFFSET($B74,1,0,$D74),TRUE,OFFSET(P74,1,0,$D74))/SUMIF(OFFSET($B74,1,0,$D74),TRUE,OFFSET($K74,1,0,$D74))*$N72,2))</f>
        <v>0</v>
      </c>
      <c r="Q74" s="169">
        <f t="shared" ca="1" si="386"/>
        <v>0</v>
      </c>
      <c r="R74" s="169">
        <f t="shared" ca="1" si="386"/>
        <v>0</v>
      </c>
      <c r="S74" s="169">
        <f t="shared" ca="1" si="386"/>
        <v>0</v>
      </c>
      <c r="T74" s="169">
        <f t="shared" ca="1" si="386"/>
        <v>0</v>
      </c>
      <c r="U74" s="169">
        <f t="shared" ca="1" si="386"/>
        <v>0</v>
      </c>
      <c r="V74" s="169">
        <f t="shared" ca="1" si="386"/>
        <v>0</v>
      </c>
      <c r="W74" s="207">
        <f t="shared" ca="1" si="386"/>
        <v>0</v>
      </c>
      <c r="X74" s="196"/>
      <c r="AC74" s="169">
        <f t="shared" ref="AC74" ca="1" si="387">IF($B74,ROUND(AC73*$N72,2),ROUND(SUMIF(OFFSET($B74,1,0,$D74),TRUE,OFFSET(AC74,1,0,$D74))/SUMIF(OFFSET($B74,1,0,$D74),TRUE,OFFSET($K74,1,0,$D74))*$N72,2))</f>
        <v>0</v>
      </c>
    </row>
    <row r="75" spans="1:29" customFormat="1" ht="14.25" customHeight="1" x14ac:dyDescent="0.2">
      <c r="A75" s="82"/>
      <c r="B75" s="82"/>
      <c r="C75" s="82"/>
      <c r="D75" s="82"/>
      <c r="E75" s="82"/>
      <c r="F75" s="82"/>
      <c r="G75" s="82"/>
      <c r="H75" s="82"/>
      <c r="I75" s="82"/>
      <c r="J75" s="82"/>
      <c r="K75" s="82"/>
      <c r="L75" s="373" t="str">
        <f ca="1">INDEX(PO!K$12:K$111,MATCH($A77,PO!$V$12:$V$111,0))</f>
        <v>4.3.</v>
      </c>
      <c r="M75" s="375" t="str">
        <f ca="1">INDEX(PO!N$12:N$111,MATCH($A77,PO!$V$12:$V$111,0))</f>
        <v>COBERTURA</v>
      </c>
      <c r="N75" s="377">
        <f t="shared" ref="N75" ca="1" si="388">IF(ROUND(K77,2)=0,K77,ROUND(K77,2))</f>
        <v>9.9999999999999998E-13</v>
      </c>
      <c r="O75" s="220" t="s">
        <v>143</v>
      </c>
      <c r="P75" s="225">
        <f t="shared" ref="P75" ca="1" si="389">IF($B77,0,P76-IF(ISNUMBER(O76),O76,0))</f>
        <v>0</v>
      </c>
      <c r="Q75" s="226">
        <f t="shared" ref="Q75" ca="1" si="390">IF($B77,0,Q76-IF(ISNUMBER(P76),P76,0))</f>
        <v>0</v>
      </c>
      <c r="R75" s="226">
        <f t="shared" ref="R75" ca="1" si="391">IF($B77,0,R76-IF(ISNUMBER(Q76),Q76,0))</f>
        <v>0</v>
      </c>
      <c r="S75" s="226">
        <f t="shared" ref="S75" ca="1" si="392">IF($B77,0,S76-IF(ISNUMBER(R76),R76,0))</f>
        <v>0</v>
      </c>
      <c r="T75" s="226">
        <v>1</v>
      </c>
      <c r="U75" s="226">
        <f t="shared" ref="U75" ca="1" si="393">IF($B77,0,U76-IF(ISNUMBER(T76),T76,0))</f>
        <v>0</v>
      </c>
      <c r="V75" s="226">
        <f t="shared" ref="V75" ca="1" si="394">IF($B77,0,V76-IF(ISNUMBER(U76),U76,0))</f>
        <v>0</v>
      </c>
      <c r="W75" s="227">
        <f t="shared" ref="W75" ca="1" si="395">IF($B77,0,W76-IF(ISNUMBER(V76),V76,0))</f>
        <v>0</v>
      </c>
      <c r="X75" s="196"/>
      <c r="AC75" s="221">
        <f t="shared" ref="AC75" ca="1" si="396">IF($B77,0,AC76-IF(ISNUMBER(AB76),AB76,0))</f>
        <v>0</v>
      </c>
    </row>
    <row r="76" spans="1:29" customFormat="1" ht="14.25" x14ac:dyDescent="0.2">
      <c r="A76" s="184"/>
      <c r="B76" s="184"/>
      <c r="C76" s="184"/>
      <c r="D76" s="184"/>
      <c r="E76" s="184"/>
      <c r="F76" s="184"/>
      <c r="G76" s="184"/>
      <c r="H76" s="184"/>
      <c r="I76" s="184"/>
      <c r="J76" s="184"/>
      <c r="K76" s="184"/>
      <c r="L76" s="374"/>
      <c r="M76" s="376"/>
      <c r="N76" s="378"/>
      <c r="O76" s="170" t="s">
        <v>145</v>
      </c>
      <c r="P76" s="198">
        <f t="shared" ref="P76" ca="1" si="397">MIN(IF($B77,P75+IF(ISNUMBER(O76),O76,0),P77/$N75),1)</f>
        <v>0</v>
      </c>
      <c r="Q76" s="168">
        <f t="shared" ref="Q76" ca="1" si="398">MIN(IF($B77,Q75+IF(ISNUMBER(P76),P76,0),Q77/$N75),1)</f>
        <v>0</v>
      </c>
      <c r="R76" s="168">
        <f t="shared" ref="R76" ca="1" si="399">MIN(IF($B77,R75+IF(ISNUMBER(Q76),Q76,0),R77/$N75),1)</f>
        <v>0</v>
      </c>
      <c r="S76" s="168">
        <f t="shared" ref="S76" ca="1" si="400">MIN(IF($B77,S75+IF(ISNUMBER(R76),R76,0),S77/$N75),1)</f>
        <v>0</v>
      </c>
      <c r="T76" s="168">
        <f t="shared" ref="T76" ca="1" si="401">MIN(IF($B77,T75+IF(ISNUMBER(S76),S76,0),T77/$N75),1)</f>
        <v>1</v>
      </c>
      <c r="U76" s="168">
        <f t="shared" ref="U76" ca="1" si="402">MIN(IF($B77,U75+IF(ISNUMBER(T76),T76,0),U77/$N75),1)</f>
        <v>1</v>
      </c>
      <c r="V76" s="168">
        <f t="shared" ref="V76" ca="1" si="403">MIN(IF($B77,V75+IF(ISNUMBER(U76),U76,0),V77/$N75),1)</f>
        <v>1</v>
      </c>
      <c r="W76" s="168">
        <f t="shared" ref="W76" ca="1" si="404">MIN(IF($B77,W75+IF(ISNUMBER(V76),V76,0),W77/$N75),1)</f>
        <v>1</v>
      </c>
      <c r="X76" s="196"/>
      <c r="AC76" s="168">
        <f t="shared" ref="AC76" ca="1" si="405">MIN(IF($B77,AC75+IF(ISNUMBER(AB76),AB76,0),AC77/$N75),1)</f>
        <v>0</v>
      </c>
    </row>
    <row r="77" spans="1:29" customFormat="1" ht="14.25" x14ac:dyDescent="0.2">
      <c r="A77" s="184">
        <f ca="1">OFFSET(A77,-CFF.NumLinha,0)+1</f>
        <v>20</v>
      </c>
      <c r="B77" s="184" t="b">
        <f ca="1">$C77&gt;=OFFSET($C77,CFF.NumLinha,0)</f>
        <v>1</v>
      </c>
      <c r="C77" s="184">
        <f ca="1">INDEX(PO!A$12:A$111,MATCH($A77,PO!$V$12:$V$111,0))</f>
        <v>2</v>
      </c>
      <c r="D77" s="184">
        <f t="shared" ref="D77" ca="1" si="406">IF(ISERROR(J77),I77,SMALL(I77:J77,1))-1</f>
        <v>2</v>
      </c>
      <c r="E77" s="184">
        <f ca="1">IF($C77=1,OFFSET(E77,-CFF.NumLinha,0)+1,OFFSET(E77,-CFF.NumLinha,0))</f>
        <v>4</v>
      </c>
      <c r="F77" s="184">
        <f ca="1">IF($C77=1,0,IF($C77=2,OFFSET(F77,-CFF.NumLinha,0)+1,OFFSET(F77,-CFF.NumLinha,0)))</f>
        <v>3</v>
      </c>
      <c r="G77" s="184">
        <f ca="1">IF(AND($C77&lt;=2,$C77&lt;&gt;0),0,IF($C77=3,OFFSET(G77,-CFF.NumLinha,0)+1,OFFSET(G77,-CFF.NumLinha,0)))</f>
        <v>0</v>
      </c>
      <c r="H77" s="184">
        <f ca="1">IF(AND($C77&lt;=3,$C77&lt;&gt;0),0,IF($C77=4,OFFSET(H77,-CFF.NumLinha,0)+1,OFFSET(H77,-CFF.NumLinha,0)))</f>
        <v>0</v>
      </c>
      <c r="I77" s="184">
        <f ca="1">MATCH(0,OFFSET($D77,1,$C77,ROW($A$90)-ROW($A77)),0)</f>
        <v>13</v>
      </c>
      <c r="J77" s="184">
        <f ca="1">MATCH(OFFSET($D77,0,$C77)+1,OFFSET($D77,1,$C77,ROW($A$90)-ROW($A77)),0)</f>
        <v>3</v>
      </c>
      <c r="K77" s="185">
        <f ca="1">ROUND(INDEX(PO!T$12:T$111,MATCH($A77,PO!$V$12:$V$111,0)),2)+10^-12</f>
        <v>9.9999999999999998E-13</v>
      </c>
      <c r="L77" s="374"/>
      <c r="M77" s="376"/>
      <c r="N77" s="378"/>
      <c r="O77" s="204" t="s">
        <v>20</v>
      </c>
      <c r="P77" s="199">
        <f t="shared" ref="P77:W77" ca="1" si="407">IF($B77,ROUND(P76*$N75,2),ROUND(SUMIF(OFFSET($B77,1,0,$D77),TRUE,OFFSET(P77,1,0,$D77))/SUMIF(OFFSET($B77,1,0,$D77),TRUE,OFFSET($K77,1,0,$D77))*$N75,2))</f>
        <v>0</v>
      </c>
      <c r="Q77" s="169">
        <f t="shared" ca="1" si="407"/>
        <v>0</v>
      </c>
      <c r="R77" s="169">
        <f t="shared" ca="1" si="407"/>
        <v>0</v>
      </c>
      <c r="S77" s="169">
        <f t="shared" ca="1" si="407"/>
        <v>0</v>
      </c>
      <c r="T77" s="169">
        <f t="shared" ca="1" si="407"/>
        <v>0</v>
      </c>
      <c r="U77" s="169">
        <f t="shared" ca="1" si="407"/>
        <v>0</v>
      </c>
      <c r="V77" s="169">
        <f t="shared" ca="1" si="407"/>
        <v>0</v>
      </c>
      <c r="W77" s="207">
        <f t="shared" ca="1" si="407"/>
        <v>0</v>
      </c>
      <c r="X77" s="196"/>
      <c r="AC77" s="169">
        <f t="shared" ref="AC77" ca="1" si="408">IF($B77,ROUND(AC76*$N75,2),ROUND(SUMIF(OFFSET($B77,1,0,$D77),TRUE,OFFSET(AC77,1,0,$D77))/SUMIF(OFFSET($B77,1,0,$D77),TRUE,OFFSET($K77,1,0,$D77))*$N75,2))</f>
        <v>0</v>
      </c>
    </row>
    <row r="78" spans="1:29" customFormat="1" ht="14.25" customHeight="1" x14ac:dyDescent="0.2">
      <c r="A78" s="82"/>
      <c r="B78" s="82"/>
      <c r="C78" s="82"/>
      <c r="D78" s="82"/>
      <c r="E78" s="82"/>
      <c r="F78" s="82"/>
      <c r="G78" s="82"/>
      <c r="H78" s="82"/>
      <c r="I78" s="82"/>
      <c r="J78" s="82"/>
      <c r="K78" s="82"/>
      <c r="L78" s="373" t="str">
        <f ca="1">INDEX(PO!K$12:K$111,MATCH($A80,PO!$V$12:$V$111,0))</f>
        <v>4.4.</v>
      </c>
      <c r="M78" s="375" t="str">
        <f ca="1">INDEX(PO!N$12:N$111,MATCH($A80,PO!$V$12:$V$111,0))</f>
        <v>INSTALAÇÕES ELÉTRICAS</v>
      </c>
      <c r="N78" s="377">
        <f t="shared" ref="N78" ca="1" si="409">IF(ROUND(K80,2)=0,K80,ROUND(K80,2))</f>
        <v>9.9999999999999998E-13</v>
      </c>
      <c r="O78" s="220" t="s">
        <v>143</v>
      </c>
      <c r="P78" s="225">
        <f t="shared" ref="P78" ca="1" si="410">IF($B80,0,P79-IF(ISNUMBER(O79),O79,0))</f>
        <v>0</v>
      </c>
      <c r="Q78" s="226">
        <f t="shared" ref="Q78" ca="1" si="411">IF($B80,0,Q79-IF(ISNUMBER(P79),P79,0))</f>
        <v>0</v>
      </c>
      <c r="R78" s="226">
        <f t="shared" ref="R78" ca="1" si="412">IF($B80,0,R79-IF(ISNUMBER(Q79),Q79,0))</f>
        <v>0</v>
      </c>
      <c r="S78" s="226">
        <f t="shared" ref="S78" ca="1" si="413">IF($B80,0,S79-IF(ISNUMBER(R79),R79,0))</f>
        <v>0</v>
      </c>
      <c r="T78" s="226">
        <v>1</v>
      </c>
      <c r="U78" s="226">
        <f t="shared" ref="U78" ca="1" si="414">IF($B80,0,U79-IF(ISNUMBER(T79),T79,0))</f>
        <v>0</v>
      </c>
      <c r="V78" s="226">
        <f t="shared" ref="V78" ca="1" si="415">IF($B80,0,V79-IF(ISNUMBER(U79),U79,0))</f>
        <v>0</v>
      </c>
      <c r="W78" s="227">
        <f t="shared" ref="W78" ca="1" si="416">IF($B80,0,W79-IF(ISNUMBER(V79),V79,0))</f>
        <v>0</v>
      </c>
      <c r="X78" s="196"/>
      <c r="AC78" s="221">
        <f t="shared" ref="AC78" ca="1" si="417">IF($B80,0,AC79-IF(ISNUMBER(AB79),AB79,0))</f>
        <v>0</v>
      </c>
    </row>
    <row r="79" spans="1:29" customFormat="1" ht="14.25" x14ac:dyDescent="0.2">
      <c r="A79" s="184"/>
      <c r="B79" s="184"/>
      <c r="C79" s="184"/>
      <c r="D79" s="184"/>
      <c r="E79" s="184"/>
      <c r="F79" s="184"/>
      <c r="G79" s="184"/>
      <c r="H79" s="184"/>
      <c r="I79" s="184"/>
      <c r="J79" s="184"/>
      <c r="K79" s="184"/>
      <c r="L79" s="374"/>
      <c r="M79" s="376"/>
      <c r="N79" s="378"/>
      <c r="O79" s="170" t="s">
        <v>145</v>
      </c>
      <c r="P79" s="198">
        <f t="shared" ref="P79" ca="1" si="418">MIN(IF($B80,P78+IF(ISNUMBER(O79),O79,0),P80/$N78),1)</f>
        <v>0</v>
      </c>
      <c r="Q79" s="168">
        <f t="shared" ref="Q79" ca="1" si="419">MIN(IF($B80,Q78+IF(ISNUMBER(P79),P79,0),Q80/$N78),1)</f>
        <v>0</v>
      </c>
      <c r="R79" s="168">
        <f t="shared" ref="R79" ca="1" si="420">MIN(IF($B80,R78+IF(ISNUMBER(Q79),Q79,0),R80/$N78),1)</f>
        <v>0</v>
      </c>
      <c r="S79" s="168">
        <f t="shared" ref="S79" ca="1" si="421">MIN(IF($B80,S78+IF(ISNUMBER(R79),R79,0),S80/$N78),1)</f>
        <v>0</v>
      </c>
      <c r="T79" s="168">
        <f t="shared" ref="T79" ca="1" si="422">MIN(IF($B80,T78+IF(ISNUMBER(S79),S79,0),T80/$N78),1)</f>
        <v>1</v>
      </c>
      <c r="U79" s="168">
        <f t="shared" ref="U79" ca="1" si="423">MIN(IF($B80,U78+IF(ISNUMBER(T79),T79,0),U80/$N78),1)</f>
        <v>1</v>
      </c>
      <c r="V79" s="168">
        <f t="shared" ref="V79" ca="1" si="424">MIN(IF($B80,V78+IF(ISNUMBER(U79),U79,0),V80/$N78),1)</f>
        <v>1</v>
      </c>
      <c r="W79" s="168">
        <f t="shared" ref="W79" ca="1" si="425">MIN(IF($B80,W78+IF(ISNUMBER(V79),V79,0),W80/$N78),1)</f>
        <v>1</v>
      </c>
      <c r="X79" s="196"/>
      <c r="AC79" s="168">
        <f t="shared" ref="AC79" ca="1" si="426">MIN(IF($B80,AC78+IF(ISNUMBER(AB79),AB79,0),AC80/$N78),1)</f>
        <v>0</v>
      </c>
    </row>
    <row r="80" spans="1:29" customFormat="1" ht="14.25" x14ac:dyDescent="0.2">
      <c r="A80" s="184">
        <f ca="1">OFFSET(A80,-CFF.NumLinha,0)+1</f>
        <v>21</v>
      </c>
      <c r="B80" s="184" t="b">
        <f ca="1">$C80&gt;=OFFSET($C80,CFF.NumLinha,0)</f>
        <v>1</v>
      </c>
      <c r="C80" s="184">
        <f ca="1">INDEX(PO!A$12:A$111,MATCH($A80,PO!$V$12:$V$111,0))</f>
        <v>2</v>
      </c>
      <c r="D80" s="184">
        <f t="shared" ref="D80" ca="1" si="427">IF(ISERROR(J80),I80,SMALL(I80:J80,1))-1</f>
        <v>2</v>
      </c>
      <c r="E80" s="184">
        <f ca="1">IF($C80=1,OFFSET(E80,-CFF.NumLinha,0)+1,OFFSET(E80,-CFF.NumLinha,0))</f>
        <v>4</v>
      </c>
      <c r="F80" s="184">
        <f ca="1">IF($C80=1,0,IF($C80=2,OFFSET(F80,-CFF.NumLinha,0)+1,OFFSET(F80,-CFF.NumLinha,0)))</f>
        <v>4</v>
      </c>
      <c r="G80" s="184">
        <f ca="1">IF(AND($C80&lt;=2,$C80&lt;&gt;0),0,IF($C80=3,OFFSET(G80,-CFF.NumLinha,0)+1,OFFSET(G80,-CFF.NumLinha,0)))</f>
        <v>0</v>
      </c>
      <c r="H80" s="184">
        <f ca="1">IF(AND($C80&lt;=3,$C80&lt;&gt;0),0,IF($C80=4,OFFSET(H80,-CFF.NumLinha,0)+1,OFFSET(H80,-CFF.NumLinha,0)))</f>
        <v>0</v>
      </c>
      <c r="I80" s="184">
        <f ca="1">MATCH(0,OFFSET($D80,1,$C80,ROW($A$90)-ROW($A80)),0)</f>
        <v>10</v>
      </c>
      <c r="J80" s="184">
        <f ca="1">MATCH(OFFSET($D80,0,$C80)+1,OFFSET($D80,1,$C80,ROW($A$90)-ROW($A80)),0)</f>
        <v>3</v>
      </c>
      <c r="K80" s="185">
        <f ca="1">ROUND(INDEX(PO!T$12:T$111,MATCH($A80,PO!$V$12:$V$111,0)),2)+10^-12</f>
        <v>9.9999999999999998E-13</v>
      </c>
      <c r="L80" s="374"/>
      <c r="M80" s="376"/>
      <c r="N80" s="378"/>
      <c r="O80" s="204" t="s">
        <v>20</v>
      </c>
      <c r="P80" s="199">
        <f t="shared" ref="P80:W80" ca="1" si="428">IF($B80,ROUND(P79*$N78,2),ROUND(SUMIF(OFFSET($B80,1,0,$D80),TRUE,OFFSET(P80,1,0,$D80))/SUMIF(OFFSET($B80,1,0,$D80),TRUE,OFFSET($K80,1,0,$D80))*$N78,2))</f>
        <v>0</v>
      </c>
      <c r="Q80" s="169">
        <f t="shared" ca="1" si="428"/>
        <v>0</v>
      </c>
      <c r="R80" s="169">
        <f t="shared" ca="1" si="428"/>
        <v>0</v>
      </c>
      <c r="S80" s="169">
        <f t="shared" ca="1" si="428"/>
        <v>0</v>
      </c>
      <c r="T80" s="169">
        <f t="shared" ca="1" si="428"/>
        <v>0</v>
      </c>
      <c r="U80" s="169">
        <f t="shared" ca="1" si="428"/>
        <v>0</v>
      </c>
      <c r="V80" s="169">
        <f t="shared" ca="1" si="428"/>
        <v>0</v>
      </c>
      <c r="W80" s="207">
        <f t="shared" ca="1" si="428"/>
        <v>0</v>
      </c>
      <c r="X80" s="196"/>
      <c r="AC80" s="169">
        <f t="shared" ref="AC80" ca="1" si="429">IF($B80,ROUND(AC79*$N78,2),ROUND(SUMIF(OFFSET($B80,1,0,$D80),TRUE,OFFSET(AC80,1,0,$D80))/SUMIF(OFFSET($B80,1,0,$D80),TRUE,OFFSET($K80,1,0,$D80))*$N78,2))</f>
        <v>0</v>
      </c>
    </row>
    <row r="81" spans="1:29" customFormat="1" ht="14.25" customHeight="1" x14ac:dyDescent="0.2">
      <c r="A81" s="82"/>
      <c r="B81" s="82"/>
      <c r="C81" s="82"/>
      <c r="D81" s="82"/>
      <c r="E81" s="82"/>
      <c r="F81" s="82"/>
      <c r="G81" s="82"/>
      <c r="H81" s="82"/>
      <c r="I81" s="82"/>
      <c r="J81" s="82"/>
      <c r="K81" s="82"/>
      <c r="L81" s="373" t="str">
        <f ca="1">INDEX(PO!K$12:K$111,MATCH($A83,PO!$V$12:$V$111,0))</f>
        <v>4.5.</v>
      </c>
      <c r="M81" s="375" t="str">
        <f ca="1">INDEX(PO!N$12:N$111,MATCH($A83,PO!$V$12:$V$111,0))</f>
        <v>FORRO</v>
      </c>
      <c r="N81" s="377">
        <f t="shared" ref="N81" ca="1" si="430">IF(ROUND(K83,2)=0,K83,ROUND(K83,2))</f>
        <v>9.9999999999999998E-13</v>
      </c>
      <c r="O81" s="220" t="s">
        <v>143</v>
      </c>
      <c r="P81" s="225">
        <f t="shared" ref="P81" ca="1" si="431">IF($B83,0,P82-IF(ISNUMBER(O82),O82,0))</f>
        <v>0</v>
      </c>
      <c r="Q81" s="226">
        <f t="shared" ref="Q81" ca="1" si="432">IF($B83,0,Q82-IF(ISNUMBER(P82),P82,0))</f>
        <v>0</v>
      </c>
      <c r="R81" s="226">
        <f t="shared" ref="R81" ca="1" si="433">IF($B83,0,R82-IF(ISNUMBER(Q82),Q82,0))</f>
        <v>0</v>
      </c>
      <c r="S81" s="226">
        <f t="shared" ref="S81" ca="1" si="434">IF($B83,0,S82-IF(ISNUMBER(R82),R82,0))</f>
        <v>0</v>
      </c>
      <c r="T81" s="226">
        <v>1</v>
      </c>
      <c r="U81" s="226">
        <f t="shared" ref="U81" ca="1" si="435">IF($B83,0,U82-IF(ISNUMBER(T82),T82,0))</f>
        <v>0</v>
      </c>
      <c r="V81" s="226">
        <f t="shared" ref="V81" ca="1" si="436">IF($B83,0,V82-IF(ISNUMBER(U82),U82,0))</f>
        <v>0</v>
      </c>
      <c r="W81" s="227">
        <f t="shared" ref="W81" ca="1" si="437">IF($B83,0,W82-IF(ISNUMBER(V82),V82,0))</f>
        <v>0</v>
      </c>
      <c r="X81" s="196"/>
      <c r="AC81" s="221">
        <f t="shared" ref="AC81" ca="1" si="438">IF($B83,0,AC82-IF(ISNUMBER(AB82),AB82,0))</f>
        <v>0</v>
      </c>
    </row>
    <row r="82" spans="1:29" customFormat="1" ht="14.25" x14ac:dyDescent="0.2">
      <c r="A82" s="184"/>
      <c r="B82" s="184"/>
      <c r="C82" s="184"/>
      <c r="D82" s="184"/>
      <c r="E82" s="184"/>
      <c r="F82" s="184"/>
      <c r="G82" s="184"/>
      <c r="H82" s="184"/>
      <c r="I82" s="184"/>
      <c r="J82" s="184"/>
      <c r="K82" s="184"/>
      <c r="L82" s="374"/>
      <c r="M82" s="376"/>
      <c r="N82" s="378"/>
      <c r="O82" s="170" t="s">
        <v>145</v>
      </c>
      <c r="P82" s="198">
        <f t="shared" ref="P82" ca="1" si="439">MIN(IF($B83,P81+IF(ISNUMBER(O82),O82,0),P83/$N81),1)</f>
        <v>0</v>
      </c>
      <c r="Q82" s="168">
        <f t="shared" ref="Q82" ca="1" si="440">MIN(IF($B83,Q81+IF(ISNUMBER(P82),P82,0),Q83/$N81),1)</f>
        <v>0</v>
      </c>
      <c r="R82" s="168">
        <f t="shared" ref="R82" ca="1" si="441">MIN(IF($B83,R81+IF(ISNUMBER(Q82),Q82,0),R83/$N81),1)</f>
        <v>0</v>
      </c>
      <c r="S82" s="168">
        <f t="shared" ref="S82" ca="1" si="442">MIN(IF($B83,S81+IF(ISNUMBER(R82),R82,0),S83/$N81),1)</f>
        <v>0</v>
      </c>
      <c r="T82" s="168">
        <f t="shared" ref="T82" ca="1" si="443">MIN(IF($B83,T81+IF(ISNUMBER(S82),S82,0),T83/$N81),1)</f>
        <v>1</v>
      </c>
      <c r="U82" s="168">
        <f t="shared" ref="U82" ca="1" si="444">MIN(IF($B83,U81+IF(ISNUMBER(T82),T82,0),U83/$N81),1)</f>
        <v>1</v>
      </c>
      <c r="V82" s="168">
        <f t="shared" ref="V82" ca="1" si="445">MIN(IF($B83,V81+IF(ISNUMBER(U82),U82,0),V83/$N81),1)</f>
        <v>1</v>
      </c>
      <c r="W82" s="168">
        <f t="shared" ref="W82" ca="1" si="446">MIN(IF($B83,W81+IF(ISNUMBER(V82),V82,0),W83/$N81),1)</f>
        <v>1</v>
      </c>
      <c r="X82" s="196"/>
      <c r="AC82" s="168">
        <f t="shared" ref="AC82" ca="1" si="447">MIN(IF($B83,AC81+IF(ISNUMBER(AB82),AB82,0),AC83/$N81),1)</f>
        <v>0</v>
      </c>
    </row>
    <row r="83" spans="1:29" customFormat="1" ht="14.25" x14ac:dyDescent="0.2">
      <c r="A83" s="184">
        <f ca="1">OFFSET(A83,-CFF.NumLinha,0)+1</f>
        <v>22</v>
      </c>
      <c r="B83" s="184" t="b">
        <f ca="1">$C83&gt;=OFFSET($C83,CFF.NumLinha,0)</f>
        <v>1</v>
      </c>
      <c r="C83" s="184">
        <f ca="1">INDEX(PO!A$12:A$111,MATCH($A83,PO!$V$12:$V$111,0))</f>
        <v>2</v>
      </c>
      <c r="D83" s="184">
        <f t="shared" ref="D83" ca="1" si="448">IF(ISERROR(J83),I83,SMALL(I83:J83,1))-1</f>
        <v>2</v>
      </c>
      <c r="E83" s="184">
        <f ca="1">IF($C83=1,OFFSET(E83,-CFF.NumLinha,0)+1,OFFSET(E83,-CFF.NumLinha,0))</f>
        <v>4</v>
      </c>
      <c r="F83" s="184">
        <f ca="1">IF($C83=1,0,IF($C83=2,OFFSET(F83,-CFF.NumLinha,0)+1,OFFSET(F83,-CFF.NumLinha,0)))</f>
        <v>5</v>
      </c>
      <c r="G83" s="184">
        <f ca="1">IF(AND($C83&lt;=2,$C83&lt;&gt;0),0,IF($C83=3,OFFSET(G83,-CFF.NumLinha,0)+1,OFFSET(G83,-CFF.NumLinha,0)))</f>
        <v>0</v>
      </c>
      <c r="H83" s="184">
        <f ca="1">IF(AND($C83&lt;=3,$C83&lt;&gt;0),0,IF($C83=4,OFFSET(H83,-CFF.NumLinha,0)+1,OFFSET(H83,-CFF.NumLinha,0)))</f>
        <v>0</v>
      </c>
      <c r="I83" s="184">
        <f ca="1">MATCH(0,OFFSET($D83,1,$C83,ROW($A$90)-ROW($A83)),0)</f>
        <v>7</v>
      </c>
      <c r="J83" s="184">
        <f ca="1">MATCH(OFFSET($D83,0,$C83)+1,OFFSET($D83,1,$C83,ROW($A$90)-ROW($A83)),0)</f>
        <v>3</v>
      </c>
      <c r="K83" s="185">
        <f ca="1">ROUND(INDEX(PO!T$12:T$111,MATCH($A83,PO!$V$12:$V$111,0)),2)+10^-12</f>
        <v>9.9999999999999998E-13</v>
      </c>
      <c r="L83" s="374"/>
      <c r="M83" s="376"/>
      <c r="N83" s="378"/>
      <c r="O83" s="204" t="s">
        <v>20</v>
      </c>
      <c r="P83" s="199">
        <f t="shared" ref="P83:W83" ca="1" si="449">IF($B83,ROUND(P82*$N81,2),ROUND(SUMIF(OFFSET($B83,1,0,$D83),TRUE,OFFSET(P83,1,0,$D83))/SUMIF(OFFSET($B83,1,0,$D83),TRUE,OFFSET($K83,1,0,$D83))*$N81,2))</f>
        <v>0</v>
      </c>
      <c r="Q83" s="169">
        <f t="shared" ca="1" si="449"/>
        <v>0</v>
      </c>
      <c r="R83" s="169">
        <f t="shared" ca="1" si="449"/>
        <v>0</v>
      </c>
      <c r="S83" s="169">
        <f t="shared" ca="1" si="449"/>
        <v>0</v>
      </c>
      <c r="T83" s="169">
        <f t="shared" ca="1" si="449"/>
        <v>0</v>
      </c>
      <c r="U83" s="169">
        <f t="shared" ca="1" si="449"/>
        <v>0</v>
      </c>
      <c r="V83" s="169">
        <f t="shared" ca="1" si="449"/>
        <v>0</v>
      </c>
      <c r="W83" s="207">
        <f t="shared" ca="1" si="449"/>
        <v>0</v>
      </c>
      <c r="X83" s="196"/>
      <c r="AC83" s="169">
        <f t="shared" ref="AC83" ca="1" si="450">IF($B83,ROUND(AC82*$N81,2),ROUND(SUMIF(OFFSET($B83,1,0,$D83),TRUE,OFFSET(AC83,1,0,$D83))/SUMIF(OFFSET($B83,1,0,$D83),TRUE,OFFSET($K83,1,0,$D83))*$N81,2))</f>
        <v>0</v>
      </c>
    </row>
    <row r="84" spans="1:29" customFormat="1" ht="14.25" customHeight="1" x14ac:dyDescent="0.2">
      <c r="A84" s="82"/>
      <c r="B84" s="82"/>
      <c r="C84" s="82"/>
      <c r="D84" s="82"/>
      <c r="E84" s="82"/>
      <c r="F84" s="82"/>
      <c r="G84" s="82"/>
      <c r="H84" s="82"/>
      <c r="I84" s="82"/>
      <c r="J84" s="82"/>
      <c r="K84" s="82"/>
      <c r="L84" s="373" t="str">
        <f ca="1">INDEX(PO!K$12:K$111,MATCH($A86,PO!$V$12:$V$111,0))</f>
        <v>4.6.</v>
      </c>
      <c r="M84" s="375" t="str">
        <f ca="1">INDEX(PO!N$12:N$111,MATCH($A86,PO!$V$12:$V$111,0))</f>
        <v>PINTURA</v>
      </c>
      <c r="N84" s="377">
        <f t="shared" ref="N84" ca="1" si="451">IF(ROUND(K86,2)=0,K86,ROUND(K86,2))</f>
        <v>9.9999999999999998E-13</v>
      </c>
      <c r="O84" s="220" t="s">
        <v>143</v>
      </c>
      <c r="P84" s="225">
        <f t="shared" ref="P84" ca="1" si="452">IF($B86,0,P85-IF(ISNUMBER(O85),O85,0))</f>
        <v>0</v>
      </c>
      <c r="Q84" s="226">
        <f t="shared" ref="Q84" ca="1" si="453">IF($B86,0,Q85-IF(ISNUMBER(P85),P85,0))</f>
        <v>0</v>
      </c>
      <c r="R84" s="226">
        <f t="shared" ref="R84" ca="1" si="454">IF($B86,0,R85-IF(ISNUMBER(Q85),Q85,0))</f>
        <v>0</v>
      </c>
      <c r="S84" s="226">
        <f t="shared" ref="S84" ca="1" si="455">IF($B86,0,S85-IF(ISNUMBER(R85),R85,0))</f>
        <v>0</v>
      </c>
      <c r="T84" s="226">
        <v>1</v>
      </c>
      <c r="U84" s="226">
        <f t="shared" ref="U84" ca="1" si="456">IF($B86,0,U85-IF(ISNUMBER(T85),T85,0))</f>
        <v>0</v>
      </c>
      <c r="V84" s="226">
        <f t="shared" ref="V84" ca="1" si="457">IF($B86,0,V85-IF(ISNUMBER(U85),U85,0))</f>
        <v>0</v>
      </c>
      <c r="W84" s="227">
        <f t="shared" ref="W84" ca="1" si="458">IF($B86,0,W85-IF(ISNUMBER(V85),V85,0))</f>
        <v>0</v>
      </c>
      <c r="X84" s="196"/>
      <c r="AC84" s="221">
        <f t="shared" ref="AC84" ca="1" si="459">IF($B86,0,AC85-IF(ISNUMBER(AB85),AB85,0))</f>
        <v>0</v>
      </c>
    </row>
    <row r="85" spans="1:29" customFormat="1" ht="14.25" x14ac:dyDescent="0.2">
      <c r="A85" s="184"/>
      <c r="B85" s="184"/>
      <c r="C85" s="184"/>
      <c r="D85" s="184"/>
      <c r="E85" s="184"/>
      <c r="F85" s="184"/>
      <c r="G85" s="184"/>
      <c r="H85" s="184"/>
      <c r="I85" s="184"/>
      <c r="J85" s="184"/>
      <c r="K85" s="184"/>
      <c r="L85" s="374"/>
      <c r="M85" s="376"/>
      <c r="N85" s="378"/>
      <c r="O85" s="170" t="s">
        <v>145</v>
      </c>
      <c r="P85" s="198">
        <f t="shared" ref="P85" ca="1" si="460">MIN(IF($B86,P84+IF(ISNUMBER(O85),O85,0),P86/$N84),1)</f>
        <v>0</v>
      </c>
      <c r="Q85" s="168">
        <f t="shared" ref="Q85" ca="1" si="461">MIN(IF($B86,Q84+IF(ISNUMBER(P85),P85,0),Q86/$N84),1)</f>
        <v>0</v>
      </c>
      <c r="R85" s="168">
        <f t="shared" ref="R85" ca="1" si="462">MIN(IF($B86,R84+IF(ISNUMBER(Q85),Q85,0),R86/$N84),1)</f>
        <v>0</v>
      </c>
      <c r="S85" s="168">
        <f t="shared" ref="S85" ca="1" si="463">MIN(IF($B86,S84+IF(ISNUMBER(R85),R85,0),S86/$N84),1)</f>
        <v>0</v>
      </c>
      <c r="T85" s="168">
        <f t="shared" ref="T85" ca="1" si="464">MIN(IF($B86,T84+IF(ISNUMBER(S85),S85,0),T86/$N84),1)</f>
        <v>1</v>
      </c>
      <c r="U85" s="168">
        <f t="shared" ref="U85" ca="1" si="465">MIN(IF($B86,U84+IF(ISNUMBER(T85),T85,0),U86/$N84),1)</f>
        <v>1</v>
      </c>
      <c r="V85" s="168">
        <f t="shared" ref="V85" ca="1" si="466">MIN(IF($B86,V84+IF(ISNUMBER(U85),U85,0),V86/$N84),1)</f>
        <v>1</v>
      </c>
      <c r="W85" s="168">
        <f t="shared" ref="W85" ca="1" si="467">MIN(IF($B86,W84+IF(ISNUMBER(V85),V85,0),W86/$N84),1)</f>
        <v>1</v>
      </c>
      <c r="X85" s="196"/>
      <c r="AC85" s="168">
        <f t="shared" ref="AC85" ca="1" si="468">MIN(IF($B86,AC84+IF(ISNUMBER(AB85),AB85,0),AC86/$N84),1)</f>
        <v>0</v>
      </c>
    </row>
    <row r="86" spans="1:29" customFormat="1" ht="14.25" x14ac:dyDescent="0.2">
      <c r="A86" s="184">
        <f ca="1">OFFSET(A86,-CFF.NumLinha,0)+1</f>
        <v>23</v>
      </c>
      <c r="B86" s="184" t="b">
        <f ca="1">$C86&gt;=OFFSET($C86,CFF.NumLinha,0)</f>
        <v>1</v>
      </c>
      <c r="C86" s="184">
        <f ca="1">INDEX(PO!A$12:A$111,MATCH($A86,PO!$V$12:$V$111,0))</f>
        <v>2</v>
      </c>
      <c r="D86" s="184">
        <f t="shared" ref="D86" ca="1" si="469">IF(ISERROR(J86),I86,SMALL(I86:J86,1))-1</f>
        <v>2</v>
      </c>
      <c r="E86" s="184">
        <f ca="1">IF($C86=1,OFFSET(E86,-CFF.NumLinha,0)+1,OFFSET(E86,-CFF.NumLinha,0))</f>
        <v>4</v>
      </c>
      <c r="F86" s="184">
        <f ca="1">IF($C86=1,0,IF($C86=2,OFFSET(F86,-CFF.NumLinha,0)+1,OFFSET(F86,-CFF.NumLinha,0)))</f>
        <v>6</v>
      </c>
      <c r="G86" s="184">
        <f ca="1">IF(AND($C86&lt;=2,$C86&lt;&gt;0),0,IF($C86=3,OFFSET(G86,-CFF.NumLinha,0)+1,OFFSET(G86,-CFF.NumLinha,0)))</f>
        <v>0</v>
      </c>
      <c r="H86" s="184">
        <f ca="1">IF(AND($C86&lt;=3,$C86&lt;&gt;0),0,IF($C86=4,OFFSET(H86,-CFF.NumLinha,0)+1,OFFSET(H86,-CFF.NumLinha,0)))</f>
        <v>0</v>
      </c>
      <c r="I86" s="184">
        <f ca="1">MATCH(0,OFFSET($D86,1,$C86,ROW($A$90)-ROW($A86)),0)</f>
        <v>4</v>
      </c>
      <c r="J86" s="184">
        <f ca="1">MATCH(OFFSET($D86,0,$C86)+1,OFFSET($D86,1,$C86,ROW($A$90)-ROW($A86)),0)</f>
        <v>3</v>
      </c>
      <c r="K86" s="185">
        <f ca="1">ROUND(INDEX(PO!T$12:T$111,MATCH($A86,PO!$V$12:$V$111,0)),2)+10^-12</f>
        <v>9.9999999999999998E-13</v>
      </c>
      <c r="L86" s="374"/>
      <c r="M86" s="376"/>
      <c r="N86" s="378"/>
      <c r="O86" s="204" t="s">
        <v>20</v>
      </c>
      <c r="P86" s="199">
        <f t="shared" ref="P86:W86" ca="1" si="470">IF($B86,ROUND(P85*$N84,2),ROUND(SUMIF(OFFSET($B86,1,0,$D86),TRUE,OFFSET(P86,1,0,$D86))/SUMIF(OFFSET($B86,1,0,$D86),TRUE,OFFSET($K86,1,0,$D86))*$N84,2))</f>
        <v>0</v>
      </c>
      <c r="Q86" s="169">
        <f t="shared" ca="1" si="470"/>
        <v>0</v>
      </c>
      <c r="R86" s="169">
        <f t="shared" ca="1" si="470"/>
        <v>0</v>
      </c>
      <c r="S86" s="169">
        <f t="shared" ca="1" si="470"/>
        <v>0</v>
      </c>
      <c r="T86" s="169">
        <f t="shared" ca="1" si="470"/>
        <v>0</v>
      </c>
      <c r="U86" s="169">
        <f t="shared" ca="1" si="470"/>
        <v>0</v>
      </c>
      <c r="V86" s="169">
        <f t="shared" ca="1" si="470"/>
        <v>0</v>
      </c>
      <c r="W86" s="207">
        <f t="shared" ca="1" si="470"/>
        <v>0</v>
      </c>
      <c r="X86" s="196"/>
      <c r="AC86" s="169">
        <f t="shared" ref="AC86" ca="1" si="471">IF($B86,ROUND(AC85*$N84,2),ROUND(SUMIF(OFFSET($B86,1,0,$D86),TRUE,OFFSET(AC86,1,0,$D86))/SUMIF(OFFSET($B86,1,0,$D86),TRUE,OFFSET($K86,1,0,$D86))*$N84,2))</f>
        <v>0</v>
      </c>
    </row>
    <row r="87" spans="1:29" customFormat="1" ht="14.25" customHeight="1" x14ac:dyDescent="0.2">
      <c r="A87" s="82"/>
      <c r="B87" s="82"/>
      <c r="C87" s="82"/>
      <c r="D87" s="82"/>
      <c r="E87" s="82"/>
      <c r="F87" s="82"/>
      <c r="G87" s="82"/>
      <c r="H87" s="82"/>
      <c r="I87" s="82"/>
      <c r="J87" s="82"/>
      <c r="K87" s="82"/>
      <c r="L87" s="373" t="str">
        <f ca="1">INDEX(PO!K$12:K$111,MATCH($A89,PO!$V$12:$V$111,0))</f>
        <v>4.7.</v>
      </c>
      <c r="M87" s="375" t="str">
        <f ca="1">INDEX(PO!N$12:N$111,MATCH($A89,PO!$V$12:$V$111,0))</f>
        <v>PISO CALÇADAS</v>
      </c>
      <c r="N87" s="377">
        <f t="shared" ref="N87" ca="1" si="472">IF(ROUND(K89,2)=0,K89,ROUND(K89,2))</f>
        <v>9.9999999999999998E-13</v>
      </c>
      <c r="O87" s="220" t="s">
        <v>143</v>
      </c>
      <c r="P87" s="225">
        <f t="shared" ref="P87" ca="1" si="473">IF($B89,0,P88-IF(ISNUMBER(O88),O88,0))</f>
        <v>0</v>
      </c>
      <c r="Q87" s="226">
        <f t="shared" ref="Q87" ca="1" si="474">IF($B89,0,Q88-IF(ISNUMBER(P88),P88,0))</f>
        <v>0</v>
      </c>
      <c r="R87" s="226">
        <f t="shared" ref="R87" ca="1" si="475">IF($B89,0,R88-IF(ISNUMBER(Q88),Q88,0))</f>
        <v>0</v>
      </c>
      <c r="S87" s="226">
        <f t="shared" ref="S87" ca="1" si="476">IF($B89,0,S88-IF(ISNUMBER(R88),R88,0))</f>
        <v>0</v>
      </c>
      <c r="T87" s="226">
        <f t="shared" ref="T87" ca="1" si="477">IF($B89,0,T88-IF(ISNUMBER(S88),S88,0))</f>
        <v>0</v>
      </c>
      <c r="U87" s="226">
        <v>1</v>
      </c>
      <c r="V87" s="226">
        <f t="shared" ref="V87" ca="1" si="478">IF($B89,0,V88-IF(ISNUMBER(U88),U88,0))</f>
        <v>0</v>
      </c>
      <c r="W87" s="227">
        <f t="shared" ref="W87" ca="1" si="479">IF($B89,0,W88-IF(ISNUMBER(V88),V88,0))</f>
        <v>0</v>
      </c>
      <c r="X87" s="196"/>
      <c r="AC87" s="221">
        <f t="shared" ref="AC87" ca="1" si="480">IF($B89,0,AC88-IF(ISNUMBER(AB88),AB88,0))</f>
        <v>0</v>
      </c>
    </row>
    <row r="88" spans="1:29" customFormat="1" ht="14.25" x14ac:dyDescent="0.2">
      <c r="A88" s="184"/>
      <c r="B88" s="184"/>
      <c r="C88" s="184"/>
      <c r="D88" s="184"/>
      <c r="E88" s="184"/>
      <c r="F88" s="184"/>
      <c r="G88" s="184"/>
      <c r="H88" s="184"/>
      <c r="I88" s="184"/>
      <c r="J88" s="184"/>
      <c r="K88" s="184"/>
      <c r="L88" s="374"/>
      <c r="M88" s="376"/>
      <c r="N88" s="378"/>
      <c r="O88" s="170" t="s">
        <v>145</v>
      </c>
      <c r="P88" s="198">
        <f t="shared" ref="P88" ca="1" si="481">MIN(IF($B89,P87+IF(ISNUMBER(O88),O88,0),P89/$N87),1)</f>
        <v>0</v>
      </c>
      <c r="Q88" s="168">
        <f t="shared" ref="Q88" ca="1" si="482">MIN(IF($B89,Q87+IF(ISNUMBER(P88),P88,0),Q89/$N87),1)</f>
        <v>0</v>
      </c>
      <c r="R88" s="168">
        <f t="shared" ref="R88" ca="1" si="483">MIN(IF($B89,R87+IF(ISNUMBER(Q88),Q88,0),R89/$N87),1)</f>
        <v>0</v>
      </c>
      <c r="S88" s="168">
        <f t="shared" ref="S88" ca="1" si="484">MIN(IF($B89,S87+IF(ISNUMBER(R88),R88,0),S89/$N87),1)</f>
        <v>0</v>
      </c>
      <c r="T88" s="168">
        <f t="shared" ref="T88" ca="1" si="485">MIN(IF($B89,T87+IF(ISNUMBER(S88),S88,0),T89/$N87),1)</f>
        <v>0</v>
      </c>
      <c r="U88" s="168">
        <f t="shared" ref="U88" ca="1" si="486">MIN(IF($B89,U87+IF(ISNUMBER(T88),T88,0),U89/$N87),1)</f>
        <v>1</v>
      </c>
      <c r="V88" s="168">
        <f t="shared" ref="V88" ca="1" si="487">MIN(IF($B89,V87+IF(ISNUMBER(U88),U88,0),V89/$N87),1)</f>
        <v>1</v>
      </c>
      <c r="W88" s="168">
        <f t="shared" ref="W88" ca="1" si="488">MIN(IF($B89,W87+IF(ISNUMBER(V88),V88,0),W89/$N87),1)</f>
        <v>1</v>
      </c>
      <c r="X88" s="196"/>
      <c r="AC88" s="168">
        <f t="shared" ref="AC88" ca="1" si="489">MIN(IF($B89,AC87+IF(ISNUMBER(AB88),AB88,0),AC89/$N87),1)</f>
        <v>0</v>
      </c>
    </row>
    <row r="89" spans="1:29" customFormat="1" ht="14.25" x14ac:dyDescent="0.2">
      <c r="A89" s="184">
        <f ca="1">OFFSET(A89,-CFF.NumLinha,0)+1</f>
        <v>24</v>
      </c>
      <c r="B89" s="184" t="b">
        <f ca="1">$C89&gt;=OFFSET($C89,CFF.NumLinha,0)</f>
        <v>1</v>
      </c>
      <c r="C89" s="184">
        <f ca="1">INDEX(PO!A$12:A$111,MATCH($A89,PO!$V$12:$V$111,0))</f>
        <v>2</v>
      </c>
      <c r="D89" s="184">
        <f t="shared" ref="D89" ca="1" si="490">IF(ISERROR(J89),I89,SMALL(I89:J89,1))-1</f>
        <v>0</v>
      </c>
      <c r="E89" s="184">
        <f ca="1">IF($C89=1,OFFSET(E89,-CFF.NumLinha,0)+1,OFFSET(E89,-CFF.NumLinha,0))</f>
        <v>4</v>
      </c>
      <c r="F89" s="184">
        <f ca="1">IF($C89=1,0,IF($C89=2,OFFSET(F89,-CFF.NumLinha,0)+1,OFFSET(F89,-CFF.NumLinha,0)))</f>
        <v>7</v>
      </c>
      <c r="G89" s="184">
        <f ca="1">IF(AND($C89&lt;=2,$C89&lt;&gt;0),0,IF($C89=3,OFFSET(G89,-CFF.NumLinha,0)+1,OFFSET(G89,-CFF.NumLinha,0)))</f>
        <v>0</v>
      </c>
      <c r="H89" s="184">
        <f ca="1">IF(AND($C89&lt;=3,$C89&lt;&gt;0),0,IF($C89=4,OFFSET(H89,-CFF.NumLinha,0)+1,OFFSET(H89,-CFF.NumLinha,0)))</f>
        <v>0</v>
      </c>
      <c r="I89" s="184">
        <f ca="1">MATCH(0,OFFSET($D89,1,$C89,ROW($A$90)-ROW($A89)),0)</f>
        <v>1</v>
      </c>
      <c r="J89" s="184" t="e">
        <f ca="1">MATCH(OFFSET($D89,0,$C89)+1,OFFSET($D89,1,$C89,ROW($A$90)-ROW($A89)),0)</f>
        <v>#N/A</v>
      </c>
      <c r="K89" s="185">
        <f ca="1">ROUND(INDEX(PO!T$12:T$111,MATCH($A89,PO!$V$12:$V$111,0)),2)+10^-12</f>
        <v>9.9999999999999998E-13</v>
      </c>
      <c r="L89" s="374"/>
      <c r="M89" s="376"/>
      <c r="N89" s="378"/>
      <c r="O89" s="204" t="s">
        <v>20</v>
      </c>
      <c r="P89" s="199">
        <f t="shared" ref="P89:W89" ca="1" si="491">IF($B89,ROUND(P88*$N87,2),ROUND(SUMIF(OFFSET($B89,1,0,$D89),TRUE,OFFSET(P89,1,0,$D89))/SUMIF(OFFSET($B89,1,0,$D89),TRUE,OFFSET($K89,1,0,$D89))*$N87,2))</f>
        <v>0</v>
      </c>
      <c r="Q89" s="169">
        <f t="shared" ca="1" si="491"/>
        <v>0</v>
      </c>
      <c r="R89" s="169">
        <f t="shared" ca="1" si="491"/>
        <v>0</v>
      </c>
      <c r="S89" s="169">
        <f t="shared" ca="1" si="491"/>
        <v>0</v>
      </c>
      <c r="T89" s="169">
        <f t="shared" ca="1" si="491"/>
        <v>0</v>
      </c>
      <c r="U89" s="169">
        <f t="shared" ca="1" si="491"/>
        <v>0</v>
      </c>
      <c r="V89" s="169">
        <f t="shared" ca="1" si="491"/>
        <v>0</v>
      </c>
      <c r="W89" s="207">
        <f t="shared" ca="1" si="491"/>
        <v>0</v>
      </c>
      <c r="X89" s="196"/>
      <c r="AC89" s="169">
        <f t="shared" ref="AC89" ca="1" si="492">IF($B89,ROUND(AC88*$N87,2),ROUND(SUMIF(OFFSET($B89,1,0,$D89),TRUE,OFFSET(AC89,1,0,$D89))/SUMIF(OFFSET($B89,1,0,$D89),TRUE,OFFSET($K89,1,0,$D89))*$N87,2))</f>
        <v>0</v>
      </c>
    </row>
    <row r="90" spans="1:29" s="45" customFormat="1" ht="12.75" customHeight="1" x14ac:dyDescent="0.2">
      <c r="A90" s="1"/>
      <c r="B90" s="1"/>
      <c r="C90" s="184">
        <v>-1</v>
      </c>
      <c r="D90" s="184"/>
      <c r="E90" s="184">
        <v>0</v>
      </c>
      <c r="F90" s="184">
        <v>0</v>
      </c>
      <c r="G90" s="184">
        <v>0</v>
      </c>
      <c r="H90" s="184">
        <v>0</v>
      </c>
      <c r="I90" s="1"/>
      <c r="J90" s="1"/>
      <c r="K90" s="1"/>
      <c r="L90" s="154"/>
      <c r="M90" s="154"/>
      <c r="N90" s="155"/>
      <c r="O90" s="154"/>
      <c r="P90" s="154"/>
      <c r="Q90" s="155"/>
      <c r="R90" s="154"/>
      <c r="S90" s="154"/>
      <c r="T90" s="154"/>
      <c r="U90" s="154"/>
      <c r="V90" s="154"/>
      <c r="W90" s="154"/>
      <c r="X90" s="186"/>
      <c r="AC90" s="154"/>
    </row>
    <row r="91" spans="1:29" ht="12" customHeight="1" x14ac:dyDescent="0.2">
      <c r="A91" s="1"/>
      <c r="B91" s="1"/>
      <c r="C91" s="1"/>
      <c r="D91" s="1"/>
      <c r="E91" s="1"/>
      <c r="F91" s="1"/>
      <c r="G91" s="1"/>
      <c r="H91" s="1"/>
      <c r="I91" s="1"/>
      <c r="J91" s="1"/>
      <c r="K91" s="1"/>
      <c r="L91" s="187"/>
      <c r="M91" s="187"/>
      <c r="N91" s="187"/>
      <c r="O91" s="187"/>
      <c r="P91" s="187"/>
      <c r="Q91" s="187"/>
      <c r="R91" s="187"/>
      <c r="S91" s="187"/>
      <c r="T91" s="187"/>
      <c r="U91" s="187"/>
      <c r="V91" s="187"/>
      <c r="W91" s="187"/>
      <c r="X91" s="188"/>
      <c r="AC91" s="187"/>
    </row>
    <row r="92" spans="1:29" x14ac:dyDescent="0.2">
      <c r="A92" s="1"/>
      <c r="B92" s="1"/>
      <c r="C92" s="1"/>
      <c r="D92" s="1"/>
      <c r="E92" s="1"/>
      <c r="F92" s="1"/>
      <c r="G92" s="1"/>
      <c r="H92" s="1"/>
      <c r="I92" s="1"/>
      <c r="J92" s="1"/>
      <c r="K92" s="1"/>
      <c r="L92" s="383">
        <f>DADOS!I32</f>
        <v>0</v>
      </c>
      <c r="M92" s="383"/>
      <c r="N92" s="383"/>
      <c r="O92" s="187"/>
      <c r="P92" s="189"/>
      <c r="Q92" s="380"/>
      <c r="R92" s="380"/>
      <c r="S92" s="380"/>
      <c r="T92" s="187"/>
      <c r="U92" s="187"/>
      <c r="V92" s="187"/>
      <c r="W92" s="187"/>
      <c r="X92" s="188"/>
      <c r="AC92" s="187"/>
    </row>
    <row r="93" spans="1:29" x14ac:dyDescent="0.2">
      <c r="A93" s="1"/>
      <c r="B93" s="1"/>
      <c r="C93" s="1"/>
      <c r="D93" s="1"/>
      <c r="E93" s="1"/>
      <c r="F93" s="1"/>
      <c r="G93" s="1"/>
      <c r="H93" s="1"/>
      <c r="I93" s="1"/>
      <c r="J93" s="1"/>
      <c r="K93" s="1"/>
      <c r="L93" s="190" t="s">
        <v>120</v>
      </c>
      <c r="M93" s="382"/>
      <c r="N93" s="382"/>
      <c r="O93" s="187"/>
      <c r="P93" s="189"/>
      <c r="Q93" s="380"/>
      <c r="R93" s="380"/>
      <c r="S93" s="380"/>
      <c r="T93" s="187"/>
      <c r="U93" s="187"/>
      <c r="V93" s="187"/>
      <c r="W93" s="187"/>
      <c r="X93" s="188"/>
      <c r="AC93" s="187"/>
    </row>
    <row r="94" spans="1:29" x14ac:dyDescent="0.2">
      <c r="A94" s="1"/>
      <c r="B94" s="1"/>
      <c r="C94" s="1"/>
      <c r="D94" s="1"/>
      <c r="E94" s="1"/>
      <c r="F94" s="1"/>
      <c r="G94" s="1"/>
      <c r="H94" s="1"/>
      <c r="I94" s="1"/>
      <c r="J94" s="1"/>
      <c r="K94" s="1"/>
      <c r="L94" s="189"/>
      <c r="M94" s="381"/>
      <c r="N94" s="382"/>
      <c r="O94" s="187"/>
      <c r="P94" s="189"/>
      <c r="Q94" s="380"/>
      <c r="R94" s="380"/>
      <c r="S94" s="380"/>
      <c r="T94" s="187"/>
      <c r="U94" s="187"/>
      <c r="V94" s="187"/>
      <c r="W94" s="187"/>
      <c r="X94" s="188"/>
      <c r="AC94" s="187"/>
    </row>
    <row r="95" spans="1:29" x14ac:dyDescent="0.2">
      <c r="A95" s="1"/>
      <c r="B95" s="1"/>
      <c r="C95" s="1"/>
      <c r="D95" s="1"/>
      <c r="E95" s="1"/>
      <c r="F95" s="1"/>
      <c r="G95" s="1"/>
      <c r="H95" s="1"/>
      <c r="I95" s="1"/>
      <c r="J95" s="1"/>
      <c r="K95" s="1"/>
      <c r="L95" s="384">
        <f ca="1">PO!K125</f>
        <v>45275</v>
      </c>
      <c r="M95" s="384"/>
      <c r="N95" s="384"/>
      <c r="O95" s="187"/>
      <c r="P95" s="187"/>
      <c r="Q95" s="187"/>
      <c r="R95" s="187"/>
      <c r="S95" s="187"/>
      <c r="T95" s="187"/>
      <c r="U95" s="187"/>
      <c r="V95" s="187"/>
      <c r="W95" s="187"/>
      <c r="X95" s="191"/>
      <c r="AC95" s="187"/>
    </row>
    <row r="96" spans="1:29" x14ac:dyDescent="0.2">
      <c r="A96" s="1"/>
      <c r="B96" s="1"/>
      <c r="C96" s="1"/>
      <c r="D96" s="1"/>
      <c r="E96" s="1"/>
      <c r="F96" s="1"/>
      <c r="G96" s="1"/>
      <c r="H96" s="1"/>
      <c r="I96" s="1"/>
      <c r="J96" s="1"/>
      <c r="K96" s="1"/>
      <c r="L96" s="192" t="s">
        <v>121</v>
      </c>
      <c r="M96" s="193"/>
      <c r="N96" s="193"/>
      <c r="O96" s="187"/>
      <c r="P96" s="187"/>
      <c r="Q96" s="187"/>
      <c r="R96" s="187"/>
      <c r="S96" s="187"/>
      <c r="T96" s="187"/>
      <c r="U96" s="187"/>
      <c r="V96" s="187"/>
      <c r="W96" s="187"/>
      <c r="X96" s="191"/>
      <c r="AC96" s="187"/>
    </row>
    <row r="97" spans="1:29" x14ac:dyDescent="0.2">
      <c r="A97" s="1"/>
      <c r="B97" s="1"/>
      <c r="C97" s="1"/>
      <c r="D97" s="1"/>
      <c r="E97" s="1"/>
      <c r="F97" s="1"/>
      <c r="G97" s="1"/>
      <c r="H97" s="1"/>
      <c r="I97" s="1"/>
      <c r="J97" s="1"/>
      <c r="K97" s="1"/>
      <c r="L97" s="187"/>
      <c r="M97" s="187"/>
      <c r="N97" s="187"/>
      <c r="O97" s="187"/>
      <c r="P97" s="187"/>
      <c r="Q97" s="187"/>
      <c r="R97" s="187"/>
      <c r="S97" s="187"/>
      <c r="T97" s="187"/>
      <c r="U97" s="187"/>
      <c r="V97" s="187"/>
      <c r="W97" s="187"/>
      <c r="X97" s="191"/>
      <c r="AC97" s="187"/>
    </row>
    <row r="98" spans="1:29" x14ac:dyDescent="0.2">
      <c r="A98" s="1"/>
      <c r="B98" s="1"/>
      <c r="C98" s="1"/>
      <c r="D98" s="1"/>
      <c r="E98" s="1"/>
      <c r="F98" s="1"/>
      <c r="G98" s="1"/>
      <c r="H98" s="1"/>
      <c r="I98" s="1"/>
      <c r="J98" s="1"/>
      <c r="K98" s="1"/>
      <c r="L98" s="187"/>
      <c r="M98" s="187"/>
      <c r="N98" s="194"/>
      <c r="O98" s="187"/>
      <c r="P98" s="187"/>
      <c r="Q98" s="187"/>
      <c r="R98" s="187"/>
      <c r="S98" s="187"/>
      <c r="T98" s="187"/>
      <c r="U98" s="187"/>
      <c r="V98" s="187"/>
      <c r="W98" s="187"/>
      <c r="X98" s="188"/>
      <c r="AC98" s="187"/>
    </row>
    <row r="99" spans="1:29" x14ac:dyDescent="0.2">
      <c r="A99" s="1"/>
      <c r="B99" s="1"/>
      <c r="C99" s="1"/>
      <c r="D99" s="1"/>
      <c r="E99" s="1"/>
      <c r="F99" s="1"/>
      <c r="G99" s="1"/>
      <c r="H99" s="1"/>
      <c r="I99" s="1"/>
      <c r="J99" s="1"/>
      <c r="K99" s="1"/>
      <c r="L99" s="187"/>
      <c r="M99" s="187"/>
      <c r="N99" s="194"/>
      <c r="O99" s="187"/>
      <c r="P99" s="187"/>
      <c r="Q99" s="187"/>
      <c r="R99" s="187"/>
      <c r="S99" s="187"/>
      <c r="T99" s="187"/>
      <c r="U99" s="187"/>
      <c r="V99" s="187"/>
      <c r="W99" s="187"/>
      <c r="X99" s="188"/>
      <c r="AC99" s="187"/>
    </row>
    <row r="100" spans="1:29" x14ac:dyDescent="0.2">
      <c r="A100" s="1"/>
      <c r="B100" s="1"/>
      <c r="C100" s="1"/>
      <c r="D100" s="1"/>
      <c r="E100" s="1"/>
      <c r="F100" s="1"/>
      <c r="G100" s="1"/>
      <c r="H100" s="1"/>
      <c r="I100" s="1"/>
      <c r="J100" s="1"/>
      <c r="K100" s="1"/>
      <c r="L100" s="82"/>
      <c r="M100" s="82"/>
      <c r="N100" s="7"/>
      <c r="O100" s="82"/>
      <c r="P100" s="82"/>
      <c r="Q100" s="82"/>
      <c r="R100" s="82"/>
      <c r="S100" s="82"/>
      <c r="T100" s="82"/>
      <c r="U100" s="82"/>
      <c r="V100" s="82"/>
      <c r="W100" s="187"/>
      <c r="X100" s="188"/>
      <c r="AC100" s="82"/>
    </row>
  </sheetData>
  <sheetProtection algorithmName="SHA-512" hashValue="KLMQtcmraa3jvPZrCv/Icn42Kn4wMpLMo16YSskfaV14m2jl7XGXEdFLhC3uQ75Drlu8MHnB7kLEVs/c8415Nw==" saltValue="MybAm3Huld0wBcOKrC0Vvw==" spinCount="100000" sheet="1" objects="1" scenarios="1"/>
  <mergeCells count="85">
    <mergeCell ref="N33:N35"/>
    <mergeCell ref="L36:L38"/>
    <mergeCell ref="L39:L41"/>
    <mergeCell ref="M39:M41"/>
    <mergeCell ref="N39:N41"/>
    <mergeCell ref="M36:M38"/>
    <mergeCell ref="N36:N38"/>
    <mergeCell ref="L95:N95"/>
    <mergeCell ref="L11:L13"/>
    <mergeCell ref="M11:M13"/>
    <mergeCell ref="L14:M17"/>
    <mergeCell ref="N14:N17"/>
    <mergeCell ref="L18:L20"/>
    <mergeCell ref="L27:L29"/>
    <mergeCell ref="M27:M29"/>
    <mergeCell ref="N27:N29"/>
    <mergeCell ref="L30:L32"/>
    <mergeCell ref="M30:M32"/>
    <mergeCell ref="N30:N32"/>
    <mergeCell ref="L33:L35"/>
    <mergeCell ref="M33:M35"/>
    <mergeCell ref="L42:L44"/>
    <mergeCell ref="M42:M44"/>
    <mergeCell ref="N42:N44"/>
    <mergeCell ref="L45:L47"/>
    <mergeCell ref="M45:M47"/>
    <mergeCell ref="N45:N47"/>
    <mergeCell ref="L8:M8"/>
    <mergeCell ref="N11:N13"/>
    <mergeCell ref="M18:M20"/>
    <mergeCell ref="N18:N20"/>
    <mergeCell ref="Q94:S94"/>
    <mergeCell ref="M94:N94"/>
    <mergeCell ref="Q93:S93"/>
    <mergeCell ref="Q92:S92"/>
    <mergeCell ref="L92:N92"/>
    <mergeCell ref="M93:N93"/>
    <mergeCell ref="L21:L23"/>
    <mergeCell ref="M21:M23"/>
    <mergeCell ref="N21:N23"/>
    <mergeCell ref="L24:L26"/>
    <mergeCell ref="M24:M26"/>
    <mergeCell ref="N24:N26"/>
    <mergeCell ref="N57:N59"/>
    <mergeCell ref="L48:L50"/>
    <mergeCell ref="M48:M50"/>
    <mergeCell ref="N48:N50"/>
    <mergeCell ref="L51:L53"/>
    <mergeCell ref="M51:M53"/>
    <mergeCell ref="N51:N53"/>
    <mergeCell ref="L54:L56"/>
    <mergeCell ref="M54:M56"/>
    <mergeCell ref="N54:N56"/>
    <mergeCell ref="L57:L59"/>
    <mergeCell ref="M57:M59"/>
    <mergeCell ref="L69:L71"/>
    <mergeCell ref="M69:M71"/>
    <mergeCell ref="N69:N71"/>
    <mergeCell ref="L60:L62"/>
    <mergeCell ref="M60:M62"/>
    <mergeCell ref="N60:N62"/>
    <mergeCell ref="L63:L65"/>
    <mergeCell ref="M63:M65"/>
    <mergeCell ref="N63:N65"/>
    <mergeCell ref="L66:L68"/>
    <mergeCell ref="M66:M68"/>
    <mergeCell ref="N66:N68"/>
    <mergeCell ref="L72:L74"/>
    <mergeCell ref="M72:M74"/>
    <mergeCell ref="N72:N74"/>
    <mergeCell ref="L75:L77"/>
    <mergeCell ref="M75:M77"/>
    <mergeCell ref="N75:N77"/>
    <mergeCell ref="L78:L80"/>
    <mergeCell ref="M78:M80"/>
    <mergeCell ref="N78:N80"/>
    <mergeCell ref="L81:L83"/>
    <mergeCell ref="M81:M83"/>
    <mergeCell ref="N81:N83"/>
    <mergeCell ref="L84:L86"/>
    <mergeCell ref="M84:M86"/>
    <mergeCell ref="N84:N86"/>
    <mergeCell ref="L87:L89"/>
    <mergeCell ref="M87:M89"/>
    <mergeCell ref="N87:N89"/>
  </mergeCells>
  <phoneticPr fontId="20" type="noConversion"/>
  <conditionalFormatting sqref="L11:N11 L12:M13 L18:N18">
    <cfRule type="expression" dxfId="65" priority="1018" stopIfTrue="1">
      <formula>$C13=1</formula>
    </cfRule>
  </conditionalFormatting>
  <conditionalFormatting sqref="O11 O18">
    <cfRule type="expression" dxfId="64" priority="1090" stopIfTrue="1">
      <formula>$B13=FALSE</formula>
    </cfRule>
    <cfRule type="expression" dxfId="63" priority="1091" stopIfTrue="1">
      <formula>$C13=1</formula>
    </cfRule>
  </conditionalFormatting>
  <conditionalFormatting sqref="P12:W12">
    <cfRule type="expression" dxfId="62" priority="1080" stopIfTrue="1">
      <formula>AND(ISNUMBER(O13),O13&gt;=$N11)</formula>
    </cfRule>
    <cfRule type="cellIs" dxfId="61" priority="1081" stopIfTrue="1" operator="notBetween">
      <formula>0</formula>
      <formula>1</formula>
    </cfRule>
  </conditionalFormatting>
  <conditionalFormatting sqref="P13:W13">
    <cfRule type="expression" dxfId="60" priority="1082" stopIfTrue="1">
      <formula>AND(ISNUMBER(O13),O13&gt;=$N11)</formula>
    </cfRule>
    <cfRule type="cellIs" dxfId="59" priority="1083" stopIfTrue="1" operator="notBetween">
      <formula>0</formula>
      <formula>$N11</formula>
    </cfRule>
  </conditionalFormatting>
  <conditionalFormatting sqref="P14:W14">
    <cfRule type="expression" dxfId="58" priority="1084" stopIfTrue="1">
      <formula>AND(ISNUMBER(O17),O17&gt;=$N14)</formula>
    </cfRule>
  </conditionalFormatting>
  <conditionalFormatting sqref="P15:W15">
    <cfRule type="expression" dxfId="57" priority="1085" stopIfTrue="1">
      <formula>AND(ISNUMBER(O17),O17&gt;=$N14)</formula>
    </cfRule>
  </conditionalFormatting>
  <conditionalFormatting sqref="P16:W16">
    <cfRule type="expression" dxfId="56" priority="1086" stopIfTrue="1">
      <formula>AND(ISNUMBER(O17),O17&gt;=$N14)</formula>
    </cfRule>
    <cfRule type="cellIs" dxfId="55" priority="1087" stopIfTrue="1" operator="notBetween">
      <formula>0</formula>
      <formula>1</formula>
    </cfRule>
  </conditionalFormatting>
  <conditionalFormatting sqref="P17:W17">
    <cfRule type="expression" dxfId="54" priority="1088" stopIfTrue="1">
      <formula>AND(ISNUMBER(O17),O17&gt;=$N14)</formula>
    </cfRule>
    <cfRule type="cellIs" dxfId="53" priority="1089" stopIfTrue="1" operator="notBetween">
      <formula>0</formula>
      <formula>$N14</formula>
    </cfRule>
  </conditionalFormatting>
  <conditionalFormatting sqref="L8">
    <cfRule type="cellIs" dxfId="52" priority="1075" stopIfTrue="1" operator="notEqual">
      <formula>""</formula>
    </cfRule>
  </conditionalFormatting>
  <conditionalFormatting sqref="N9">
    <cfRule type="expression" dxfId="51" priority="1074" stopIfTrue="1">
      <formula>TipoOrçamento&lt;&gt;"REPROGRAMADOAC"</formula>
    </cfRule>
  </conditionalFormatting>
  <conditionalFormatting sqref="L19:M20">
    <cfRule type="expression" dxfId="50" priority="1909" stopIfTrue="1">
      <formula>#REF!=1</formula>
    </cfRule>
  </conditionalFormatting>
  <conditionalFormatting sqref="P11:W11">
    <cfRule type="expression" dxfId="49" priority="229" stopIfTrue="1">
      <formula>AND(ISNUMBER(O13),O13&gt;=$N11)</formula>
    </cfRule>
    <cfRule type="expression" dxfId="48" priority="230" stopIfTrue="1">
      <formula>$B13=FALSE</formula>
    </cfRule>
    <cfRule type="expression" dxfId="47" priority="231" stopIfTrue="1">
      <formula>$C13=1</formula>
    </cfRule>
  </conditionalFormatting>
  <conditionalFormatting sqref="P19:W19">
    <cfRule type="expression" dxfId="46" priority="180" stopIfTrue="1">
      <formula>AND(ISNUMBER(O20),O20&gt;=$N18)</formula>
    </cfRule>
    <cfRule type="cellIs" dxfId="45" priority="181" stopIfTrue="1" operator="notBetween">
      <formula>0</formula>
      <formula>1</formula>
    </cfRule>
  </conditionalFormatting>
  <conditionalFormatting sqref="P20:W20">
    <cfRule type="expression" dxfId="44" priority="182" stopIfTrue="1">
      <formula>AND(ISNUMBER(O20),O20&gt;=$N18)</formula>
    </cfRule>
    <cfRule type="cellIs" dxfId="43" priority="183" stopIfTrue="1" operator="notBetween">
      <formula>0</formula>
      <formula>$N18</formula>
    </cfRule>
  </conditionalFormatting>
  <conditionalFormatting sqref="O10:W10">
    <cfRule type="expression" dxfId="42" priority="152" stopIfTrue="1">
      <formula>1=1</formula>
    </cfRule>
  </conditionalFormatting>
  <conditionalFormatting sqref="P18:W18">
    <cfRule type="expression" dxfId="41" priority="107" stopIfTrue="1">
      <formula>AND(ISNUMBER(O20),O20&gt;=$N18)</formula>
    </cfRule>
    <cfRule type="expression" dxfId="40" priority="108" stopIfTrue="1">
      <formula>$B20=FALSE</formula>
    </cfRule>
    <cfRule type="expression" dxfId="39" priority="109" stopIfTrue="1">
      <formula>$C20=1</formula>
    </cfRule>
  </conditionalFormatting>
  <conditionalFormatting sqref="AC18">
    <cfRule type="expression" dxfId="38" priority="27" stopIfTrue="1">
      <formula>AND(ISNUMBER(AB20),AB20&gt;=$N18)</formula>
    </cfRule>
    <cfRule type="expression" dxfId="37" priority="28" stopIfTrue="1">
      <formula>$B20=FALSE</formula>
    </cfRule>
    <cfRule type="expression" dxfId="36" priority="29" stopIfTrue="1">
      <formula>$C20=1</formula>
    </cfRule>
  </conditionalFormatting>
  <conditionalFormatting sqref="AC12">
    <cfRule type="expression" dxfId="35" priority="42" stopIfTrue="1">
      <formula>AND(ISNUMBER(AB13),AB13&gt;=$N11)</formula>
    </cfRule>
    <cfRule type="cellIs" dxfId="34" priority="43" stopIfTrue="1" operator="notBetween">
      <formula>0</formula>
      <formula>1</formula>
    </cfRule>
  </conditionalFormatting>
  <conditionalFormatting sqref="AC13">
    <cfRule type="expression" dxfId="33" priority="44" stopIfTrue="1">
      <formula>AND(ISNUMBER(AB13),AB13&gt;=$N11)</formula>
    </cfRule>
    <cfRule type="cellIs" dxfId="32" priority="45" stopIfTrue="1" operator="notBetween">
      <formula>0</formula>
      <formula>$N11</formula>
    </cfRule>
  </conditionalFormatting>
  <conditionalFormatting sqref="AC14">
    <cfRule type="expression" dxfId="31" priority="46" stopIfTrue="1">
      <formula>AND(ISNUMBER(AB17),AB17&gt;=$N14)</formula>
    </cfRule>
  </conditionalFormatting>
  <conditionalFormatting sqref="AC15">
    <cfRule type="expression" dxfId="30" priority="47" stopIfTrue="1">
      <formula>AND(ISNUMBER(AB17),AB17&gt;=$N14)</formula>
    </cfRule>
  </conditionalFormatting>
  <conditionalFormatting sqref="AC16">
    <cfRule type="expression" dxfId="29" priority="48" stopIfTrue="1">
      <formula>AND(ISNUMBER(AB17),AB17&gt;=$N14)</formula>
    </cfRule>
    <cfRule type="cellIs" dxfId="28" priority="49" stopIfTrue="1" operator="notBetween">
      <formula>0</formula>
      <formula>1</formula>
    </cfRule>
  </conditionalFormatting>
  <conditionalFormatting sqref="AC17">
    <cfRule type="expression" dxfId="27" priority="50" stopIfTrue="1">
      <formula>AND(ISNUMBER(AB17),AB17&gt;=$N14)</formula>
    </cfRule>
    <cfRule type="cellIs" dxfId="26" priority="51" stopIfTrue="1" operator="notBetween">
      <formula>0</formula>
      <formula>$N14</formula>
    </cfRule>
  </conditionalFormatting>
  <conditionalFormatting sqref="AC11">
    <cfRule type="expression" dxfId="25" priority="39" stopIfTrue="1">
      <formula>AND(ISNUMBER(AB13),AB13&gt;=$N11)</formula>
    </cfRule>
    <cfRule type="expression" dxfId="24" priority="40" stopIfTrue="1">
      <formula>$B13=FALSE</formula>
    </cfRule>
    <cfRule type="expression" dxfId="23" priority="41" stopIfTrue="1">
      <formula>$C13=1</formula>
    </cfRule>
  </conditionalFormatting>
  <conditionalFormatting sqref="AC19">
    <cfRule type="expression" dxfId="22" priority="35" stopIfTrue="1">
      <formula>AND(ISNUMBER(AB20),AB20&gt;=$N18)</formula>
    </cfRule>
    <cfRule type="cellIs" dxfId="21" priority="36" stopIfTrue="1" operator="notBetween">
      <formula>0</formula>
      <formula>1</formula>
    </cfRule>
  </conditionalFormatting>
  <conditionalFormatting sqref="AC20">
    <cfRule type="expression" dxfId="20" priority="37" stopIfTrue="1">
      <formula>AND(ISNUMBER(AB20),AB20&gt;=$N18)</formula>
    </cfRule>
    <cfRule type="cellIs" dxfId="19" priority="38" stopIfTrue="1" operator="notBetween">
      <formula>0</formula>
      <formula>$N18</formula>
    </cfRule>
  </conditionalFormatting>
  <conditionalFormatting sqref="AC10">
    <cfRule type="expression" dxfId="18" priority="30" stopIfTrue="1">
      <formula>1=1</formula>
    </cfRule>
  </conditionalFormatting>
  <conditionalFormatting sqref="L21:N21 L24:N24 L27:N27 L30:N30 L33:N33 L36:N36 L39:N39 L42:N42 L45:N45 L48:N48 L51:N51 L54:N54 L57:N57 L60:N60 L63:N63 L66:N66 L69:N69 L72:N72 L75:N75 L78:N78 L81:N81 L84:N84 L87:N87 L22:M23 L25:M26 L28:M29 L31:M32 L34:M35 L37:M38 L40:M41 L43:M44 L46:M47 L49:M50 L52:M53 L55:M56 L58:M59 L61:M62 L64:M65 L67:M68 L70:M71 L73:M74 L76:M77 L79:M80 L82:M83 L85:M86">
    <cfRule type="expression" dxfId="17" priority="11" stopIfTrue="1">
      <formula>$C23=1</formula>
    </cfRule>
  </conditionalFormatting>
  <conditionalFormatting sqref="O21 O24 O27 O30 O33 O36 O39 O42 O45 O48 O51 O54 O57 O60 O63 O66 O69 O72 O75 O78 O81 O84 O87">
    <cfRule type="expression" dxfId="16" priority="16" stopIfTrue="1">
      <formula>$B23=FALSE</formula>
    </cfRule>
    <cfRule type="expression" dxfId="15" priority="17" stopIfTrue="1">
      <formula>$C23=1</formula>
    </cfRule>
  </conditionalFormatting>
  <conditionalFormatting sqref="P22:W22 P25:W25 P28:W28 P31:W31 P34:W34 P37:W37 P40:W40 P43:W43 P46:W46 P49:W49 P52:W52 P55:W55 P58:W58 P61:W61 P64:W64 P67:W67 P70:W70 P73:W73 P76:W76 P79:W79 P82:W82 P85:W85 P88:W88">
    <cfRule type="expression" dxfId="14" priority="12" stopIfTrue="1">
      <formula>AND(ISNUMBER(O23),O23&gt;=$N21)</formula>
    </cfRule>
    <cfRule type="cellIs" dxfId="13" priority="13" stopIfTrue="1" operator="notBetween">
      <formula>0</formula>
      <formula>1</formula>
    </cfRule>
  </conditionalFormatting>
  <conditionalFormatting sqref="P23:W23 P26:W26 P29:W29 P32:W32 P35:W35 P38:W38 P41:W41 P44:W44 P47:W47 P50:W50 P53:W53 P56:W56 P59:W59 P62:W62 P65:W65 P68:W68 P71:W71 P74:W74 P77:W77 P80:W80 P83:W83 P86:W86 P89:W89">
    <cfRule type="expression" dxfId="12" priority="14" stopIfTrue="1">
      <formula>AND(ISNUMBER(O23),O23&gt;=$N21)</formula>
    </cfRule>
    <cfRule type="cellIs" dxfId="11" priority="15" stopIfTrue="1" operator="notBetween">
      <formula>0</formula>
      <formula>$N21</formula>
    </cfRule>
  </conditionalFormatting>
  <conditionalFormatting sqref="P21:W21 P24:W24 P27:W27 P30:W30 P33:W33 P36:W36 P39:W39 P42:W42 P45:W45 P48:W48 P51:W51 P54:W54 P57:W57 P60:W60 P63:W63 P66:W66 P69:W69 P72:W72 P75:W75 P78:W78 P81:W81 P84:W84 P87:W87">
    <cfRule type="expression" dxfId="10" priority="8" stopIfTrue="1">
      <formula>AND(ISNUMBER(O23),O23&gt;=$N21)</formula>
    </cfRule>
    <cfRule type="expression" dxfId="9" priority="9" stopIfTrue="1">
      <formula>$B23=FALSE</formula>
    </cfRule>
    <cfRule type="expression" dxfId="8" priority="10" stopIfTrue="1">
      <formula>$C23=1</formula>
    </cfRule>
  </conditionalFormatting>
  <conditionalFormatting sqref="AC22 AC25 AC28 AC31 AC34 AC37 AC40 AC43 AC46 AC49 AC52 AC55 AC58 AC61 AC64 AC67 AC70 AC73 AC76 AC79 AC82 AC85 AC88">
    <cfRule type="expression" dxfId="7" priority="4" stopIfTrue="1">
      <formula>AND(ISNUMBER(AB23),AB23&gt;=$N21)</formula>
    </cfRule>
    <cfRule type="cellIs" dxfId="6" priority="5" stopIfTrue="1" operator="notBetween">
      <formula>0</formula>
      <formula>1</formula>
    </cfRule>
  </conditionalFormatting>
  <conditionalFormatting sqref="AC23 AC26 AC29 AC32 AC35 AC38 AC41 AC44 AC47 AC50 AC53 AC56 AC59 AC62 AC65 AC68 AC71 AC74 AC77 AC80 AC83 AC86 AC89">
    <cfRule type="expression" dxfId="5" priority="6" stopIfTrue="1">
      <formula>AND(ISNUMBER(AB23),AB23&gt;=$N21)</formula>
    </cfRule>
    <cfRule type="cellIs" dxfId="4" priority="7" stopIfTrue="1" operator="notBetween">
      <formula>0</formula>
      <formula>$N21</formula>
    </cfRule>
  </conditionalFormatting>
  <conditionalFormatting sqref="AC21 AC24 AC27 AC30 AC33 AC36 AC39 AC42 AC45 AC48 AC51 AC54 AC57 AC60 AC63 AC66 AC69 AC72 AC75 AC78 AC81 AC84 AC87">
    <cfRule type="expression" dxfId="3" priority="1" stopIfTrue="1">
      <formula>AND(ISNUMBER(AB23),AB23&gt;=$N21)</formula>
    </cfRule>
    <cfRule type="expression" dxfId="2" priority="2" stopIfTrue="1">
      <formula>$B23=FALSE</formula>
    </cfRule>
    <cfRule type="expression" dxfId="1" priority="3" stopIfTrue="1">
      <formula>$C23=1</formula>
    </cfRule>
  </conditionalFormatting>
  <conditionalFormatting sqref="L88:M89">
    <cfRule type="expression" dxfId="0" priority="4091"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P27:W27 P30:W30 P33:W33 P36:W36 P39:W39 P42:W42 P45:W45 P48:W48 P51:W51 P54:W54 P57:W57 P60:W60 P63:W63 P66:W66 P69:W69 P72:W72 P75:W75 P78:W78 P81:W81 P84:W84 P87:W87 AC21 AC24 AC27 AC30 AC33 AC36 AC39 AC42 AC45 AC48 AC51 AC54 AC57 AC60 AC63 AC66 AC69 AC72 AC75 AC78 AC81 AC84 AC87"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MDT Store</cp:lastModifiedBy>
  <cp:lastPrinted>2023-12-15T12:05:01Z</cp:lastPrinted>
  <dcterms:created xsi:type="dcterms:W3CDTF">1998-03-27T18:43:07Z</dcterms:created>
  <dcterms:modified xsi:type="dcterms:W3CDTF">2023-12-15T12:09:12Z</dcterms:modified>
</cp:coreProperties>
</file>