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ftsppaefs01\DADOS\DAFI\1. DAFI\5. COMPRAS\2026\TDL 9003-2026 - CONTRATAÇÃO EMERGENCIAL TÉCNICOS\Emergencial 2026\Novo com 15 técnicos 23 02 2026\"/>
    </mc:Choice>
  </mc:AlternateContent>
  <xr:revisionPtr revIDLastSave="0" documentId="8_{82C779B2-A41E-4374-B0C6-FE815B8ABA48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Técnico diurno" sheetId="11" r:id="rId1"/>
    <sheet name="Técnico noturno" sheetId="2" r:id="rId2"/>
    <sheet name="Maquinista diurno" sheetId="13" r:id="rId3"/>
    <sheet name="Maquinista noturno" sheetId="14" r:id="rId4"/>
    <sheet name="Resumo" sheetId="3" r:id="rId5"/>
  </sheets>
  <externalReferences>
    <externalReference r:id="rId6"/>
    <externalReference r:id="rId7"/>
  </externalReferences>
  <definedNames>
    <definedName name="_xlnm.Print_Area" localSheetId="2">'Maquinista diurno'!$A$1:$I$196</definedName>
    <definedName name="_xlnm.Print_Area" localSheetId="3">'Maquinista noturno'!$A$1:$I$196</definedName>
    <definedName name="_xlnm.Print_Area" localSheetId="0">'Técnico diurno'!$A$1:$I$196</definedName>
    <definedName name="_xlnm.Print_Area" localSheetId="1">'Técnico noturno'!$A$1:$I$196</definedName>
    <definedName name="Auxiliar" localSheetId="2">#REF!</definedName>
    <definedName name="Auxiliar" localSheetId="3">#REF!</definedName>
    <definedName name="Auxiliar" localSheetId="0">#REF!</definedName>
    <definedName name="Auxiliar" localSheetId="1">#REF!</definedName>
    <definedName name="Auxiliar">#REF!</definedName>
    <definedName name="CUSTO_VALE_TRANSPORTE" localSheetId="2">#REF!</definedName>
    <definedName name="CUSTO_VALE_TRANSPORTE" localSheetId="3">#REF!</definedName>
    <definedName name="CUSTO_VALE_TRANSPORTE" localSheetId="0">#REF!</definedName>
    <definedName name="CUSTO_VALE_TRANSPORTE" localSheetId="1">#REF!</definedName>
    <definedName name="CUSTO_VALE_TRANSPORTE">#REF!</definedName>
    <definedName name="ecwece4c" localSheetId="2">#REF!</definedName>
    <definedName name="ecwece4c" localSheetId="3">#REF!</definedName>
    <definedName name="ecwece4c" localSheetId="0">#REF!</definedName>
    <definedName name="ecwece4c" localSheetId="1">#REF!</definedName>
    <definedName name="ecwece4c">#REF!</definedName>
    <definedName name="MOMB4">'[1]SERVENTE MANUTENCAO'!$I$144</definedName>
    <definedName name="MONA1" localSheetId="2">#REF!</definedName>
    <definedName name="MONA1" localSheetId="3">#REF!</definedName>
    <definedName name="MONA1" localSheetId="0">#REF!</definedName>
    <definedName name="MONA1" localSheetId="1">#REF!</definedName>
    <definedName name="MONA1">#REF!</definedName>
    <definedName name="MONA2" localSheetId="2">#REF!</definedName>
    <definedName name="MONA2" localSheetId="3">#REF!</definedName>
    <definedName name="MONA2" localSheetId="0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2">#REF!</definedName>
    <definedName name="MONA5" localSheetId="3">#REF!</definedName>
    <definedName name="MONA5" localSheetId="0">#REF!</definedName>
    <definedName name="MONA5" localSheetId="1">#REF!</definedName>
    <definedName name="MONA5">#REF!</definedName>
    <definedName name="MONA6" localSheetId="2">#REF!</definedName>
    <definedName name="MONA6" localSheetId="3">#REF!</definedName>
    <definedName name="MONA6" localSheetId="0">#REF!</definedName>
    <definedName name="MONA6" localSheetId="1">#REF!</definedName>
    <definedName name="MONA6">#REF!</definedName>
    <definedName name="MONA7" localSheetId="2">#REF!</definedName>
    <definedName name="MONA7" localSheetId="3">#REF!</definedName>
    <definedName name="MONA7" localSheetId="0">#REF!</definedName>
    <definedName name="MONA7" localSheetId="1">#REF!</definedName>
    <definedName name="MONA7">#REF!</definedName>
    <definedName name="MONA8">[2]MECANICO_REFRIGERACAO!$I$138</definedName>
    <definedName name="MONB1" localSheetId="2">#REF!</definedName>
    <definedName name="MONB1" localSheetId="3">#REF!</definedName>
    <definedName name="MONB1" localSheetId="0">#REF!</definedName>
    <definedName name="MONB1" localSheetId="1">#REF!</definedName>
    <definedName name="MONB1">#REF!</definedName>
    <definedName name="MONB2" localSheetId="2">#REF!</definedName>
    <definedName name="MONB2" localSheetId="3">#REF!</definedName>
    <definedName name="MONB2" localSheetId="0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2">#REF!</definedName>
    <definedName name="MONB5" localSheetId="3">#REF!</definedName>
    <definedName name="MONB5" localSheetId="0">#REF!</definedName>
    <definedName name="MONB5" localSheetId="1">#REF!</definedName>
    <definedName name="MONB5">#REF!</definedName>
    <definedName name="MONB6" localSheetId="2">#REF!</definedName>
    <definedName name="MONB6" localSheetId="3">#REF!</definedName>
    <definedName name="MONB6" localSheetId="0">#REF!</definedName>
    <definedName name="MONB6" localSheetId="1">#REF!</definedName>
    <definedName name="MONB6">#REF!</definedName>
    <definedName name="MONB7" localSheetId="2">#REF!</definedName>
    <definedName name="MONB7" localSheetId="3">#REF!</definedName>
    <definedName name="MONB7" localSheetId="0">#REF!</definedName>
    <definedName name="MONB7" localSheetId="1">#REF!</definedName>
    <definedName name="MONB7">#REF!</definedName>
    <definedName name="MONB8">[2]MECANICO_REFRIGERACAO!$I$144</definedName>
    <definedName name="MONC1" localSheetId="2">#REF!</definedName>
    <definedName name="MONC1" localSheetId="3">#REF!</definedName>
    <definedName name="MONC1" localSheetId="0">#REF!</definedName>
    <definedName name="MONC1" localSheetId="1">#REF!</definedName>
    <definedName name="MONC1">#REF!</definedName>
    <definedName name="MONC2" localSheetId="2">#REF!</definedName>
    <definedName name="MONC2" localSheetId="3">#REF!</definedName>
    <definedName name="MONC2" localSheetId="0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2">#REF!</definedName>
    <definedName name="MONC5" localSheetId="3">#REF!</definedName>
    <definedName name="MONC5" localSheetId="0">#REF!</definedName>
    <definedName name="MONC5" localSheetId="1">#REF!</definedName>
    <definedName name="MONC5">#REF!</definedName>
    <definedName name="MONC6" localSheetId="2">#REF!</definedName>
    <definedName name="MONC6" localSheetId="3">#REF!</definedName>
    <definedName name="MONC6" localSheetId="0">#REF!</definedName>
    <definedName name="MONC6" localSheetId="1">#REF!</definedName>
    <definedName name="MONC6">#REF!</definedName>
    <definedName name="MONC7" localSheetId="2">#REF!</definedName>
    <definedName name="MONC7" localSheetId="3">#REF!</definedName>
    <definedName name="MONC7" localSheetId="0">#REF!</definedName>
    <definedName name="MONC7" localSheetId="1">#REF!</definedName>
    <definedName name="MONC7">#REF!</definedName>
    <definedName name="MONC8">[2]MECANICO_REFRIGERACAO!$I$148</definedName>
    <definedName name="mont" localSheetId="2">#REF!</definedName>
    <definedName name="mont" localSheetId="3">#REF!</definedName>
    <definedName name="mont" localSheetId="0">#REF!</definedName>
    <definedName name="mont" localSheetId="1">#REF!</definedName>
    <definedName name="mont">#REF!</definedName>
    <definedName name="MONTANTEA" localSheetId="2">#REF!</definedName>
    <definedName name="MONTANTEA" localSheetId="3">#REF!</definedName>
    <definedName name="MONTANTEA" localSheetId="0">#REF!</definedName>
    <definedName name="MONTANTEA" localSheetId="1">#REF!</definedName>
    <definedName name="MONTANTEA">#REF!</definedName>
    <definedName name="MONTANTEA1" localSheetId="2">#REF!</definedName>
    <definedName name="MONTANTEA1" localSheetId="3">#REF!</definedName>
    <definedName name="MONTANTEA1" localSheetId="0">#REF!</definedName>
    <definedName name="MONTANTEA1" localSheetId="1">#REF!</definedName>
    <definedName name="MONTANTEA1">#REF!</definedName>
    <definedName name="MONTANTEA2" localSheetId="2">#REF!</definedName>
    <definedName name="MONTANTEA2" localSheetId="3">#REF!</definedName>
    <definedName name="MONTANTEA2" localSheetId="0">#REF!</definedName>
    <definedName name="MONTANTEA2" localSheetId="1">#REF!</definedName>
    <definedName name="MONTANTEA2">#REF!</definedName>
    <definedName name="MONTANTEB" localSheetId="2">#REF!</definedName>
    <definedName name="MONTANTEB" localSheetId="3">#REF!</definedName>
    <definedName name="MONTANTEB" localSheetId="0">#REF!</definedName>
    <definedName name="MONTANTEB" localSheetId="1">#REF!</definedName>
    <definedName name="MONTANTEB">#REF!</definedName>
    <definedName name="MONTANTEB1" localSheetId="2">#REF!</definedName>
    <definedName name="MONTANTEB1" localSheetId="3">#REF!</definedName>
    <definedName name="MONTANTEB1" localSheetId="0">#REF!</definedName>
    <definedName name="MONTANTEB1" localSheetId="1">#REF!</definedName>
    <definedName name="MONTANTEB1">#REF!</definedName>
    <definedName name="MONTANTEB2" localSheetId="2">#REF!</definedName>
    <definedName name="MONTANTEB2" localSheetId="3">#REF!</definedName>
    <definedName name="MONTANTEB2" localSheetId="0">#REF!</definedName>
    <definedName name="MONTANTEB2" localSheetId="1">#REF!</definedName>
    <definedName name="MONTANTEB2">#REF!</definedName>
    <definedName name="MONTANTEC" localSheetId="2">#REF!</definedName>
    <definedName name="MONTANTEC" localSheetId="3">#REF!</definedName>
    <definedName name="MONTANTEC" localSheetId="0">#REF!</definedName>
    <definedName name="MONTANTEC" localSheetId="1">#REF!</definedName>
    <definedName name="MONTANTEC">#REF!</definedName>
    <definedName name="MONTANTEC1" localSheetId="2">#REF!</definedName>
    <definedName name="MONTANTEC1" localSheetId="3">#REF!</definedName>
    <definedName name="MONTANTEC1" localSheetId="0">#REF!</definedName>
    <definedName name="MONTANTEC1" localSheetId="1">#REF!</definedName>
    <definedName name="MONTANTEC1">#REF!</definedName>
    <definedName name="MONTANTEC2" localSheetId="2">#REF!</definedName>
    <definedName name="MONTANTEC2" localSheetId="3">#REF!</definedName>
    <definedName name="MONTANTEC2" localSheetId="0">#REF!</definedName>
    <definedName name="MONTANTEC2" localSheetId="1">#REF!</definedName>
    <definedName name="MONTANTEC2">#REF!</definedName>
    <definedName name="ok" localSheetId="2">#REF!</definedName>
    <definedName name="ok" localSheetId="3">#REF!</definedName>
    <definedName name="ok" localSheetId="0">#REF!</definedName>
    <definedName name="ok" localSheetId="1">#REF!</definedName>
    <definedName name="ok">#REF!</definedName>
    <definedName name="REMUNERACAO1" localSheetId="2">#REF!</definedName>
    <definedName name="REMUNERACAO1" localSheetId="3">#REF!</definedName>
    <definedName name="REMUNERACAO1" localSheetId="0">#REF!</definedName>
    <definedName name="REMUNERACAO1" localSheetId="1">#REF!</definedName>
    <definedName name="REMUNERACAO1">#REF!</definedName>
    <definedName name="REMUNERACAO2" localSheetId="2">#REF!</definedName>
    <definedName name="REMUNERACAO2" localSheetId="3">#REF!</definedName>
    <definedName name="REMUNERACAO2" localSheetId="0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2">#REF!</definedName>
    <definedName name="REMUNERACAO5" localSheetId="3">#REF!</definedName>
    <definedName name="REMUNERACAO5" localSheetId="0">#REF!</definedName>
    <definedName name="REMUNERACAO5" localSheetId="1">#REF!</definedName>
    <definedName name="REMUNERACAO5">#REF!</definedName>
    <definedName name="REMUNERACAO6" localSheetId="2">#REF!</definedName>
    <definedName name="REMUNERACAO6" localSheetId="3">#REF!</definedName>
    <definedName name="REMUNERACAO6" localSheetId="0">#REF!</definedName>
    <definedName name="REMUNERACAO6" localSheetId="1">#REF!</definedName>
    <definedName name="REMUNERACAO6">#REF!</definedName>
    <definedName name="REMUNERACAO7" localSheetId="2">#REF!</definedName>
    <definedName name="REMUNERACAO7" localSheetId="3">#REF!</definedName>
    <definedName name="REMUNERACAO7" localSheetId="0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2">#REF!</definedName>
    <definedName name="TOTAL_MONT_A" localSheetId="3">#REF!</definedName>
    <definedName name="TOTAL_MONT_A" localSheetId="0">#REF!</definedName>
    <definedName name="TOTAL_MONT_A" localSheetId="1">#REF!</definedName>
    <definedName name="TOTAL_MONT_A">#REF!</definedName>
    <definedName name="TOTAL1" localSheetId="2">#REF!</definedName>
    <definedName name="TOTAL1" localSheetId="3">#REF!</definedName>
    <definedName name="TOTAL1" localSheetId="0">#REF!</definedName>
    <definedName name="TOTAL1" localSheetId="1">#REF!</definedName>
    <definedName name="TOTAL1">#REF!</definedName>
    <definedName name="TOTAL2" localSheetId="2">#REF!</definedName>
    <definedName name="TOTAL2" localSheetId="3">#REF!</definedName>
    <definedName name="TOTAL2" localSheetId="0">#REF!</definedName>
    <definedName name="TOTAL2" localSheetId="1">#REF!</definedName>
    <definedName name="TOTAL2">#REF!</definedName>
    <definedName name="VALE_TRANSPORTE" localSheetId="2">#REF!</definedName>
    <definedName name="VALE_TRANSPORTE" localSheetId="3">#REF!</definedName>
    <definedName name="VALE_TRANSPORTE" localSheetId="0">#REF!</definedName>
    <definedName name="VALE_TRANSPORTE" localSheetId="1">#REF!</definedName>
    <definedName name="VALE_TRANSPORTE">#REF!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97" i="2" l="1"/>
  <c r="H196" i="14"/>
  <c r="E164" i="14"/>
  <c r="H163" i="14"/>
  <c r="H166" i="14" s="1"/>
  <c r="D163" i="14" s="1"/>
  <c r="E163" i="14" s="1"/>
  <c r="G163" i="14"/>
  <c r="G166" i="14" s="1"/>
  <c r="D162" i="14" s="1"/>
  <c r="E162" i="14" s="1"/>
  <c r="I137" i="14"/>
  <c r="I180" i="14" s="1"/>
  <c r="F130" i="14"/>
  <c r="G114" i="14"/>
  <c r="C114" i="14"/>
  <c r="A114" i="14"/>
  <c r="E114" i="14" s="1"/>
  <c r="H113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B54" i="14"/>
  <c r="I51" i="14"/>
  <c r="I48" i="14"/>
  <c r="I46" i="14"/>
  <c r="I43" i="14"/>
  <c r="I42" i="14"/>
  <c r="I41" i="14"/>
  <c r="A39" i="14"/>
  <c r="A40" i="14" s="1"/>
  <c r="A41" i="14" s="1"/>
  <c r="A42" i="14" s="1"/>
  <c r="A43" i="14" s="1"/>
  <c r="A44" i="14" s="1"/>
  <c r="A45" i="14" s="1"/>
  <c r="A46" i="14" s="1"/>
  <c r="A47" i="14" s="1"/>
  <c r="A48" i="14" s="1"/>
  <c r="A49" i="14" s="1"/>
  <c r="A50" i="14" s="1"/>
  <c r="A51" i="14" s="1"/>
  <c r="A52" i="14" s="1"/>
  <c r="A53" i="14" s="1"/>
  <c r="A54" i="14" s="1"/>
  <c r="I34" i="14"/>
  <c r="I47" i="14" s="1"/>
  <c r="I49" i="14" s="1"/>
  <c r="G11" i="14"/>
  <c r="A6" i="14"/>
  <c r="I5" i="14"/>
  <c r="I38" i="14" s="1"/>
  <c r="I40" i="14" s="1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3" i="13" s="1"/>
  <c r="G114" i="13"/>
  <c r="C114" i="13"/>
  <c r="A114" i="13"/>
  <c r="E114" i="13" s="1"/>
  <c r="H113" i="13"/>
  <c r="F112" i="13"/>
  <c r="G110" i="13"/>
  <c r="C110" i="13"/>
  <c r="A110" i="13"/>
  <c r="E110" i="13" s="1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2" i="13"/>
  <c r="I41" i="13"/>
  <c r="I40" i="13"/>
  <c r="A39" i="13"/>
  <c r="A40" i="13" s="1"/>
  <c r="A41" i="13" s="1"/>
  <c r="A42" i="13" s="1"/>
  <c r="A43" i="13" s="1"/>
  <c r="A44" i="13" s="1"/>
  <c r="A45" i="13" s="1"/>
  <c r="G11" i="13"/>
  <c r="A6" i="13"/>
  <c r="I5" i="13"/>
  <c r="I38" i="13" s="1"/>
  <c r="G5" i="13"/>
  <c r="E110" i="14" l="1"/>
  <c r="E106" i="14"/>
  <c r="I50" i="14"/>
  <c r="I52" i="14" s="1"/>
  <c r="F114" i="14"/>
  <c r="H114" i="14" s="1"/>
  <c r="I114" i="14" s="1"/>
  <c r="I94" i="14" s="1"/>
  <c r="H100" i="14"/>
  <c r="H99" i="14"/>
  <c r="I44" i="14"/>
  <c r="F106" i="14"/>
  <c r="H106" i="14" s="1"/>
  <c r="I106" i="14" s="1"/>
  <c r="I97" i="14" s="1"/>
  <c r="F110" i="14"/>
  <c r="H110" i="14" s="1"/>
  <c r="I110" i="14" s="1"/>
  <c r="I95" i="14" s="1"/>
  <c r="I123" i="14"/>
  <c r="H91" i="14"/>
  <c r="H100" i="13"/>
  <c r="E106" i="13"/>
  <c r="H99" i="13"/>
  <c r="F114" i="13"/>
  <c r="H114" i="13" s="1"/>
  <c r="I114" i="13"/>
  <c r="I94" i="13" s="1"/>
  <c r="I39" i="13"/>
  <c r="F106" i="13"/>
  <c r="H106" i="13" s="1"/>
  <c r="I106" i="13" s="1"/>
  <c r="I97" i="13" s="1"/>
  <c r="I43" i="13"/>
  <c r="I44" i="13"/>
  <c r="I46" i="13" s="1"/>
  <c r="H42" i="13" s="1"/>
  <c r="F110" i="13"/>
  <c r="H110" i="13" s="1"/>
  <c r="I110" i="13" s="1"/>
  <c r="I95" i="13" s="1"/>
  <c r="I190" i="13"/>
  <c r="H88" i="13"/>
  <c r="H89" i="13" s="1"/>
  <c r="H91" i="13" s="1"/>
  <c r="E7" i="3"/>
  <c r="I53" i="14" l="1"/>
  <c r="I143" i="14"/>
  <c r="I130" i="14"/>
  <c r="I102" i="14"/>
  <c r="I45" i="14"/>
  <c r="I190" i="14"/>
  <c r="H95" i="13"/>
  <c r="H97" i="13"/>
  <c r="I130" i="13"/>
  <c r="I143" i="13"/>
  <c r="I72" i="13"/>
  <c r="H45" i="13"/>
  <c r="I71" i="13"/>
  <c r="I83" i="13"/>
  <c r="I63" i="13"/>
  <c r="I82" i="13"/>
  <c r="I62" i="13"/>
  <c r="I77" i="13"/>
  <c r="I59" i="13"/>
  <c r="I76" i="13"/>
  <c r="A132" i="13"/>
  <c r="I88" i="13"/>
  <c r="I89" i="13" s="1"/>
  <c r="I70" i="13"/>
  <c r="I65" i="13"/>
  <c r="I84" i="13"/>
  <c r="I64" i="13"/>
  <c r="I173" i="13"/>
  <c r="H96" i="13"/>
  <c r="I61" i="13"/>
  <c r="I60" i="13"/>
  <c r="I58" i="13"/>
  <c r="H41" i="13"/>
  <c r="I75" i="13"/>
  <c r="I74" i="13"/>
  <c r="I73" i="13"/>
  <c r="H40" i="13"/>
  <c r="A145" i="13"/>
  <c r="H38" i="13"/>
  <c r="H44" i="13"/>
  <c r="H43" i="13"/>
  <c r="H39" i="13"/>
  <c r="I193" i="13"/>
  <c r="I102" i="13"/>
  <c r="H94" i="13"/>
  <c r="H101" i="13"/>
  <c r="H98" i="13"/>
  <c r="I100" i="11"/>
  <c r="I99" i="11"/>
  <c r="I100" i="2"/>
  <c r="I99" i="2"/>
  <c r="F4" i="3"/>
  <c r="H4" i="3"/>
  <c r="F5" i="3"/>
  <c r="I55" i="14" l="1"/>
  <c r="G145" i="14"/>
  <c r="G132" i="14"/>
  <c r="I175" i="14"/>
  <c r="I85" i="13"/>
  <c r="I78" i="13"/>
  <c r="D132" i="13" s="1"/>
  <c r="I66" i="13"/>
  <c r="H46" i="13"/>
  <c r="H102" i="13"/>
  <c r="H116" i="13" s="1"/>
  <c r="E145" i="13"/>
  <c r="E132" i="13"/>
  <c r="I175" i="13"/>
  <c r="G145" i="13"/>
  <c r="G132" i="13"/>
  <c r="I174" i="13"/>
  <c r="C145" i="13"/>
  <c r="I91" i="13"/>
  <c r="I116" i="13" s="1"/>
  <c r="A161" i="13" s="1"/>
  <c r="C132" i="13"/>
  <c r="I176" i="13"/>
  <c r="D145" i="13"/>
  <c r="F145" i="13"/>
  <c r="F132" i="13"/>
  <c r="H51" i="14" l="1"/>
  <c r="H38" i="14"/>
  <c r="H50" i="14"/>
  <c r="I77" i="14"/>
  <c r="A132" i="14"/>
  <c r="I76" i="14"/>
  <c r="H39" i="14"/>
  <c r="I62" i="14"/>
  <c r="I74" i="14"/>
  <c r="I73" i="14"/>
  <c r="I84" i="14"/>
  <c r="H41" i="14"/>
  <c r="I63" i="14"/>
  <c r="H95" i="14"/>
  <c r="I59" i="14"/>
  <c r="I82" i="14"/>
  <c r="I65" i="14"/>
  <c r="I64" i="14"/>
  <c r="I88" i="14"/>
  <c r="I89" i="14" s="1"/>
  <c r="H94" i="14"/>
  <c r="I61" i="14"/>
  <c r="I193" i="14"/>
  <c r="H42" i="14"/>
  <c r="H47" i="14"/>
  <c r="H44" i="14"/>
  <c r="H101" i="14"/>
  <c r="H52" i="14"/>
  <c r="H48" i="14"/>
  <c r="I58" i="14"/>
  <c r="I75" i="14"/>
  <c r="H54" i="14"/>
  <c r="H43" i="14"/>
  <c r="H40" i="14"/>
  <c r="A145" i="14"/>
  <c r="I72" i="14"/>
  <c r="I173" i="14"/>
  <c r="H97" i="14"/>
  <c r="H49" i="14"/>
  <c r="I83" i="14"/>
  <c r="H46" i="14"/>
  <c r="I70" i="14"/>
  <c r="I60" i="14"/>
  <c r="I71" i="14"/>
  <c r="H96" i="14"/>
  <c r="H98" i="14"/>
  <c r="H53" i="14"/>
  <c r="H45" i="14"/>
  <c r="H145" i="13"/>
  <c r="I145" i="13" s="1"/>
  <c r="H132" i="13"/>
  <c r="I132" i="13" s="1"/>
  <c r="G130" i="13" s="1"/>
  <c r="I127" i="13" s="1"/>
  <c r="I179" i="13" s="1"/>
  <c r="H121" i="13"/>
  <c r="H123" i="13"/>
  <c r="G143" i="13"/>
  <c r="H136" i="13"/>
  <c r="H135" i="13"/>
  <c r="G5" i="3"/>
  <c r="G4" i="3"/>
  <c r="H5" i="3"/>
  <c r="I85" i="14" l="1"/>
  <c r="H102" i="14"/>
  <c r="I66" i="14"/>
  <c r="H55" i="14"/>
  <c r="I78" i="14"/>
  <c r="E145" i="14"/>
  <c r="E132" i="14"/>
  <c r="D145" i="14"/>
  <c r="D132" i="14"/>
  <c r="F132" i="14"/>
  <c r="F145" i="14"/>
  <c r="C132" i="14"/>
  <c r="H132" i="14" s="1"/>
  <c r="I132" i="14" s="1"/>
  <c r="C145" i="14"/>
  <c r="H145" i="14" s="1"/>
  <c r="I145" i="14" s="1"/>
  <c r="I174" i="14"/>
  <c r="I176" i="14" s="1"/>
  <c r="I91" i="14"/>
  <c r="I116" i="14" s="1"/>
  <c r="A161" i="14" s="1"/>
  <c r="H116" i="14"/>
  <c r="H120" i="13"/>
  <c r="H122" i="13"/>
  <c r="H124" i="13"/>
  <c r="H125" i="13"/>
  <c r="H126" i="13"/>
  <c r="H137" i="13"/>
  <c r="H140" i="13"/>
  <c r="H141" i="13" s="1"/>
  <c r="I141" i="13"/>
  <c r="H127" i="13"/>
  <c r="H136" i="14" l="1"/>
  <c r="H135" i="14"/>
  <c r="G143" i="14"/>
  <c r="H124" i="14"/>
  <c r="H122" i="14"/>
  <c r="H125" i="14"/>
  <c r="H126" i="14"/>
  <c r="G130" i="14"/>
  <c r="I127" i="14" s="1"/>
  <c r="I179" i="14" s="1"/>
  <c r="H123" i="14"/>
  <c r="H120" i="14"/>
  <c r="H147" i="13"/>
  <c r="I181" i="13"/>
  <c r="I147" i="13"/>
  <c r="C161" i="13" s="1"/>
  <c r="D161" i="13" s="1"/>
  <c r="I5" i="3"/>
  <c r="I4" i="3"/>
  <c r="I153" i="13" l="1"/>
  <c r="I152" i="13"/>
  <c r="I151" i="13"/>
  <c r="H137" i="14"/>
  <c r="H121" i="14"/>
  <c r="H127" i="14"/>
  <c r="I141" i="14"/>
  <c r="H140" i="14"/>
  <c r="H141" i="14" s="1"/>
  <c r="H152" i="13"/>
  <c r="I155" i="13"/>
  <c r="H155" i="13" s="1"/>
  <c r="I154" i="13"/>
  <c r="H154" i="13" s="1"/>
  <c r="H153" i="13"/>
  <c r="I182" i="13"/>
  <c r="G114" i="2"/>
  <c r="G110" i="2"/>
  <c r="G106" i="2"/>
  <c r="C114" i="2"/>
  <c r="C110" i="2"/>
  <c r="C106" i="2"/>
  <c r="A114" i="2"/>
  <c r="A110" i="2"/>
  <c r="A106" i="2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I42" i="11" s="1"/>
  <c r="G5" i="11"/>
  <c r="I147" i="14" l="1"/>
  <c r="C161" i="14" s="1"/>
  <c r="D161" i="14" s="1"/>
  <c r="I181" i="14"/>
  <c r="I182" i="14" s="1"/>
  <c r="H147" i="14"/>
  <c r="H151" i="13"/>
  <c r="H156" i="13" s="1"/>
  <c r="H169" i="13" s="1"/>
  <c r="I156" i="13"/>
  <c r="I39" i="11"/>
  <c r="H100" i="11"/>
  <c r="H99" i="11"/>
  <c r="E106" i="1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F114" i="11"/>
  <c r="H114" i="11" s="1"/>
  <c r="I114" i="11" s="1"/>
  <c r="I94" i="11" s="1"/>
  <c r="I153" i="14" l="1"/>
  <c r="I152" i="14"/>
  <c r="I151" i="14"/>
  <c r="I154" i="14"/>
  <c r="H154" i="14" s="1"/>
  <c r="H153" i="14"/>
  <c r="H152" i="14"/>
  <c r="I155" i="14"/>
  <c r="H155" i="14" s="1"/>
  <c r="I106" i="11"/>
  <c r="I97" i="11" s="1"/>
  <c r="I186" i="13"/>
  <c r="G196" i="13" s="1"/>
  <c r="I185" i="13"/>
  <c r="I169" i="13"/>
  <c r="I46" i="11"/>
  <c r="I193" i="11" s="1"/>
  <c r="I77" i="11"/>
  <c r="I130" i="11"/>
  <c r="I143" i="11"/>
  <c r="I102" i="11"/>
  <c r="H2" i="3"/>
  <c r="H185" i="13" l="1"/>
  <c r="H186" i="13" s="1"/>
  <c r="H151" i="14"/>
  <c r="H156" i="14" s="1"/>
  <c r="H169" i="14" s="1"/>
  <c r="I156" i="14"/>
  <c r="I2" i="3"/>
  <c r="I196" i="13"/>
  <c r="J4" i="3" s="1"/>
  <c r="K4" i="3" s="1"/>
  <c r="H180" i="13"/>
  <c r="H179" i="13"/>
  <c r="H173" i="13"/>
  <c r="H175" i="13"/>
  <c r="H174" i="13"/>
  <c r="H181" i="13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I169" i="14" l="1"/>
  <c r="I185" i="14"/>
  <c r="I186" i="14"/>
  <c r="G196" i="14" s="1"/>
  <c r="H176" i="13"/>
  <c r="H182" i="13"/>
  <c r="H46" i="11"/>
  <c r="H102" i="11"/>
  <c r="I85" i="11"/>
  <c r="E145" i="11" s="1"/>
  <c r="I78" i="11"/>
  <c r="D145" i="11" s="1"/>
  <c r="I66" i="11"/>
  <c r="F145" i="11"/>
  <c r="I196" i="14" l="1"/>
  <c r="J5" i="3" s="1"/>
  <c r="K5" i="3" s="1"/>
  <c r="H180" i="14"/>
  <c r="H179" i="14"/>
  <c r="H181" i="14"/>
  <c r="H173" i="14"/>
  <c r="H174" i="14"/>
  <c r="H175" i="14"/>
  <c r="H185" i="14"/>
  <c r="H186" i="14" s="1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A95" i="2"/>
  <c r="A96" i="2" s="1"/>
  <c r="A97" i="2" s="1"/>
  <c r="A98" i="2" s="1"/>
  <c r="H176" i="14" l="1"/>
  <c r="H182" i="14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I127" i="11"/>
  <c r="I179" i="11" s="1"/>
  <c r="I182" i="11" s="1"/>
  <c r="H123" i="11"/>
  <c r="H127" i="11" s="1"/>
  <c r="H147" i="11" s="1"/>
  <c r="H196" i="2"/>
  <c r="E164" i="2"/>
  <c r="H163" i="2"/>
  <c r="H166" i="2" s="1"/>
  <c r="D163" i="2" s="1"/>
  <c r="E163" i="2" s="1"/>
  <c r="G163" i="2"/>
  <c r="G166" i="2" s="1"/>
  <c r="D162" i="2" s="1"/>
  <c r="E162" i="2" s="1"/>
  <c r="I137" i="2"/>
  <c r="I180" i="2" s="1"/>
  <c r="F130" i="2"/>
  <c r="E114" i="2"/>
  <c r="H113" i="2"/>
  <c r="E110" i="2"/>
  <c r="E106" i="2"/>
  <c r="I101" i="2"/>
  <c r="I98" i="2"/>
  <c r="H85" i="2"/>
  <c r="H78" i="2"/>
  <c r="H66" i="2"/>
  <c r="B54" i="2"/>
  <c r="I46" i="2"/>
  <c r="I42" i="2"/>
  <c r="I41" i="2"/>
  <c r="A39" i="2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G11" i="2"/>
  <c r="A6" i="2"/>
  <c r="I5" i="2"/>
  <c r="I38" i="2" s="1"/>
  <c r="G5" i="2"/>
  <c r="F2" i="3"/>
  <c r="G2" i="3" l="1"/>
  <c r="H99" i="2"/>
  <c r="H100" i="2"/>
  <c r="I147" i="11"/>
  <c r="C161" i="11" s="1"/>
  <c r="D161" i="11" s="1"/>
  <c r="I40" i="2"/>
  <c r="I43" i="2"/>
  <c r="I44" i="2"/>
  <c r="I50" i="2"/>
  <c r="I47" i="2"/>
  <c r="H88" i="2"/>
  <c r="H89" i="2" s="1"/>
  <c r="H91" i="2" s="1"/>
  <c r="F106" i="2"/>
  <c r="H106" i="2" s="1"/>
  <c r="I106" i="2" s="1"/>
  <c r="F110" i="2"/>
  <c r="H110" i="2" s="1"/>
  <c r="I110" i="2" s="1"/>
  <c r="I95" i="2" s="1"/>
  <c r="F114" i="2"/>
  <c r="H114" i="2" s="1"/>
  <c r="I114" i="2" s="1"/>
  <c r="I94" i="2" s="1"/>
  <c r="I154" i="11" l="1"/>
  <c r="H154" i="11" s="1"/>
  <c r="I153" i="11"/>
  <c r="H153" i="11" s="1"/>
  <c r="I152" i="11"/>
  <c r="I151" i="11"/>
  <c r="H151" i="11"/>
  <c r="H152" i="11"/>
  <c r="I155" i="11"/>
  <c r="H155" i="11" s="1"/>
  <c r="I45" i="2"/>
  <c r="I53" i="2"/>
  <c r="I48" i="2"/>
  <c r="I49" i="2"/>
  <c r="I52" i="2"/>
  <c r="I51" i="2"/>
  <c r="I143" i="2"/>
  <c r="I130" i="2"/>
  <c r="I102" i="2"/>
  <c r="I156" i="11" l="1"/>
  <c r="I186" i="11" s="1"/>
  <c r="G196" i="11" s="1"/>
  <c r="I196" i="11" s="1"/>
  <c r="J2" i="3" s="1"/>
  <c r="K2" i="3" s="1"/>
  <c r="H156" i="11"/>
  <c r="H169" i="11" s="1"/>
  <c r="I55" i="2"/>
  <c r="I193" i="2" s="1"/>
  <c r="G145" i="2"/>
  <c r="G132" i="2"/>
  <c r="I175" i="2"/>
  <c r="H3" i="3"/>
  <c r="H179" i="11" l="1"/>
  <c r="H175" i="11"/>
  <c r="I185" i="11"/>
  <c r="H185" i="11" s="1"/>
  <c r="H186" i="11" s="1"/>
  <c r="H181" i="11"/>
  <c r="H173" i="11"/>
  <c r="I169" i="11"/>
  <c r="H174" i="11"/>
  <c r="H180" i="11"/>
  <c r="I3" i="3"/>
  <c r="I7" i="3" s="1"/>
  <c r="H47" i="2"/>
  <c r="H45" i="2"/>
  <c r="H41" i="2"/>
  <c r="I64" i="2"/>
  <c r="I70" i="2"/>
  <c r="I82" i="2"/>
  <c r="I60" i="2"/>
  <c r="H42" i="2"/>
  <c r="I58" i="2"/>
  <c r="I83" i="2"/>
  <c r="H94" i="2"/>
  <c r="I73" i="2"/>
  <c r="H52" i="2"/>
  <c r="H97" i="2"/>
  <c r="I63" i="2"/>
  <c r="H48" i="2"/>
  <c r="H46" i="2"/>
  <c r="H43" i="2"/>
  <c r="H39" i="2"/>
  <c r="I61" i="2"/>
  <c r="H96" i="2"/>
  <c r="H53" i="2"/>
  <c r="I74" i="2"/>
  <c r="H95" i="2"/>
  <c r="A132" i="2"/>
  <c r="I62" i="2"/>
  <c r="H101" i="2"/>
  <c r="H49" i="2"/>
  <c r="I71" i="2"/>
  <c r="H44" i="2"/>
  <c r="H50" i="2"/>
  <c r="I84" i="2"/>
  <c r="I88" i="2"/>
  <c r="I89" i="2" s="1"/>
  <c r="I76" i="2"/>
  <c r="I173" i="2"/>
  <c r="H38" i="2"/>
  <c r="H54" i="2"/>
  <c r="I72" i="2"/>
  <c r="H98" i="2"/>
  <c r="H40" i="2"/>
  <c r="I77" i="2"/>
  <c r="A145" i="2"/>
  <c r="I59" i="2"/>
  <c r="I75" i="2"/>
  <c r="I65" i="2"/>
  <c r="H51" i="2"/>
  <c r="H176" i="11" l="1"/>
  <c r="H182" i="11"/>
  <c r="H55" i="2"/>
  <c r="I66" i="2"/>
  <c r="C145" i="2" s="1"/>
  <c r="H102" i="2"/>
  <c r="I85" i="2"/>
  <c r="I78" i="2"/>
  <c r="F145" i="2"/>
  <c r="F132" i="2"/>
  <c r="H116" i="2" l="1"/>
  <c r="C132" i="2"/>
  <c r="D145" i="2"/>
  <c r="D132" i="2"/>
  <c r="E145" i="2"/>
  <c r="E132" i="2"/>
  <c r="I91" i="2"/>
  <c r="I116" i="2" s="1"/>
  <c r="A161" i="2" s="1"/>
  <c r="I174" i="2"/>
  <c r="I176" i="2" s="1"/>
  <c r="H132" i="2" l="1"/>
  <c r="I132" i="2" s="1"/>
  <c r="H145" i="2"/>
  <c r="I145" i="2" s="1"/>
  <c r="H135" i="2" s="1"/>
  <c r="H125" i="2" l="1"/>
  <c r="H124" i="2"/>
  <c r="G130" i="2"/>
  <c r="H122" i="2"/>
  <c r="H126" i="2"/>
  <c r="H136" i="2"/>
  <c r="H137" i="2" s="1"/>
  <c r="H120" i="2"/>
  <c r="G143" i="2"/>
  <c r="H140" i="2" s="1"/>
  <c r="H141" i="2" s="1"/>
  <c r="I123" i="2" l="1"/>
  <c r="I190" i="2" s="1"/>
  <c r="H121" i="2"/>
  <c r="H123" i="2"/>
  <c r="I141" i="2"/>
  <c r="F3" i="3"/>
  <c r="H127" i="2" l="1"/>
  <c r="H147" i="2" s="1"/>
  <c r="G3" i="3"/>
  <c r="G7" i="3" s="1"/>
  <c r="I127" i="2"/>
  <c r="I179" i="2" s="1"/>
  <c r="I181" i="2"/>
  <c r="I182" i="2" l="1"/>
  <c r="I147" i="2"/>
  <c r="C161" i="2" s="1"/>
  <c r="D161" i="2" s="1"/>
  <c r="I153" i="2" l="1"/>
  <c r="I152" i="2"/>
  <c r="I151" i="2"/>
  <c r="H153" i="2"/>
  <c r="I154" i="2"/>
  <c r="H154" i="2" s="1"/>
  <c r="I155" i="2"/>
  <c r="H155" i="2" s="1"/>
  <c r="H152" i="2"/>
  <c r="I156" i="2" l="1"/>
  <c r="H151" i="2"/>
  <c r="H156" i="2" s="1"/>
  <c r="H169" i="2" s="1"/>
  <c r="I186" i="2" l="1"/>
  <c r="G196" i="2" s="1"/>
  <c r="I185" i="2"/>
  <c r="I169" i="2"/>
  <c r="H185" i="2" l="1"/>
  <c r="H186" i="2" s="1"/>
  <c r="I196" i="2"/>
  <c r="J3" i="3" s="1"/>
  <c r="K3" i="3" s="1"/>
  <c r="K9" i="3" s="1"/>
  <c r="K7" i="3" s="1"/>
  <c r="H179" i="2"/>
  <c r="H180" i="2"/>
  <c r="H175" i="2"/>
  <c r="H181" i="2"/>
  <c r="H174" i="2"/>
  <c r="H173" i="2"/>
  <c r="H176" i="2" l="1"/>
  <c r="H18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00000000-0006-0000-0100-000020000000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00000000-0006-0000-0100-000022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E1C92281-1FEA-4098-93AC-0B4DFC98FDB6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1C545344-9E48-4EDE-9B96-ED4093631357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CE094AA0-801D-4C69-8729-2CD11A0A4B21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F87502C3-40F7-4C0E-9D7A-860BDF8CA3E3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FAD6BF5D-9F3E-424E-B9AC-8B5218D0326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8AD130BD-BE7B-4B5B-972C-900EF20BFAAB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A5C17267-BB72-4103-B0B4-1B60D0326EE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162374CA-297C-4EC4-ADF1-BA5E68D9DDB7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D6E09CC2-62C5-48B7-9076-E2CC7FC37675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42157F7D-A41D-4BCC-9C80-DDDBDE11315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E4143576-5D14-41F7-BC14-85EC82956DA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F82A5EBC-5303-4767-B2EF-2BE19DDC8BC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ADB41E4E-D59A-400D-BF75-E1B9B68E143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B450CF70-B236-4B47-BA7C-F52C8A01135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B5C81F46-E049-41D3-8050-2C07294FAC7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7D52DF8E-59F7-4DCF-8DE2-75C43152E7E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138C35DE-0C1B-4F30-B414-1D637D9E78B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575AC7CB-3C3F-414F-8A9B-5E5A19975AC7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D57DF5D9-D3BA-4FEC-8BCD-1FF9AFD29A1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187B5F56-7F82-4F11-A814-70B6D42AC31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C9F2B8FB-17B4-4D66-AF3E-9E8659BA314C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FCC362E8-5604-468F-8DC4-C59DB6B1E805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A93ACD31-F73C-4D63-B18E-B6F9B83DE3A3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95E398A-675E-4E95-BD83-354D73F92655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4C0BD12-3A30-47C7-B9B9-4428715F8F2C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5B28BD4E-5BEE-4110-B203-F3757161951D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F710F583-3B8B-45A6-A1B7-308BB518872C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E43A7020-736F-4520-8894-3C226052DD5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BD431857-63B3-4254-B312-82677609D0F5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35EC5EF-666C-4746-94AD-87B34D840667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3267FDC2-0B8A-45D2-AC09-5C00870E5F55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110B7FEB-34D0-4142-A5D0-63C16B160B9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6BE97377-573F-4082-8598-D1E8B4AD0D49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5A09F217-02C6-4B47-998F-5E63034E86E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34BD9B1A-B219-4A02-9A9B-465021F984A2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B7F412A2-4620-4FBF-89A8-71B7B962F3D2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91C1B31F-3888-45DB-B842-42B468AA974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8782F2A7-D296-41B0-9C38-2637163102DE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9A075B4F-2AC8-495A-8D89-4263444170F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F592A977-9098-48DC-9C2B-042743ADF2A2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5D416FC1-C2C8-44F8-A5CB-17D8FDAD7739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6DE2B755-07F9-4138-9AC6-FB6832EFBD8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4" authorId="1" shapeId="0" xr:uid="{B2B4F938-A7AA-49EA-84CA-62817095855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3BD91EDA-7C68-41D2-BC21-2FF633D0D55A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525ADC42-C56C-4E28-8C8D-E0032A61AAA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7" authorId="1" shapeId="0" xr:uid="{06BC08C8-3007-4FA5-9543-9E0C6449A8C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BEB3DEF1-D6AA-4564-A3E8-D7DA20D3DBA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3DA74284-ED8E-4EED-9A1D-3852B7D958B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DA98B90C-75C8-42F6-93D2-3391A70A7244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B1397540-1D4C-40B4-A81F-59360D69BD5B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CF491106-2F12-4397-8DD0-8AF1850E96B4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505EC861-5744-496A-9888-1FA87EB98832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290C4385-D915-46BD-BECD-29026F2F71C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BF84FAFF-5AC6-4B31-BA58-557B342A88E5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748C5973-9148-4C40-9339-7A3F85CC821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160B61B3-38AF-46D1-95D4-3D221B2D742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557CEAB9-4284-4A0D-BB5C-33D4D0999974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7777B327-A743-4997-B211-1DCC9C59E68E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1" shapeId="0" xr:uid="{AADEA8B6-467D-4FDE-A7C5-F79BAA52BF26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1" shapeId="0" xr:uid="{47ED7010-B54A-4086-AB1E-FA253D648FEE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2" shapeId="0" xr:uid="{7829999B-AA77-4E89-8479-1DF32BE45D66}">
      <text>
        <r>
          <rPr>
            <b/>
            <sz val="9"/>
            <color indexed="81"/>
            <rFont val="Segoe UI"/>
            <family val="2"/>
          </rPr>
          <t>Ver na CCT a porcentagem da hora no adicional noturno.
Obs.: caso não tenha na CCT, colocar o padrão de 20%.</t>
        </r>
      </text>
    </comment>
    <comment ref="I33" authorId="1" shapeId="0" xr:uid="{6F3092A0-176C-421B-A49A-E73F3F9CF05D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4" authorId="1" shapeId="0" xr:uid="{C0BF1F2E-C7B8-4DAC-9DF3-833E80F24B54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sharedStrings.xml><?xml version="1.0" encoding="utf-8"?>
<sst xmlns="http://schemas.openxmlformats.org/spreadsheetml/2006/main" count="1148" uniqueCount="238">
  <si>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</si>
  <si>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</si>
  <si>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26/1166-9000032-9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</si>
  <si>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</si>
  <si>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t>LICITAÇÃO/EDITAL</t>
  </si>
  <si>
    <t>9003/2026</t>
  </si>
  <si>
    <t>ABERTURA:</t>
  </si>
  <si>
    <t>Cargo/Função:</t>
  </si>
  <si>
    <t>Técnico de Luz, Som e Vídeo</t>
  </si>
  <si>
    <t>Convenção Coletiva de Trabalho:</t>
  </si>
  <si>
    <t>RS004149/2025</t>
  </si>
  <si>
    <t>INSALUBRIDADE (10%, 20%, 40%)</t>
  </si>
  <si>
    <t>não aplicável</t>
  </si>
  <si>
    <t>Origem do salário:</t>
  </si>
  <si>
    <t>CCT</t>
  </si>
  <si>
    <t>Cidade:</t>
  </si>
  <si>
    <t>Porto Alegre</t>
  </si>
  <si>
    <t>PERICULOSIDADE (30%)</t>
  </si>
  <si>
    <t xml:space="preserve">Salário Normativo </t>
  </si>
  <si>
    <t>Vlr. do salário e nº de horas correspondentes</t>
  </si>
  <si>
    <t>ISS</t>
  </si>
  <si>
    <t>Alíquota</t>
  </si>
  <si>
    <t>Tarifa Transporte</t>
  </si>
  <si>
    <t>Vr. Unitário</t>
  </si>
  <si>
    <t>Dias</t>
  </si>
  <si>
    <t>Desconto</t>
  </si>
  <si>
    <t xml:space="preserve">Auxílio Alimentação </t>
  </si>
  <si>
    <t>Auxílio Lanche</t>
  </si>
  <si>
    <t>Prêmio Assiduidade / Cesta Básica (quando houver)</t>
  </si>
  <si>
    <t>Valor mensal</t>
  </si>
  <si>
    <t>Não aplicável</t>
  </si>
  <si>
    <t>Plano de Benefício Social Familiar (apenas para a CCT SEEAC/SINDASSEIO)</t>
  </si>
  <si>
    <t>Outros benefícios que refletem na planilha de custos, caso constem na CCT.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</si>
  <si>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</si>
  <si>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</si>
  <si>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</si>
  <si>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</si>
  <si>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</si>
  <si>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</si>
  <si>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</si>
  <si>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</si>
  <si>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</si>
  <si>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</si>
  <si>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</si>
  <si>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</si>
  <si>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</si>
  <si>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</si>
  <si>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</si>
  <si>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</si>
  <si>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</si>
  <si>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</si>
  <si>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</si>
  <si>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</si>
  <si>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</si>
  <si>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</si>
  <si>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</si>
  <si>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</si>
  <si>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</si>
  <si>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</si>
  <si>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</si>
  <si>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</si>
  <si>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</si>
  <si>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</si>
  <si>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</si>
  <si>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</si>
  <si>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</si>
  <si>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</si>
  <si>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</si>
  <si>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</si>
  <si>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</si>
  <si>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</si>
  <si>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</si>
  <si>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</si>
  <si>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</si>
  <si>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</si>
  <si>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</si>
  <si>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</si>
  <si>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</si>
  <si>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</si>
  <si>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</si>
  <si>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</si>
  <si>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</si>
  <si>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</si>
  <si>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</si>
  <si>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</si>
  <si>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</si>
  <si>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</si>
  <si>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</si>
  <si>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</si>
  <si>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</si>
  <si>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</si>
  <si>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</si>
  <si>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</si>
  <si>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</si>
  <si>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ENCARGOS SOCIAIS (II + III + IV + V)</t>
  </si>
  <si>
    <t>VI</t>
  </si>
  <si>
    <t>Demais custos relativos à Norma Coletiva ou Disposições Legais - Grupo VI</t>
  </si>
  <si>
    <t>Auxílio Alimentação</t>
  </si>
  <si>
    <t>Plano de Saúde</t>
  </si>
  <si>
    <t>Vale-Transporte⁽⁵⁾</t>
  </si>
  <si>
    <t>Adicional Intervalar</t>
  </si>
  <si>
    <t>Prêmio Assiduidade (quando houver)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</si>
  <si>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</si>
  <si>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</si>
  <si>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</si>
  <si>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</si>
  <si>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</si>
  <si>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</si>
  <si>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</si>
  <si>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</si>
  <si>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</si>
  <si>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</si>
  <si>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</si>
  <si>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</si>
  <si>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</si>
  <si>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</si>
  <si>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</si>
  <si>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</si>
  <si>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</si>
  <si>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</si>
  <si>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</si>
  <si>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</si>
  <si>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</si>
  <si>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</si>
  <si>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</si>
  <si>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</si>
  <si>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</si>
  <si>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Outros (especificar)</t>
  </si>
  <si>
    <t>Total de Despesas Diretas</t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</si>
  <si>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</si>
  <si>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</si>
  <si>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</si>
  <si>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</si>
  <si>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</si>
  <si>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</si>
  <si>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</si>
  <si>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</si>
  <si>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</si>
  <si>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</si>
  <si>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</si>
  <si>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</si>
  <si>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</si>
  <si>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</si>
  <si>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r>
      <rPr>
        <b/>
        <sz val="9"/>
        <color rgb="FF000000"/>
        <rFont val="Calibri"/>
      </rP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</rPr>
      <t>Obs.: conforme item b.1 do inciso II do art. 7º do Decreto 52.768/2015, a soma das Despesas Indiretas + Lucro não poderá ultrapassar o valor constante na célula I132.</t>
    </r>
  </si>
  <si>
    <t>Lucro</t>
  </si>
  <si>
    <r>
      <rPr>
        <b/>
        <sz val="9"/>
        <color rgb="FF000000"/>
        <rFont val="Calibri"/>
      </rP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</rPr>
      <t>Obs.: conforme item b.1 do inciso II do art. 7º do Decreto 52.768/2015, a soma das Despesas Indiretas + Lucro não poderá ultrapassar o valor constante na célula I132.</t>
    </r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</si>
  <si>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</si>
  <si>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</si>
  <si>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</si>
  <si>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</si>
  <si>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</si>
  <si>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</si>
  <si>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</si>
  <si>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</si>
  <si>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</si>
  <si>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</si>
  <si>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</si>
  <si>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</si>
  <si>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</si>
  <si>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</si>
  <si>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</si>
  <si>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</si>
  <si>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</si>
  <si>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</si>
  <si>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</si>
  <si>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</si>
  <si>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</si>
  <si>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</si>
  <si>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</si>
  <si>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</si>
  <si>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</si>
  <si>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</si>
  <si>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</si>
  <si>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</si>
  <si>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</si>
  <si>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</si>
  <si>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</si>
  <si>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</si>
  <si>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</si>
  <si>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</si>
  <si>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</si>
  <si>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</si>
  <si>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</si>
  <si>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</si>
  <si>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</si>
  <si>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</si>
  <si>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</si>
  <si>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</si>
  <si>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QUADRO RESUMO UNITÁRIO</t>
  </si>
  <si>
    <t>Valor mensal de materiais/equipamentos</t>
  </si>
  <si>
    <t>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</si>
  <si>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</si>
  <si>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total do posto</t>
  </si>
  <si>
    <t>Valor Mensal por Unidade de Serviço (A + B + C)</t>
  </si>
  <si>
    <t>Quantidade de Unidade de Serviços</t>
  </si>
  <si>
    <t>Valor mensal do serviço</t>
  </si>
  <si>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 e 54.273 de 10.10.2018)</t>
    </r>
  </si>
  <si>
    <t>Salário Normativo</t>
  </si>
  <si>
    <t>Vale Alimentação</t>
  </si>
  <si>
    <t>Outros benefícios que refletem na planilha de custos, caso constem na CCT</t>
  </si>
  <si>
    <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Porcentagem do adicionl noturno</t>
    </r>
  </si>
  <si>
    <t>Nº horas</t>
  </si>
  <si>
    <t>Vr. Hora</t>
  </si>
  <si>
    <t>Porcentagem do adicional noturno</t>
  </si>
  <si>
    <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</si>
  <si>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</si>
  <si>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</si>
  <si>
    <t>Reduzida Noturna</t>
  </si>
  <si>
    <t>Adicional de insalubridade sobre Reduzida Noturna</t>
  </si>
  <si>
    <t>Adicional de periculosidade sobre Reduzida Noturna</t>
  </si>
  <si>
    <t xml:space="preserve">Adicional Noturno </t>
  </si>
  <si>
    <t>Adicional de insalubridade sobre o Adicional Noturno</t>
  </si>
  <si>
    <t>Adicional de periculosidade sobre o Adicional Noturno</t>
  </si>
  <si>
    <t>Integração RSRF (20%) sobre H. Extra Red. Noturna e Adic Noturno = [Reduzida Noturna + Adic. Noturno]*[Descanso Semanal Remunerado] (20%)</t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</si>
  <si>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</si>
  <si>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MEMÓRIA DE CÁLCULO DO VALE ALIMENTAÇÃO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</si>
  <si>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</si>
  <si>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Maquinista</t>
  </si>
  <si>
    <r>
      <rPr>
        <b/>
        <sz val="14"/>
        <color rgb="FF000000"/>
        <rFont val="Calibri"/>
      </rPr>
      <t xml:space="preserve">REGIME DE TRIBUTAÇÃO: </t>
    </r>
    <r>
      <rPr>
        <b/>
        <sz val="14"/>
        <color rgb="FFFF0000"/>
        <rFont val="Calibri"/>
      </rPr>
      <t>LUCRO PRESUMIDO</t>
    </r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</si>
  <si>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{[(60/52,5) x Nº de horas noturnas diárias] - Nº de horas noturnas diárias}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</si>
  <si>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t>Função</t>
  </si>
  <si>
    <t>Cidade</t>
  </si>
  <si>
    <t>Carga Horária</t>
  </si>
  <si>
    <t>Dias da semana</t>
  </si>
  <si>
    <t>Nº de Postos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</si>
  <si>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</si>
  <si>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</si>
  <si>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</si>
  <si>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</si>
  <si>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Valor unitário mensal do posto</t>
  </si>
  <si>
    <t>Valor total mensal do posto</t>
  </si>
  <si>
    <t>44h semanais</t>
  </si>
  <si>
    <t>terça a domingo</t>
  </si>
  <si>
    <t>TOTAL DE POSTOS:</t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</si>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</sst>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4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8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0"/>
      <name val="Calibri"/>
      <family val="2"/>
      <charset val="1"/>
    </font>
    <font>
      <b/>
      <sz val="8"/>
      <color theme="1"/>
      <name val="Calibri"/>
      <family val="2"/>
      <charset val="1"/>
    </font>
    <font>
      <b/>
      <sz val="14"/>
      <color rgb="FF000000"/>
      <name val="Calibri"/>
    </font>
    <font>
      <b/>
      <sz val="14"/>
      <color rgb="FFFF0000"/>
      <name val="Calibri"/>
    </font>
    <font>
      <b/>
      <sz val="9"/>
      <color rgb="FF000000"/>
      <name val="Calibri"/>
    </font>
    <font>
      <u/>
      <sz val="7.5"/>
      <color rgb="FF000000"/>
      <name val="Calibri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42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36" fillId="0" borderId="0" xfId="0" applyFont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1" fillId="10" borderId="5" xfId="8" applyFont="1" applyFill="1" applyBorder="1" applyAlignment="1">
      <alignment vertical="center" wrapText="1"/>
    </xf>
    <xf numFmtId="44" fontId="31" fillId="10" borderId="7" xfId="8" applyFont="1" applyFill="1" applyBorder="1" applyAlignment="1">
      <alignment vertical="center" wrapText="1"/>
    </xf>
    <xf numFmtId="44" fontId="31" fillId="10" borderId="10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1" fillId="10" borderId="4" xfId="8" applyFont="1" applyFill="1" applyBorder="1" applyAlignment="1">
      <alignment vertical="center" wrapText="1"/>
    </xf>
    <xf numFmtId="44" fontId="31" fillId="10" borderId="9" xfId="8" applyFont="1" applyFill="1" applyBorder="1" applyAlignment="1">
      <alignment vertical="center" wrapText="1"/>
    </xf>
    <xf numFmtId="44" fontId="31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2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14" fontId="38" fillId="2" borderId="2" xfId="0" applyNumberFormat="1" applyFont="1" applyFill="1" applyBorder="1" applyAlignment="1">
      <alignment horizontal="center" vertical="center" wrapText="1"/>
    </xf>
    <xf numFmtId="14" fontId="39" fillId="2" borderId="6" xfId="0" applyNumberFormat="1" applyFont="1" applyFill="1" applyBorder="1" applyAlignment="1">
      <alignment horizontal="left" vertical="center" wrapText="1"/>
    </xf>
    <xf numFmtId="20" fontId="39" fillId="2" borderId="8" xfId="0" applyNumberFormat="1" applyFont="1" applyFill="1" applyBorder="1" applyAlignment="1">
      <alignment horizontal="left" vertical="center" wrapText="1"/>
    </xf>
    <xf numFmtId="20" fontId="3" fillId="0" borderId="0" xfId="0" applyNumberFormat="1" applyFont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4" fontId="2" fillId="18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1" fillId="10" borderId="5" xfId="0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0" fontId="31" fillId="10" borderId="10" xfId="0" applyFont="1" applyFill="1" applyBorder="1" applyAlignment="1">
      <alignment horizontal="center" vertical="center" wrapText="1"/>
    </xf>
    <xf numFmtId="4" fontId="32" fillId="10" borderId="6" xfId="0" applyNumberFormat="1" applyFont="1" applyFill="1" applyBorder="1" applyAlignment="1">
      <alignment horizontal="center" vertical="center" wrapText="1"/>
    </xf>
    <xf numFmtId="4" fontId="32" fillId="10" borderId="8" xfId="0" applyNumberFormat="1" applyFont="1" applyFill="1" applyBorder="1" applyAlignment="1">
      <alignment horizontal="center" vertical="center" wrapText="1"/>
    </xf>
    <xf numFmtId="4" fontId="32" fillId="10" borderId="12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1" fillId="10" borderId="6" xfId="0" applyFont="1" applyFill="1" applyBorder="1" applyAlignment="1">
      <alignment horizontal="center" vertical="center" wrapText="1"/>
    </xf>
    <xf numFmtId="0" fontId="31" fillId="10" borderId="8" xfId="0" applyFont="1" applyFill="1" applyBorder="1" applyAlignment="1">
      <alignment horizontal="center" vertical="center" wrapText="1"/>
    </xf>
    <xf numFmtId="0" fontId="31" fillId="10" borderId="12" xfId="0" applyFont="1" applyFill="1" applyBorder="1" applyAlignment="1">
      <alignment horizontal="center" vertical="center" wrapText="1"/>
    </xf>
    <xf numFmtId="0" fontId="31" fillId="10" borderId="4" xfId="0" applyFont="1" applyFill="1" applyBorder="1" applyAlignment="1">
      <alignment horizontal="center" vertical="center" wrapText="1"/>
    </xf>
    <xf numFmtId="0" fontId="31" fillId="10" borderId="9" xfId="0" applyFont="1" applyFill="1" applyBorder="1" applyAlignment="1">
      <alignment horizontal="center" vertical="center" wrapText="1"/>
    </xf>
    <xf numFmtId="0" fontId="31" fillId="10" borderId="14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17" borderId="1" xfId="0" applyFont="1" applyFill="1" applyBorder="1" applyAlignment="1">
      <alignment horizontal="left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2" fillId="10" borderId="10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0" borderId="8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4" fontId="32" fillId="10" borderId="5" xfId="0" applyNumberFormat="1" applyFont="1" applyFill="1" applyBorder="1" applyAlignment="1">
      <alignment horizontal="center" vertical="center" wrapText="1"/>
    </xf>
    <xf numFmtId="4" fontId="32" fillId="10" borderId="7" xfId="0" applyNumberFormat="1" applyFont="1" applyFill="1" applyBorder="1" applyAlignment="1">
      <alignment horizontal="center" vertical="center" wrapText="1"/>
    </xf>
    <xf numFmtId="4" fontId="32" fillId="10" borderId="10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9" fillId="0" borderId="5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35" fillId="13" borderId="5" xfId="4" applyFont="1" applyFill="1" applyBorder="1" applyAlignment="1">
      <alignment horizontal="center"/>
    </xf>
    <xf numFmtId="0" fontId="35" fillId="13" borderId="7" xfId="4" applyFont="1" applyFill="1" applyBorder="1" applyAlignment="1">
      <alignment horizontal="center"/>
    </xf>
    <xf numFmtId="0" fontId="35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30" zoomScaleNormal="130" zoomScaleSheetLayoutView="130" zoomScalePageLayoutView="130" workbookViewId="0">
      <selection activeCell="I46" sqref="I46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25">
      <c r="A2" s="155" t="s">
        <v>1</v>
      </c>
      <c r="B2" s="155"/>
      <c r="C2" s="156" t="s">
        <v>2</v>
      </c>
      <c r="D2" s="156"/>
      <c r="E2" s="157" t="s">
        <v>3</v>
      </c>
      <c r="F2" s="157"/>
      <c r="G2" s="157"/>
      <c r="H2" s="157"/>
      <c r="I2" s="157"/>
    </row>
    <row r="3" spans="1:11" ht="11.25" customHeight="1" x14ac:dyDescent="0.25">
      <c r="A3" s="155" t="s">
        <v>4</v>
      </c>
      <c r="B3" s="155"/>
      <c r="C3" s="5" t="s">
        <v>5</v>
      </c>
      <c r="D3" s="6"/>
      <c r="E3" s="7" t="s">
        <v>6</v>
      </c>
      <c r="F3" s="112">
        <v>46092</v>
      </c>
      <c r="G3" s="113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6" t="s">
        <v>7</v>
      </c>
      <c r="B5" s="146"/>
      <c r="C5" s="146"/>
      <c r="D5" s="158" t="s">
        <v>8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44</v>
      </c>
      <c r="E6" s="146"/>
      <c r="F6" s="146"/>
      <c r="G6" s="159"/>
      <c r="H6" s="159"/>
      <c r="I6" s="160"/>
    </row>
    <row r="7" spans="1:11" ht="22.5" customHeight="1" x14ac:dyDescent="0.25">
      <c r="A7" s="146" t="s">
        <v>9</v>
      </c>
      <c r="B7" s="146"/>
      <c r="C7" s="146"/>
      <c r="D7" s="124" t="s">
        <v>10</v>
      </c>
      <c r="E7" s="124"/>
      <c r="F7" s="124"/>
      <c r="G7" s="147" t="s">
        <v>11</v>
      </c>
      <c r="H7" s="147"/>
      <c r="I7" s="148" t="s">
        <v>12</v>
      </c>
    </row>
    <row r="8" spans="1:11" ht="22.5" customHeight="1" x14ac:dyDescent="0.25">
      <c r="A8" s="146" t="s">
        <v>13</v>
      </c>
      <c r="B8" s="146"/>
      <c r="C8" s="146"/>
      <c r="D8" s="124" t="s">
        <v>14</v>
      </c>
      <c r="E8" s="124"/>
      <c r="F8" s="124"/>
      <c r="G8" s="147"/>
      <c r="H8" s="147"/>
      <c r="I8" s="148"/>
    </row>
    <row r="9" spans="1:11" ht="24.75" customHeight="1" x14ac:dyDescent="0.25">
      <c r="A9" s="146" t="s">
        <v>15</v>
      </c>
      <c r="B9" s="146"/>
      <c r="C9" s="146"/>
      <c r="D9" s="146" t="s">
        <v>16</v>
      </c>
      <c r="E9" s="146"/>
      <c r="F9" s="146"/>
      <c r="G9" s="147" t="s">
        <v>17</v>
      </c>
      <c r="H9" s="147"/>
      <c r="I9" s="9">
        <v>0.3</v>
      </c>
    </row>
    <row r="10" spans="1:11" ht="32.25" customHeight="1" x14ac:dyDescent="0.25">
      <c r="A10" s="154" t="s">
        <v>18</v>
      </c>
      <c r="B10" s="154"/>
      <c r="C10" s="154"/>
      <c r="D10" s="154"/>
      <c r="E10" s="154"/>
      <c r="F10" s="154"/>
      <c r="G10" s="8" t="s">
        <v>19</v>
      </c>
      <c r="H10" s="10">
        <v>220</v>
      </c>
      <c r="I10" s="11">
        <v>4443.8999999999996</v>
      </c>
    </row>
    <row r="11" spans="1:11" ht="11.25" customHeight="1" x14ac:dyDescent="0.25">
      <c r="A11" s="149" t="s">
        <v>20</v>
      </c>
      <c r="B11" s="149"/>
      <c r="C11" s="149"/>
      <c r="D11" s="149"/>
      <c r="E11" s="149"/>
      <c r="F11" s="149"/>
      <c r="G11" s="10" t="str">
        <f>D9</f>
        <v>Porto Alegre</v>
      </c>
      <c r="H11" s="10" t="s">
        <v>21</v>
      </c>
      <c r="I11" s="13">
        <v>0.05</v>
      </c>
    </row>
    <row r="12" spans="1:11" ht="15" customHeight="1" x14ac:dyDescent="0.25">
      <c r="A12" s="149" t="s">
        <v>22</v>
      </c>
      <c r="B12" s="149"/>
      <c r="C12" s="149"/>
      <c r="D12" s="149"/>
      <c r="E12" s="149"/>
      <c r="F12" s="149"/>
      <c r="G12" s="150" t="s">
        <v>14</v>
      </c>
      <c r="H12" s="10" t="s">
        <v>23</v>
      </c>
      <c r="I12" s="11">
        <v>5.3</v>
      </c>
    </row>
    <row r="13" spans="1:11" x14ac:dyDescent="0.25">
      <c r="A13" s="149"/>
      <c r="B13" s="149"/>
      <c r="C13" s="149"/>
      <c r="D13" s="149"/>
      <c r="E13" s="149"/>
      <c r="F13" s="149"/>
      <c r="G13" s="150"/>
      <c r="H13" s="10" t="s">
        <v>24</v>
      </c>
      <c r="I13" s="14">
        <v>26</v>
      </c>
    </row>
    <row r="14" spans="1:11" x14ac:dyDescent="0.25">
      <c r="A14" s="149"/>
      <c r="B14" s="149"/>
      <c r="C14" s="149"/>
      <c r="D14" s="149"/>
      <c r="E14" s="149"/>
      <c r="F14" s="149"/>
      <c r="G14" s="150"/>
      <c r="H14" s="10" t="s">
        <v>25</v>
      </c>
      <c r="I14" s="9">
        <v>0.06</v>
      </c>
    </row>
    <row r="15" spans="1:11" ht="11.25" customHeight="1" x14ac:dyDescent="0.25">
      <c r="A15" s="149" t="s">
        <v>26</v>
      </c>
      <c r="B15" s="149"/>
      <c r="C15" s="149"/>
      <c r="D15" s="149"/>
      <c r="E15" s="149"/>
      <c r="F15" s="149"/>
      <c r="G15" s="150" t="s">
        <v>14</v>
      </c>
      <c r="H15" s="10" t="s">
        <v>23</v>
      </c>
      <c r="I15" s="11">
        <v>0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24</v>
      </c>
      <c r="I16" s="14">
        <v>0</v>
      </c>
    </row>
    <row r="17" spans="1:9" x14ac:dyDescent="0.25">
      <c r="A17" s="149"/>
      <c r="B17" s="149"/>
      <c r="C17" s="149"/>
      <c r="D17" s="149"/>
      <c r="E17" s="149"/>
      <c r="F17" s="149"/>
      <c r="G17" s="150"/>
      <c r="H17" s="10" t="s">
        <v>25</v>
      </c>
      <c r="I17" s="9">
        <v>0</v>
      </c>
    </row>
    <row r="18" spans="1:9" ht="11.25" customHeight="1" x14ac:dyDescent="0.25">
      <c r="A18" s="149" t="s">
        <v>27</v>
      </c>
      <c r="B18" s="149"/>
      <c r="C18" s="149"/>
      <c r="D18" s="149"/>
      <c r="E18" s="149"/>
      <c r="F18" s="149"/>
      <c r="G18" s="150" t="s">
        <v>14</v>
      </c>
      <c r="H18" s="10" t="s">
        <v>23</v>
      </c>
      <c r="I18" s="11">
        <v>0</v>
      </c>
    </row>
    <row r="19" spans="1:9" x14ac:dyDescent="0.25">
      <c r="A19" s="149"/>
      <c r="B19" s="149"/>
      <c r="C19" s="149"/>
      <c r="D19" s="149"/>
      <c r="E19" s="149"/>
      <c r="F19" s="149"/>
      <c r="G19" s="150"/>
      <c r="H19" s="10" t="s">
        <v>24</v>
      </c>
      <c r="I19" s="14">
        <v>0</v>
      </c>
    </row>
    <row r="20" spans="1:9" x14ac:dyDescent="0.25">
      <c r="A20" s="151"/>
      <c r="B20" s="151"/>
      <c r="C20" s="151"/>
      <c r="D20" s="151"/>
      <c r="E20" s="151"/>
      <c r="F20" s="151"/>
      <c r="G20" s="150"/>
      <c r="H20" s="10" t="s">
        <v>25</v>
      </c>
      <c r="I20" s="9">
        <v>0</v>
      </c>
    </row>
    <row r="21" spans="1:9" ht="14.25" customHeight="1" x14ac:dyDescent="0.25">
      <c r="A21" s="125" t="s">
        <v>28</v>
      </c>
      <c r="B21" s="125"/>
      <c r="C21" s="125"/>
      <c r="D21" s="125"/>
      <c r="E21" s="125"/>
      <c r="F21" s="125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25" t="s">
        <v>31</v>
      </c>
      <c r="B22" s="125"/>
      <c r="C22" s="125"/>
      <c r="D22" s="125"/>
      <c r="E22" s="125"/>
      <c r="F22" s="125"/>
      <c r="G22" s="10" t="s">
        <v>14</v>
      </c>
      <c r="H22" s="15" t="s">
        <v>29</v>
      </c>
      <c r="I22" s="105" t="s">
        <v>30</v>
      </c>
    </row>
    <row r="23" spans="1:9" ht="14.25" customHeight="1" x14ac:dyDescent="0.25">
      <c r="A23" s="149" t="s">
        <v>32</v>
      </c>
      <c r="B23" s="152"/>
      <c r="C23" s="152"/>
      <c r="D23" s="152"/>
      <c r="E23" s="152"/>
      <c r="F23" s="153"/>
      <c r="G23" s="104" t="s">
        <v>14</v>
      </c>
      <c r="H23" s="15" t="s">
        <v>29</v>
      </c>
      <c r="I23" s="16" t="s">
        <v>30</v>
      </c>
    </row>
    <row r="24" spans="1:9" ht="22.5" customHeight="1" x14ac:dyDescent="0.25">
      <c r="A24" s="142" t="s">
        <v>33</v>
      </c>
      <c r="B24" s="142"/>
      <c r="C24" s="142"/>
      <c r="D24" s="142"/>
      <c r="E24" s="142"/>
      <c r="F24" s="142"/>
      <c r="G24" s="15"/>
      <c r="H24" s="15" t="s">
        <v>34</v>
      </c>
      <c r="I24" s="18" t="s">
        <v>30</v>
      </c>
    </row>
    <row r="25" spans="1:9" ht="34.5" customHeight="1" x14ac:dyDescent="0.25">
      <c r="A25" s="125" t="s">
        <v>35</v>
      </c>
      <c r="B25" s="125"/>
      <c r="C25" s="125"/>
      <c r="D25" s="125"/>
      <c r="E25" s="125"/>
      <c r="F25" s="125"/>
      <c r="G25" s="10"/>
      <c r="H25" s="10" t="s">
        <v>36</v>
      </c>
      <c r="I25" s="11" t="s">
        <v>30</v>
      </c>
    </row>
    <row r="26" spans="1:9" ht="15" customHeight="1" x14ac:dyDescent="0.25">
      <c r="A26" s="125" t="s">
        <v>37</v>
      </c>
      <c r="B26" s="125"/>
      <c r="C26" s="125"/>
      <c r="D26" s="125"/>
      <c r="E26" s="125"/>
      <c r="F26" s="125"/>
      <c r="G26" s="15"/>
      <c r="H26" s="19" t="s">
        <v>38</v>
      </c>
      <c r="I26" s="20">
        <v>8</v>
      </c>
    </row>
    <row r="27" spans="1:9" ht="15" customHeight="1" x14ac:dyDescent="0.25">
      <c r="A27" s="125"/>
      <c r="B27" s="125"/>
      <c r="C27" s="125"/>
      <c r="D27" s="125"/>
      <c r="E27" s="125"/>
      <c r="F27" s="125"/>
      <c r="G27" s="15"/>
      <c r="H27" s="21" t="s">
        <v>39</v>
      </c>
      <c r="I27" s="9">
        <v>1</v>
      </c>
    </row>
    <row r="28" spans="1:9" ht="26.25" customHeight="1" x14ac:dyDescent="0.25">
      <c r="A28" s="125" t="s">
        <v>40</v>
      </c>
      <c r="B28" s="125"/>
      <c r="C28" s="125"/>
      <c r="D28" s="125"/>
      <c r="E28" s="125"/>
      <c r="F28" s="125"/>
      <c r="G28" s="15"/>
      <c r="H28" s="10" t="s">
        <v>38</v>
      </c>
      <c r="I28" s="20" t="s">
        <v>30</v>
      </c>
    </row>
    <row r="29" spans="1:9" ht="35.25" customHeight="1" x14ac:dyDescent="0.25">
      <c r="A29" s="125" t="s">
        <v>41</v>
      </c>
      <c r="B29" s="125"/>
      <c r="C29" s="125"/>
      <c r="D29" s="125"/>
      <c r="E29" s="125"/>
      <c r="F29" s="125"/>
      <c r="G29" s="10"/>
      <c r="H29" s="8" t="s">
        <v>34</v>
      </c>
      <c r="I29" s="9">
        <v>0.1</v>
      </c>
    </row>
    <row r="30" spans="1:9" ht="1.1499999999999999" customHeight="1" x14ac:dyDescent="0.25">
      <c r="A30" s="87"/>
      <c r="B30" s="87"/>
      <c r="C30" s="87"/>
      <c r="D30" s="87"/>
      <c r="E30" s="87"/>
      <c r="F30" s="87"/>
      <c r="G30" s="87"/>
      <c r="H30" s="87"/>
      <c r="I30" s="88" t="s">
        <v>30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0.5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21.75" customHeight="1" x14ac:dyDescent="0.25">
      <c r="A36" s="140" t="s">
        <v>42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2" t="s">
        <v>43</v>
      </c>
      <c r="B37" s="141" t="s">
        <v>44</v>
      </c>
      <c r="C37" s="141"/>
      <c r="D37" s="141"/>
      <c r="E37" s="141"/>
      <c r="F37" s="141"/>
      <c r="G37" s="141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24" t="s">
        <v>47</v>
      </c>
      <c r="C38" s="124"/>
      <c r="D38" s="124"/>
      <c r="E38" s="124"/>
      <c r="F38" s="124"/>
      <c r="G38" s="124"/>
      <c r="H38" s="23">
        <f t="shared" ref="H38:H45" si="0">I38/$I$46</f>
        <v>0.70995928904776084</v>
      </c>
      <c r="I38" s="24">
        <f>IF(D6="12x36",I10,I10/H10*I5)</f>
        <v>4443.8999999999996</v>
      </c>
    </row>
    <row r="39" spans="1:10" ht="15" customHeight="1" x14ac:dyDescent="0.25">
      <c r="A39" s="17">
        <f t="shared" ref="A39:A45" si="1">A38+1</f>
        <v>2</v>
      </c>
      <c r="B39" s="124" t="s">
        <v>48</v>
      </c>
      <c r="C39" s="124"/>
      <c r="D39" s="124"/>
      <c r="E39" s="124"/>
      <c r="F39" s="124"/>
      <c r="G39" s="124"/>
      <c r="H39" s="23">
        <f t="shared" si="0"/>
        <v>0.21298778671432825</v>
      </c>
      <c r="I39" s="24">
        <f>IF(I9=30%,I38*I9,0)</f>
        <v>1333.1699999999998</v>
      </c>
    </row>
    <row r="40" spans="1:10" ht="15" customHeight="1" x14ac:dyDescent="0.25">
      <c r="A40" s="17">
        <f t="shared" si="1"/>
        <v>3</v>
      </c>
      <c r="B40" s="124" t="s">
        <v>49</v>
      </c>
      <c r="C40" s="124"/>
      <c r="D40" s="124"/>
      <c r="E40" s="124"/>
      <c r="F40" s="124"/>
      <c r="G40" s="12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4" t="s">
        <v>50</v>
      </c>
      <c r="C41" s="124"/>
      <c r="D41" s="124"/>
      <c r="E41" s="124"/>
      <c r="F41" s="124"/>
      <c r="G41" s="12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4" t="s">
        <v>51</v>
      </c>
      <c r="C42" s="124"/>
      <c r="D42" s="124"/>
      <c r="E42" s="124"/>
      <c r="F42" s="124"/>
      <c r="G42" s="12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4" t="s">
        <v>52</v>
      </c>
      <c r="C43" s="124"/>
      <c r="D43" s="124"/>
      <c r="E43" s="124"/>
      <c r="F43" s="124"/>
      <c r="G43" s="12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4" t="s">
        <v>53</v>
      </c>
      <c r="C44" s="124"/>
      <c r="D44" s="124"/>
      <c r="E44" s="124"/>
      <c r="F44" s="124"/>
      <c r="G44" s="124"/>
      <c r="H44" s="23">
        <f t="shared" si="0"/>
        <v>6.7123423691788295E-2</v>
      </c>
      <c r="I44" s="24">
        <f>IF(I26="Não aplicável",0,(I38+I39+I40+I41+I42+I43)/I5*I26*(1+I27))</f>
        <v>420.15054545454541</v>
      </c>
    </row>
    <row r="45" spans="1:10" ht="23.25" customHeight="1" x14ac:dyDescent="0.25">
      <c r="A45" s="17">
        <f t="shared" si="1"/>
        <v>8</v>
      </c>
      <c r="B45" s="124" t="s">
        <v>54</v>
      </c>
      <c r="C45" s="124"/>
      <c r="D45" s="124"/>
      <c r="E45" s="124"/>
      <c r="F45" s="124"/>
      <c r="G45" s="124"/>
      <c r="H45" s="23">
        <f t="shared" si="0"/>
        <v>9.92950054612253E-3</v>
      </c>
      <c r="I45" s="24">
        <f>IF(I26="Não aplicável",0,I26/I13*5*(I10/H10*(1+I27)))</f>
        <v>62.152447552447555</v>
      </c>
    </row>
    <row r="46" spans="1:10" s="28" customFormat="1" ht="15" customHeight="1" x14ac:dyDescent="0.25">
      <c r="A46" s="145" t="s">
        <v>55</v>
      </c>
      <c r="B46" s="145"/>
      <c r="C46" s="145"/>
      <c r="D46" s="145"/>
      <c r="E46" s="145"/>
      <c r="F46" s="145"/>
      <c r="G46" s="145"/>
      <c r="H46" s="25">
        <f>SUM(H38:H45)</f>
        <v>0.99999999999999989</v>
      </c>
      <c r="I46" s="26">
        <f>SUM(I38:I45)</f>
        <v>6259.3729930069931</v>
      </c>
      <c r="J46" s="27"/>
    </row>
    <row r="47" spans="1:10" s="28" customFormat="1" ht="1.1499999999999999" customHeight="1" x14ac:dyDescent="0.25">
      <c r="A47" s="161"/>
      <c r="B47" s="161"/>
      <c r="C47" s="161"/>
      <c r="D47" s="161"/>
      <c r="E47" s="161"/>
      <c r="F47" s="161"/>
      <c r="G47" s="161"/>
      <c r="H47" s="161"/>
      <c r="I47" s="161"/>
      <c r="J47" s="27"/>
    </row>
    <row r="48" spans="1:10" s="28" customFormat="1" ht="1.1499999999999999" customHeight="1" x14ac:dyDescent="0.25">
      <c r="A48" s="162"/>
      <c r="B48" s="162"/>
      <c r="C48" s="162"/>
      <c r="D48" s="162"/>
      <c r="E48" s="162"/>
      <c r="F48" s="162"/>
      <c r="G48" s="162"/>
      <c r="H48" s="162"/>
      <c r="I48" s="162"/>
      <c r="J48" s="27"/>
    </row>
    <row r="49" spans="1:10" s="28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27"/>
    </row>
    <row r="50" spans="1:10" s="28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27"/>
    </row>
    <row r="51" spans="1:10" s="28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27"/>
    </row>
    <row r="52" spans="1:10" s="28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27"/>
    </row>
    <row r="53" spans="1:10" s="28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27"/>
    </row>
    <row r="54" spans="1:10" s="28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27"/>
    </row>
    <row r="55" spans="1:10" s="28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27"/>
    </row>
    <row r="56" spans="1:10" ht="1.1499999999999999" customHeight="1" x14ac:dyDescent="0.25">
      <c r="A56" s="163"/>
      <c r="B56" s="163"/>
      <c r="C56" s="163"/>
      <c r="D56" s="163"/>
      <c r="E56" s="163"/>
      <c r="F56" s="163"/>
      <c r="G56" s="163"/>
      <c r="H56" s="163"/>
      <c r="I56" s="163"/>
    </row>
    <row r="57" spans="1:10" ht="33.75" customHeight="1" x14ac:dyDescent="0.25">
      <c r="A57" s="22" t="s">
        <v>56</v>
      </c>
      <c r="B57" s="141" t="s">
        <v>57</v>
      </c>
      <c r="C57" s="141"/>
      <c r="D57" s="141"/>
      <c r="E57" s="141"/>
      <c r="F57" s="141"/>
      <c r="G57" s="141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24" t="s">
        <v>58</v>
      </c>
      <c r="C58" s="124"/>
      <c r="D58" s="124"/>
      <c r="E58" s="124"/>
      <c r="F58" s="124"/>
      <c r="G58" s="124"/>
      <c r="H58" s="23">
        <v>0.2</v>
      </c>
      <c r="I58" s="24">
        <f t="shared" ref="I58:I65" si="2">$I$46*H58</f>
        <v>1251.8745986013987</v>
      </c>
    </row>
    <row r="59" spans="1:10" ht="15" customHeight="1" x14ac:dyDescent="0.25">
      <c r="A59" s="17">
        <v>2</v>
      </c>
      <c r="B59" s="124" t="s">
        <v>59</v>
      </c>
      <c r="C59" s="124"/>
      <c r="D59" s="124"/>
      <c r="E59" s="124"/>
      <c r="F59" s="124"/>
      <c r="G59" s="124"/>
      <c r="H59" s="23">
        <v>1.4999999999999999E-2</v>
      </c>
      <c r="I59" s="24">
        <f t="shared" si="2"/>
        <v>93.890594895104897</v>
      </c>
    </row>
    <row r="60" spans="1:10" ht="15" customHeight="1" x14ac:dyDescent="0.25">
      <c r="A60" s="17">
        <v>3</v>
      </c>
      <c r="B60" s="124" t="s">
        <v>60</v>
      </c>
      <c r="C60" s="124"/>
      <c r="D60" s="124"/>
      <c r="E60" s="124"/>
      <c r="F60" s="124"/>
      <c r="G60" s="124"/>
      <c r="H60" s="23">
        <v>0.01</v>
      </c>
      <c r="I60" s="24">
        <f t="shared" si="2"/>
        <v>62.593729930069934</v>
      </c>
    </row>
    <row r="61" spans="1:10" ht="15" customHeight="1" x14ac:dyDescent="0.25">
      <c r="A61" s="17">
        <v>4</v>
      </c>
      <c r="B61" s="124" t="s">
        <v>61</v>
      </c>
      <c r="C61" s="124"/>
      <c r="D61" s="124"/>
      <c r="E61" s="124"/>
      <c r="F61" s="124"/>
      <c r="G61" s="124"/>
      <c r="H61" s="23">
        <v>2E-3</v>
      </c>
      <c r="I61" s="24">
        <f t="shared" si="2"/>
        <v>12.518745986013986</v>
      </c>
    </row>
    <row r="62" spans="1:10" ht="15" customHeight="1" x14ac:dyDescent="0.25">
      <c r="A62" s="17">
        <v>5</v>
      </c>
      <c r="B62" s="124" t="s">
        <v>62</v>
      </c>
      <c r="C62" s="124"/>
      <c r="D62" s="124"/>
      <c r="E62" s="124"/>
      <c r="F62" s="124"/>
      <c r="G62" s="124"/>
      <c r="H62" s="23">
        <v>2.5000000000000001E-2</v>
      </c>
      <c r="I62" s="24">
        <f t="shared" si="2"/>
        <v>156.48432482517484</v>
      </c>
    </row>
    <row r="63" spans="1:10" ht="15" customHeight="1" x14ac:dyDescent="0.25">
      <c r="A63" s="17">
        <v>6</v>
      </c>
      <c r="B63" s="124" t="s">
        <v>63</v>
      </c>
      <c r="C63" s="124"/>
      <c r="D63" s="124"/>
      <c r="E63" s="124"/>
      <c r="F63" s="124"/>
      <c r="G63" s="124"/>
      <c r="H63" s="23">
        <v>0.08</v>
      </c>
      <c r="I63" s="24">
        <f t="shared" si="2"/>
        <v>500.74983944055947</v>
      </c>
    </row>
    <row r="64" spans="1:10" ht="15" customHeight="1" x14ac:dyDescent="0.25">
      <c r="A64" s="17">
        <v>7</v>
      </c>
      <c r="B64" s="124" t="s">
        <v>64</v>
      </c>
      <c r="C64" s="124"/>
      <c r="D64" s="124"/>
      <c r="E64" s="124"/>
      <c r="F64" s="124"/>
      <c r="G64" s="124"/>
      <c r="H64" s="23">
        <v>0.03</v>
      </c>
      <c r="I64" s="24">
        <f t="shared" si="2"/>
        <v>187.78118979020979</v>
      </c>
    </row>
    <row r="65" spans="1:10" ht="15" customHeight="1" x14ac:dyDescent="0.25">
      <c r="A65" s="17">
        <v>8</v>
      </c>
      <c r="B65" s="124" t="s">
        <v>65</v>
      </c>
      <c r="C65" s="124"/>
      <c r="D65" s="124"/>
      <c r="E65" s="124"/>
      <c r="F65" s="124"/>
      <c r="G65" s="124"/>
      <c r="H65" s="23">
        <v>6.0000000000000001E-3</v>
      </c>
      <c r="I65" s="24">
        <f t="shared" si="2"/>
        <v>37.556237958041962</v>
      </c>
    </row>
    <row r="66" spans="1:10" s="28" customFormat="1" ht="15" customHeight="1" x14ac:dyDescent="0.25">
      <c r="A66" s="145" t="s">
        <v>66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2303.4492614265732</v>
      </c>
      <c r="J66" s="27"/>
    </row>
    <row r="67" spans="1:10" ht="15" customHeight="1" x14ac:dyDescent="0.25">
      <c r="A67" s="164" t="s">
        <v>67</v>
      </c>
      <c r="B67" s="164"/>
      <c r="C67" s="164"/>
      <c r="D67" s="164"/>
      <c r="E67" s="164"/>
      <c r="F67" s="164"/>
      <c r="G67" s="164"/>
      <c r="H67" s="164"/>
      <c r="I67" s="164"/>
    </row>
    <row r="68" spans="1:10" ht="30.75" customHeight="1" x14ac:dyDescent="0.25">
      <c r="A68" s="165" t="s">
        <v>68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69</v>
      </c>
      <c r="B69" s="141" t="s">
        <v>70</v>
      </c>
      <c r="C69" s="141"/>
      <c r="D69" s="141"/>
      <c r="E69" s="141"/>
      <c r="F69" s="141"/>
      <c r="G69" s="141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24" t="s">
        <v>71</v>
      </c>
      <c r="C70" s="124"/>
      <c r="D70" s="124"/>
      <c r="E70" s="124"/>
      <c r="F70" s="124"/>
      <c r="G70" s="124"/>
      <c r="H70" s="23">
        <v>0.119314</v>
      </c>
      <c r="I70" s="24">
        <f t="shared" ref="I70:I77" si="3">$I$46*H70</f>
        <v>746.83082928763633</v>
      </c>
    </row>
    <row r="71" spans="1:10" ht="15" customHeight="1" x14ac:dyDescent="0.25">
      <c r="A71" s="17">
        <v>2</v>
      </c>
      <c r="B71" s="124" t="s">
        <v>72</v>
      </c>
      <c r="C71" s="124"/>
      <c r="D71" s="124"/>
      <c r="E71" s="124"/>
      <c r="F71" s="124"/>
      <c r="G71" s="124"/>
      <c r="H71" s="23">
        <v>2.0479000000000001E-2</v>
      </c>
      <c r="I71" s="24">
        <f t="shared" si="3"/>
        <v>128.18569952379022</v>
      </c>
    </row>
    <row r="72" spans="1:10" ht="15" customHeight="1" x14ac:dyDescent="0.25">
      <c r="A72" s="17">
        <v>3</v>
      </c>
      <c r="B72" s="124" t="s">
        <v>73</v>
      </c>
      <c r="C72" s="124"/>
      <c r="D72" s="124"/>
      <c r="E72" s="124"/>
      <c r="F72" s="124"/>
      <c r="G72" s="124"/>
      <c r="H72" s="23">
        <v>1.2123E-2</v>
      </c>
      <c r="I72" s="24">
        <f t="shared" si="3"/>
        <v>75.882378794223783</v>
      </c>
    </row>
    <row r="73" spans="1:10" ht="15" customHeight="1" x14ac:dyDescent="0.25">
      <c r="A73" s="17">
        <v>4</v>
      </c>
      <c r="B73" s="124" t="s">
        <v>74</v>
      </c>
      <c r="C73" s="124"/>
      <c r="D73" s="124"/>
      <c r="E73" s="124"/>
      <c r="F73" s="124"/>
      <c r="G73" s="124"/>
      <c r="H73" s="23">
        <v>1.1436E-2</v>
      </c>
      <c r="I73" s="24">
        <f t="shared" si="3"/>
        <v>71.582189548027969</v>
      </c>
    </row>
    <row r="74" spans="1:10" ht="15" customHeight="1" x14ac:dyDescent="0.25">
      <c r="A74" s="17">
        <v>5</v>
      </c>
      <c r="B74" s="124" t="s">
        <v>75</v>
      </c>
      <c r="C74" s="124"/>
      <c r="D74" s="124"/>
      <c r="E74" s="124"/>
      <c r="F74" s="124"/>
      <c r="G74" s="124"/>
      <c r="H74" s="23">
        <v>1.74E-4</v>
      </c>
      <c r="I74" s="24">
        <f t="shared" si="3"/>
        <v>1.0891309007832168</v>
      </c>
    </row>
    <row r="75" spans="1:10" ht="15" customHeight="1" x14ac:dyDescent="0.25">
      <c r="A75" s="17">
        <v>6</v>
      </c>
      <c r="B75" s="124" t="s">
        <v>76</v>
      </c>
      <c r="C75" s="124"/>
      <c r="D75" s="124"/>
      <c r="E75" s="124"/>
      <c r="F75" s="124"/>
      <c r="G75" s="124"/>
      <c r="H75" s="23">
        <v>4.4200000000000001E-4</v>
      </c>
      <c r="I75" s="24">
        <f t="shared" si="3"/>
        <v>2.7666428629090909</v>
      </c>
    </row>
    <row r="76" spans="1:10" ht="15" customHeight="1" x14ac:dyDescent="0.25">
      <c r="A76" s="17">
        <v>7</v>
      </c>
      <c r="B76" s="124" t="s">
        <v>77</v>
      </c>
      <c r="C76" s="124"/>
      <c r="D76" s="124"/>
      <c r="E76" s="124"/>
      <c r="F76" s="124"/>
      <c r="G76" s="124"/>
      <c r="H76" s="23">
        <v>1.85E-4</v>
      </c>
      <c r="I76" s="24">
        <f t="shared" si="3"/>
        <v>1.1579840037062936</v>
      </c>
    </row>
    <row r="77" spans="1:10" ht="15" customHeight="1" x14ac:dyDescent="0.25">
      <c r="A77" s="17">
        <v>8</v>
      </c>
      <c r="B77" s="124" t="s">
        <v>78</v>
      </c>
      <c r="C77" s="124"/>
      <c r="D77" s="124"/>
      <c r="E77" s="124"/>
      <c r="F77" s="124"/>
      <c r="G77" s="124"/>
      <c r="H77" s="23">
        <v>9.0789999999999996E-2</v>
      </c>
      <c r="I77" s="24">
        <f t="shared" si="3"/>
        <v>568.28847403510485</v>
      </c>
    </row>
    <row r="78" spans="1:10" s="28" customFormat="1" ht="15" customHeight="1" x14ac:dyDescent="0.25">
      <c r="A78" s="145" t="s">
        <v>79</v>
      </c>
      <c r="B78" s="145"/>
      <c r="C78" s="145"/>
      <c r="D78" s="145"/>
      <c r="E78" s="145"/>
      <c r="F78" s="145"/>
      <c r="G78" s="145"/>
      <c r="H78" s="25">
        <f>SUM(H70:H77)</f>
        <v>0.25494299999999998</v>
      </c>
      <c r="I78" s="26">
        <f>SUM(I70:I77)</f>
        <v>1595.7833289561818</v>
      </c>
      <c r="J78" s="27"/>
    </row>
    <row r="79" spans="1:10" ht="11.25" customHeight="1" x14ac:dyDescent="0.25">
      <c r="A79" s="29" t="s">
        <v>80</v>
      </c>
      <c r="B79" s="166" t="s">
        <v>81</v>
      </c>
      <c r="C79" s="166"/>
      <c r="D79" s="166"/>
      <c r="E79" s="166"/>
      <c r="F79" s="166"/>
      <c r="G79" s="166"/>
      <c r="H79" s="166"/>
      <c r="I79" s="166"/>
    </row>
    <row r="80" spans="1:10" ht="15" customHeight="1" x14ac:dyDescent="0.25">
      <c r="A80" s="29" t="s">
        <v>82</v>
      </c>
      <c r="B80" s="167" t="s">
        <v>83</v>
      </c>
      <c r="C80" s="167"/>
      <c r="D80" s="167"/>
      <c r="E80" s="167"/>
      <c r="F80" s="167"/>
      <c r="G80" s="167"/>
      <c r="H80" s="167"/>
      <c r="I80" s="167"/>
    </row>
    <row r="81" spans="1:11" ht="33.75" customHeight="1" x14ac:dyDescent="0.25">
      <c r="A81" s="22" t="s">
        <v>84</v>
      </c>
      <c r="B81" s="141" t="s">
        <v>85</v>
      </c>
      <c r="C81" s="141"/>
      <c r="D81" s="141"/>
      <c r="E81" s="141"/>
      <c r="F81" s="141"/>
      <c r="G81" s="141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24" t="s">
        <v>86</v>
      </c>
      <c r="C82" s="124"/>
      <c r="D82" s="124"/>
      <c r="E82" s="124"/>
      <c r="F82" s="124"/>
      <c r="G82" s="124"/>
      <c r="H82" s="23">
        <v>4.8321000000000003E-2</v>
      </c>
      <c r="I82" s="24">
        <f>$I$46*H82</f>
        <v>302.45916239509091</v>
      </c>
    </row>
    <row r="83" spans="1:11" ht="15" customHeight="1" x14ac:dyDescent="0.25">
      <c r="A83" s="17">
        <v>2</v>
      </c>
      <c r="B83" s="124" t="s">
        <v>87</v>
      </c>
      <c r="C83" s="124"/>
      <c r="D83" s="124"/>
      <c r="E83" s="124"/>
      <c r="F83" s="124"/>
      <c r="G83" s="124"/>
      <c r="H83" s="23">
        <v>3.5109999999999998E-3</v>
      </c>
      <c r="I83" s="24">
        <f>$I$46*H83</f>
        <v>21.976658578447552</v>
      </c>
    </row>
    <row r="84" spans="1:11" ht="15" customHeight="1" x14ac:dyDescent="0.25">
      <c r="A84" s="17">
        <v>3</v>
      </c>
      <c r="B84" s="124" t="s">
        <v>88</v>
      </c>
      <c r="C84" s="124"/>
      <c r="D84" s="124"/>
      <c r="E84" s="124"/>
      <c r="F84" s="124"/>
      <c r="G84" s="124"/>
      <c r="H84" s="23">
        <v>1.9328000000000001E-2</v>
      </c>
      <c r="I84" s="24">
        <f>$I$46*H84</f>
        <v>120.98116120883917</v>
      </c>
    </row>
    <row r="85" spans="1:11" s="28" customFormat="1" ht="15" customHeight="1" x14ac:dyDescent="0.25">
      <c r="A85" s="145" t="s">
        <v>89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445.41698218237764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41" t="s">
        <v>91</v>
      </c>
      <c r="C87" s="141"/>
      <c r="D87" s="141"/>
      <c r="E87" s="141"/>
      <c r="F87" s="141"/>
      <c r="G87" s="141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24" t="s">
        <v>92</v>
      </c>
      <c r="C88" s="124"/>
      <c r="D88" s="124"/>
      <c r="E88" s="124"/>
      <c r="F88" s="124"/>
      <c r="G88" s="124"/>
      <c r="H88" s="23">
        <f>(H66*H78)</f>
        <v>9.3819024000000015E-2</v>
      </c>
      <c r="I88" s="24">
        <f>$I$46*H88</f>
        <v>587.24826505587498</v>
      </c>
    </row>
    <row r="89" spans="1:11" s="28" customFormat="1" ht="15" customHeight="1" x14ac:dyDescent="0.25">
      <c r="A89" s="145" t="s">
        <v>93</v>
      </c>
      <c r="B89" s="145"/>
      <c r="C89" s="145"/>
      <c r="D89" s="145"/>
      <c r="E89" s="145"/>
      <c r="F89" s="145"/>
      <c r="G89" s="145"/>
      <c r="H89" s="25">
        <f>SUM(H88:H88)</f>
        <v>9.3819024000000015E-2</v>
      </c>
      <c r="I89" s="26">
        <f>I88</f>
        <v>587.24826505587498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1" t="s">
        <v>94</v>
      </c>
      <c r="B91" s="171"/>
      <c r="C91" s="171"/>
      <c r="D91" s="171"/>
      <c r="E91" s="171"/>
      <c r="F91" s="171"/>
      <c r="G91" s="171"/>
      <c r="H91" s="32">
        <f>H66+H78+H85+H89</f>
        <v>0.787922024</v>
      </c>
      <c r="I91" s="33">
        <f>I66+I78+I85+I89</f>
        <v>4931.897837621008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41" t="s">
        <v>96</v>
      </c>
      <c r="C93" s="141"/>
      <c r="D93" s="141"/>
      <c r="E93" s="141"/>
      <c r="F93" s="141"/>
      <c r="G93" s="141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24" t="s">
        <v>97</v>
      </c>
      <c r="C94" s="124"/>
      <c r="D94" s="124"/>
      <c r="E94" s="124"/>
      <c r="F94" s="124"/>
      <c r="G94" s="124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4" t="s">
        <v>27</v>
      </c>
      <c r="C95" s="124"/>
      <c r="D95" s="124"/>
      <c r="E95" s="124"/>
      <c r="F95" s="124"/>
      <c r="G95" s="12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8" t="s">
        <v>98</v>
      </c>
      <c r="C96" s="169"/>
      <c r="D96" s="169"/>
      <c r="E96" s="169"/>
      <c r="F96" s="169"/>
      <c r="G96" s="17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4" t="s">
        <v>99</v>
      </c>
      <c r="C97" s="124"/>
      <c r="D97" s="124"/>
      <c r="E97" s="124"/>
      <c r="F97" s="124"/>
      <c r="G97" s="124"/>
      <c r="H97" s="23">
        <f t="shared" si="4"/>
        <v>1.4324118422111725E-3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24" t="s">
        <v>100</v>
      </c>
      <c r="C98" s="124"/>
      <c r="D98" s="124"/>
      <c r="E98" s="124"/>
      <c r="F98" s="124"/>
      <c r="G98" s="12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4" t="s">
        <v>101</v>
      </c>
      <c r="C99" s="124"/>
      <c r="D99" s="124"/>
      <c r="E99" s="124"/>
      <c r="F99" s="124"/>
      <c r="G99" s="124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4" t="s">
        <v>31</v>
      </c>
      <c r="C100" s="124"/>
      <c r="D100" s="124"/>
      <c r="E100" s="124"/>
      <c r="F100" s="124"/>
      <c r="G100" s="124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4" t="s">
        <v>102</v>
      </c>
      <c r="C101" s="124"/>
      <c r="D101" s="124"/>
      <c r="E101" s="124"/>
      <c r="F101" s="124"/>
      <c r="G101" s="12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5" t="s">
        <v>103</v>
      </c>
      <c r="B102" s="145"/>
      <c r="C102" s="145"/>
      <c r="D102" s="145"/>
      <c r="E102" s="145"/>
      <c r="F102" s="145"/>
      <c r="G102" s="145"/>
      <c r="H102" s="25">
        <f>SUM(H94:H101)</f>
        <v>1.4324118422111725E-3</v>
      </c>
      <c r="I102" s="26">
        <f>SUM(I94:I101)</f>
        <v>8.9660000000000082</v>
      </c>
      <c r="J102" s="34"/>
    </row>
    <row r="103" spans="1:10" ht="18" customHeight="1" x14ac:dyDescent="0.25">
      <c r="A103" s="29" t="s">
        <v>104</v>
      </c>
      <c r="B103" s="164" t="s">
        <v>105</v>
      </c>
      <c r="C103" s="164"/>
      <c r="D103" s="164"/>
      <c r="E103" s="164"/>
      <c r="F103" s="164"/>
      <c r="G103" s="164"/>
      <c r="H103" s="35"/>
      <c r="I103" s="36"/>
    </row>
    <row r="104" spans="1:10" ht="15" customHeight="1" x14ac:dyDescent="0.25">
      <c r="A104" s="172" t="s">
        <v>106</v>
      </c>
      <c r="B104" s="172"/>
      <c r="C104" s="172"/>
      <c r="D104" s="172"/>
      <c r="E104" s="172"/>
      <c r="F104" s="172"/>
      <c r="G104" s="172"/>
      <c r="H104" s="172"/>
      <c r="I104" s="172"/>
    </row>
    <row r="105" spans="1:10" ht="24" customHeight="1" x14ac:dyDescent="0.25">
      <c r="A105" s="125" t="s">
        <v>107</v>
      </c>
      <c r="B105" s="125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8">
        <f>IF(I12="Não aplicável",0,I12)</f>
        <v>5.3</v>
      </c>
      <c r="B106" s="17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2" t="s">
        <v>115</v>
      </c>
      <c r="B108" s="172"/>
      <c r="C108" s="172"/>
      <c r="D108" s="172"/>
      <c r="E108" s="172"/>
      <c r="F108" s="172"/>
      <c r="G108" s="172"/>
      <c r="H108" s="172"/>
      <c r="I108" s="172"/>
    </row>
    <row r="109" spans="1:10" ht="23.25" customHeight="1" x14ac:dyDescent="0.25">
      <c r="A109" s="125" t="s">
        <v>107</v>
      </c>
      <c r="B109" s="125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73">
        <f>IF(I18="Não aplicável",0,I18)</f>
        <v>0</v>
      </c>
      <c r="B110" s="17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4" t="s">
        <v>117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42" t="s">
        <v>107</v>
      </c>
      <c r="B113" s="142"/>
      <c r="C113" s="73" t="s">
        <v>116</v>
      </c>
      <c r="D113" s="73" t="s">
        <v>109</v>
      </c>
      <c r="E113" s="73" t="s">
        <v>110</v>
      </c>
      <c r="F113" s="73" t="s">
        <v>111</v>
      </c>
      <c r="G113" s="73" t="s">
        <v>112</v>
      </c>
      <c r="H113" s="71" t="str">
        <f>H105</f>
        <v>Valor desconto</v>
      </c>
      <c r="I113" s="72" t="s">
        <v>114</v>
      </c>
    </row>
    <row r="114" spans="1:12" ht="15" customHeight="1" x14ac:dyDescent="0.25">
      <c r="A114" s="173">
        <f>IF(I15="Não aplicável",0,I15)</f>
        <v>0</v>
      </c>
      <c r="B114" s="17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79" t="s">
        <v>118</v>
      </c>
      <c r="B116" s="179"/>
      <c r="C116" s="179"/>
      <c r="D116" s="179"/>
      <c r="E116" s="179"/>
      <c r="F116" s="179"/>
      <c r="G116" s="179"/>
      <c r="H116" s="47">
        <f>H46+H91+H102</f>
        <v>1.7893544358422109</v>
      </c>
      <c r="I116" s="48">
        <f>I46+I91+I102</f>
        <v>11200.236830628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0" t="s">
        <v>119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2" t="s">
        <v>43</v>
      </c>
      <c r="B119" s="141" t="s">
        <v>120</v>
      </c>
      <c r="C119" s="141"/>
      <c r="D119" s="141"/>
      <c r="E119" s="141"/>
      <c r="F119" s="141"/>
      <c r="G119" s="141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24" t="s">
        <v>121</v>
      </c>
      <c r="C120" s="124"/>
      <c r="D120" s="124"/>
      <c r="E120" s="124"/>
      <c r="F120" s="124"/>
      <c r="G120" s="124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6" t="s">
        <v>122</v>
      </c>
      <c r="C121" s="146"/>
      <c r="D121" s="146"/>
      <c r="E121" s="146"/>
      <c r="F121" s="146"/>
      <c r="G121" s="146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24" t="s">
        <v>123</v>
      </c>
      <c r="C122" s="124"/>
      <c r="D122" s="124"/>
      <c r="E122" s="124"/>
      <c r="F122" s="124"/>
      <c r="G122" s="124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4" t="s">
        <v>124</v>
      </c>
      <c r="C123" s="124"/>
      <c r="D123" s="124"/>
      <c r="E123" s="124"/>
      <c r="F123" s="124"/>
      <c r="G123" s="124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4" t="s">
        <v>125</v>
      </c>
      <c r="C124" s="124"/>
      <c r="D124" s="124"/>
      <c r="E124" s="124"/>
      <c r="F124" s="124"/>
      <c r="G124" s="124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4" t="s">
        <v>126</v>
      </c>
      <c r="C125" s="124"/>
      <c r="D125" s="124"/>
      <c r="E125" s="124"/>
      <c r="F125" s="124"/>
      <c r="G125" s="124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4" t="s">
        <v>127</v>
      </c>
      <c r="C126" s="124"/>
      <c r="D126" s="124"/>
      <c r="E126" s="124"/>
      <c r="F126" s="124"/>
      <c r="G126" s="124"/>
      <c r="H126" s="23">
        <f t="shared" si="7"/>
        <v>0</v>
      </c>
      <c r="I126" s="24">
        <v>0</v>
      </c>
    </row>
    <row r="127" spans="1:12" ht="15" customHeight="1" x14ac:dyDescent="0.25">
      <c r="A127" s="145" t="s">
        <v>128</v>
      </c>
      <c r="B127" s="145"/>
      <c r="C127" s="145"/>
      <c r="D127" s="145"/>
      <c r="E127" s="145"/>
      <c r="F127" s="145"/>
      <c r="G127" s="14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6" t="s">
        <v>129</v>
      </c>
      <c r="C128" s="166"/>
      <c r="D128" s="166"/>
      <c r="E128" s="166"/>
      <c r="F128" s="166"/>
      <c r="G128" s="166"/>
      <c r="H128" s="166"/>
      <c r="I128" s="166"/>
    </row>
    <row r="129" spans="1:12" ht="5.25" customHeight="1" x14ac:dyDescent="0.25"/>
    <row r="130" spans="1:12" ht="48.75" customHeight="1" x14ac:dyDescent="0.25">
      <c r="A130" s="182" t="s">
        <v>130</v>
      </c>
      <c r="B130" s="182"/>
      <c r="C130" s="182"/>
      <c r="D130" s="182"/>
      <c r="E130" s="182"/>
      <c r="F130" s="55">
        <f>I29</f>
        <v>0.1</v>
      </c>
      <c r="G130" s="56">
        <f>I132*F130</f>
        <v>1119.1270830628</v>
      </c>
      <c r="H130" s="57" t="s">
        <v>131</v>
      </c>
      <c r="I130" s="58">
        <f>I97</f>
        <v>8.9660000000000082</v>
      </c>
    </row>
    <row r="131" spans="1:12" s="61" customFormat="1" ht="16.5" customHeight="1" x14ac:dyDescent="0.25">
      <c r="A131" s="183" t="s">
        <v>132</v>
      </c>
      <c r="B131" s="183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84">
        <f>I46</f>
        <v>6259.3729930069931</v>
      </c>
      <c r="B132" s="184"/>
      <c r="C132" s="62">
        <f>I66</f>
        <v>2303.4492614265732</v>
      </c>
      <c r="D132" s="62">
        <f>I78</f>
        <v>1595.7833289561818</v>
      </c>
      <c r="E132" s="62">
        <f>I85</f>
        <v>445.41698218237764</v>
      </c>
      <c r="F132" s="62">
        <f>I89</f>
        <v>587.24826505587498</v>
      </c>
      <c r="G132" s="62">
        <f>I102</f>
        <v>8.9660000000000082</v>
      </c>
      <c r="H132" s="62">
        <f>A132+C132+D132+E132+F132+G132</f>
        <v>11200.236830628</v>
      </c>
      <c r="I132" s="123">
        <f>H132-I130</f>
        <v>11191.270830628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56</v>
      </c>
      <c r="B134" s="141" t="s">
        <v>140</v>
      </c>
      <c r="C134" s="141"/>
      <c r="D134" s="141"/>
      <c r="E134" s="141"/>
      <c r="F134" s="141"/>
      <c r="G134" s="141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24" t="s">
        <v>141</v>
      </c>
      <c r="C135" s="124"/>
      <c r="D135" s="124"/>
      <c r="E135" s="124"/>
      <c r="F135" s="124"/>
      <c r="G135" s="12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4" t="s">
        <v>142</v>
      </c>
      <c r="C136" s="124"/>
      <c r="D136" s="124"/>
      <c r="E136" s="124"/>
      <c r="F136" s="124"/>
      <c r="G136" s="124"/>
      <c r="H136" s="23">
        <f>I136/$I$145</f>
        <v>0</v>
      </c>
      <c r="I136" s="24">
        <v>0</v>
      </c>
    </row>
    <row r="137" spans="1:12" ht="42.75" customHeight="1" x14ac:dyDescent="0.25">
      <c r="A137" s="180" t="s">
        <v>143</v>
      </c>
      <c r="B137" s="145"/>
      <c r="C137" s="145"/>
      <c r="D137" s="145"/>
      <c r="E137" s="145"/>
      <c r="F137" s="145"/>
      <c r="G137" s="14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41" t="s">
        <v>144</v>
      </c>
      <c r="C139" s="141"/>
      <c r="D139" s="141"/>
      <c r="E139" s="141"/>
      <c r="F139" s="141"/>
      <c r="G139" s="141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24" t="s">
        <v>144</v>
      </c>
      <c r="C140" s="124"/>
      <c r="D140" s="124"/>
      <c r="E140" s="124"/>
      <c r="F140" s="124"/>
      <c r="G140" s="124"/>
      <c r="H140" s="23">
        <f>I140/I145</f>
        <v>0</v>
      </c>
      <c r="I140" s="24">
        <v>0</v>
      </c>
    </row>
    <row r="141" spans="1:12" ht="36.6" customHeight="1" x14ac:dyDescent="0.25">
      <c r="A141" s="180" t="s">
        <v>145</v>
      </c>
      <c r="B141" s="145"/>
      <c r="C141" s="145"/>
      <c r="D141" s="145"/>
      <c r="E141" s="145"/>
      <c r="F141" s="145"/>
      <c r="G141" s="14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146</v>
      </c>
      <c r="B143" s="181"/>
      <c r="C143" s="181"/>
      <c r="D143" s="181"/>
      <c r="E143" s="181"/>
      <c r="F143" s="55">
        <v>0.18</v>
      </c>
      <c r="G143" s="56">
        <f>I145*F143</f>
        <v>2014.42874951304</v>
      </c>
      <c r="H143" s="57" t="s">
        <v>131</v>
      </c>
      <c r="I143" s="58">
        <f>I97</f>
        <v>8.9660000000000082</v>
      </c>
      <c r="L143" s="2"/>
    </row>
    <row r="144" spans="1:12" s="61" customFormat="1" ht="16.5" customHeight="1" x14ac:dyDescent="0.25">
      <c r="A144" s="183" t="s">
        <v>132</v>
      </c>
      <c r="B144" s="183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84">
        <f>I46</f>
        <v>6259.3729930069931</v>
      </c>
      <c r="B145" s="184"/>
      <c r="C145" s="62">
        <f>I66</f>
        <v>2303.4492614265732</v>
      </c>
      <c r="D145" s="62">
        <f>I78</f>
        <v>1595.7833289561818</v>
      </c>
      <c r="E145" s="62">
        <f>I85</f>
        <v>445.41698218237764</v>
      </c>
      <c r="F145" s="62">
        <f>I89</f>
        <v>587.24826505587498</v>
      </c>
      <c r="G145" s="62">
        <f>I102</f>
        <v>8.9660000000000082</v>
      </c>
      <c r="H145" s="62">
        <f>A145+C145+D145+E145+F145+G145</f>
        <v>11200.236830628</v>
      </c>
      <c r="I145" s="62">
        <f>H145-I143</f>
        <v>11191.270830628</v>
      </c>
      <c r="J145" s="34"/>
      <c r="L145" s="2"/>
    </row>
    <row r="146" spans="1:12" ht="4.5" customHeight="1" x14ac:dyDescent="0.25"/>
    <row r="147" spans="1:12" ht="12" customHeight="1" x14ac:dyDescent="0.25">
      <c r="A147" s="179" t="s">
        <v>147</v>
      </c>
      <c r="B147" s="179"/>
      <c r="C147" s="179"/>
      <c r="D147" s="179"/>
      <c r="E147" s="179"/>
      <c r="F147" s="179"/>
      <c r="G147" s="17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0" t="s">
        <v>148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2" t="s">
        <v>43</v>
      </c>
      <c r="B150" s="141" t="s">
        <v>149</v>
      </c>
      <c r="C150" s="141"/>
      <c r="D150" s="141"/>
      <c r="E150" s="141"/>
      <c r="F150" s="141"/>
      <c r="G150" s="141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24" t="s">
        <v>150</v>
      </c>
      <c r="C151" s="124"/>
      <c r="D151" s="124"/>
      <c r="E151" s="124"/>
      <c r="F151" s="124"/>
      <c r="G151" s="124"/>
      <c r="H151" s="23">
        <f>I151/$I$116</f>
        <v>7.5801749271137029E-3</v>
      </c>
      <c r="I151" s="24">
        <f>($D$161/$E$162)*H161</f>
        <v>84.899754401261816</v>
      </c>
    </row>
    <row r="152" spans="1:12" ht="15" customHeight="1" x14ac:dyDescent="0.25">
      <c r="A152" s="17">
        <v>2</v>
      </c>
      <c r="B152" s="124" t="s">
        <v>151</v>
      </c>
      <c r="C152" s="124"/>
      <c r="D152" s="124"/>
      <c r="E152" s="124"/>
      <c r="F152" s="124"/>
      <c r="G152" s="124"/>
      <c r="H152" s="23">
        <f>I152/$I$116</f>
        <v>3.4985422740524783E-2</v>
      </c>
      <c r="I152" s="24">
        <f>($D$161/$E$162)*H162</f>
        <v>391.8450203135161</v>
      </c>
    </row>
    <row r="153" spans="1:12" ht="15" customHeight="1" x14ac:dyDescent="0.25">
      <c r="A153" s="17">
        <v>3</v>
      </c>
      <c r="B153" s="124" t="s">
        <v>20</v>
      </c>
      <c r="C153" s="124"/>
      <c r="D153" s="124"/>
      <c r="E153" s="124"/>
      <c r="F153" s="124"/>
      <c r="G153" s="124"/>
      <c r="H153" s="23">
        <f>I153/$I$116</f>
        <v>5.830903790087464E-2</v>
      </c>
      <c r="I153" s="24">
        <f>($D$161/$E$162)*H163</f>
        <v>653.07503385586017</v>
      </c>
    </row>
    <row r="154" spans="1:12" ht="15" customHeight="1" x14ac:dyDescent="0.25">
      <c r="A154" s="17">
        <v>4</v>
      </c>
      <c r="B154" s="124" t="s">
        <v>152</v>
      </c>
      <c r="C154" s="124"/>
      <c r="D154" s="124"/>
      <c r="E154" s="124"/>
      <c r="F154" s="124"/>
      <c r="G154" s="12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4" t="s">
        <v>153</v>
      </c>
      <c r="C155" s="124"/>
      <c r="D155" s="124"/>
      <c r="E155" s="124"/>
      <c r="F155" s="124"/>
      <c r="G155" s="12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5" t="s">
        <v>154</v>
      </c>
      <c r="B156" s="145"/>
      <c r="C156" s="145"/>
      <c r="D156" s="145"/>
      <c r="E156" s="145"/>
      <c r="F156" s="145"/>
      <c r="G156" s="145"/>
      <c r="H156" s="25">
        <f>H151+H152+H153+H154+H155</f>
        <v>0.10087463556851312</v>
      </c>
      <c r="I156" s="26">
        <f>SUM(I151:I155)</f>
        <v>1129.8198085706381</v>
      </c>
    </row>
    <row r="157" spans="1:12" ht="11.25" customHeight="1" x14ac:dyDescent="0.25">
      <c r="A157" s="29" t="s">
        <v>155</v>
      </c>
      <c r="B157" s="166" t="s">
        <v>156</v>
      </c>
      <c r="C157" s="166"/>
      <c r="D157" s="166"/>
      <c r="E157" s="166"/>
      <c r="F157" s="166"/>
      <c r="G157" s="166"/>
      <c r="H157" s="166"/>
      <c r="I157" s="166"/>
    </row>
    <row r="158" spans="1:12" ht="18.75" customHeight="1" x14ac:dyDescent="0.25">
      <c r="A158" s="29" t="s">
        <v>157</v>
      </c>
      <c r="B158" s="190" t="s">
        <v>158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2" t="s">
        <v>159</v>
      </c>
      <c r="B159" s="172"/>
      <c r="C159" s="172"/>
      <c r="D159" s="172"/>
      <c r="E159" s="172"/>
      <c r="F159" s="172"/>
      <c r="G159" s="172"/>
      <c r="H159" s="172"/>
      <c r="I159" s="172"/>
    </row>
    <row r="160" spans="1:12" ht="13.5" customHeight="1" x14ac:dyDescent="0.25">
      <c r="A160" s="125" t="s">
        <v>160</v>
      </c>
      <c r="B160" s="125"/>
      <c r="C160" s="17" t="s">
        <v>161</v>
      </c>
      <c r="D160" s="149" t="s">
        <v>162</v>
      </c>
      <c r="E160" s="149"/>
      <c r="F160" s="17" t="s">
        <v>163</v>
      </c>
      <c r="G160" s="116" t="s">
        <v>164</v>
      </c>
      <c r="H160" s="191" t="s">
        <v>165</v>
      </c>
      <c r="I160" s="191"/>
    </row>
    <row r="161" spans="1:10" ht="13.5" customHeight="1" x14ac:dyDescent="0.25">
      <c r="A161" s="192">
        <f>I116</f>
        <v>11200.236830628</v>
      </c>
      <c r="B161" s="192"/>
      <c r="C161" s="24">
        <f>I147</f>
        <v>0</v>
      </c>
      <c r="D161" s="193">
        <f>A161+C161</f>
        <v>11200.236830628</v>
      </c>
      <c r="E161" s="193"/>
      <c r="F161" s="17" t="str">
        <f>B151</f>
        <v>PIS</v>
      </c>
      <c r="G161" s="117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166</v>
      </c>
      <c r="B162" s="186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tr">
        <f>B152</f>
        <v>COFINS</v>
      </c>
      <c r="G162" s="117">
        <v>7.5999999999999998E-2</v>
      </c>
      <c r="H162" s="187">
        <v>0.03</v>
      </c>
      <c r="I162" s="187"/>
    </row>
    <row r="163" spans="1:10" ht="13.5" customHeight="1" x14ac:dyDescent="0.25">
      <c r="A163" s="188" t="s">
        <v>167</v>
      </c>
      <c r="B163" s="188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tr">
        <f>B153</f>
        <v>ISS</v>
      </c>
      <c r="G163" s="117">
        <f>I11</f>
        <v>0.05</v>
      </c>
      <c r="H163" s="187">
        <f>I11</f>
        <v>0.05</v>
      </c>
      <c r="I163" s="187"/>
    </row>
    <row r="164" spans="1:10" ht="13.5" customHeight="1" x14ac:dyDescent="0.25">
      <c r="A164" s="189" t="s">
        <v>168</v>
      </c>
      <c r="B164" s="189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87">
        <v>0</v>
      </c>
      <c r="I164" s="187"/>
    </row>
    <row r="165" spans="1:10" ht="13.5" customHeight="1" x14ac:dyDescent="0.25">
      <c r="A165" s="195" t="s">
        <v>170</v>
      </c>
      <c r="B165" s="195" t="s">
        <v>171</v>
      </c>
      <c r="C165" s="195"/>
      <c r="D165" s="195"/>
      <c r="E165" s="195"/>
      <c r="F165" s="12" t="s">
        <v>172</v>
      </c>
      <c r="G165" s="117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3" t="s">
        <v>173</v>
      </c>
      <c r="G166" s="118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9" t="s">
        <v>174</v>
      </c>
      <c r="B167" s="190" t="s">
        <v>175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5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79" t="s">
        <v>176</v>
      </c>
      <c r="B169" s="179"/>
      <c r="C169" s="179"/>
      <c r="D169" s="179"/>
      <c r="E169" s="179"/>
      <c r="F169" s="179"/>
      <c r="G169" s="179"/>
      <c r="H169" s="47">
        <f>H156</f>
        <v>0.10087463556851312</v>
      </c>
      <c r="I169" s="48">
        <f>I156</f>
        <v>1129.8198085706381</v>
      </c>
    </row>
    <row r="170" spans="1:10" ht="4.5" customHeight="1" x14ac:dyDescent="0.25"/>
    <row r="171" spans="1:10" ht="11.25" customHeight="1" x14ac:dyDescent="0.25">
      <c r="A171" s="194" t="s">
        <v>177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0" t="s">
        <v>42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7">
        <v>1</v>
      </c>
      <c r="B173" s="124" t="s">
        <v>178</v>
      </c>
      <c r="C173" s="124"/>
      <c r="D173" s="124"/>
      <c r="E173" s="124"/>
      <c r="F173" s="124"/>
      <c r="G173" s="124"/>
      <c r="H173" s="23">
        <f>I173/$G$196</f>
        <v>0.50765160097543605</v>
      </c>
      <c r="I173" s="66">
        <f>I46</f>
        <v>6259.3729930069931</v>
      </c>
    </row>
    <row r="174" spans="1:10" ht="15" customHeight="1" x14ac:dyDescent="0.25">
      <c r="A174" s="17">
        <v>2</v>
      </c>
      <c r="B174" s="124" t="s">
        <v>179</v>
      </c>
      <c r="C174" s="124"/>
      <c r="D174" s="124"/>
      <c r="E174" s="124"/>
      <c r="F174" s="124"/>
      <c r="G174" s="124"/>
      <c r="H174" s="23">
        <f>I174/$G$196</f>
        <v>0.3999898769274059</v>
      </c>
      <c r="I174" s="66">
        <f>I66+I78+I85+I89</f>
        <v>4931.897837621008</v>
      </c>
    </row>
    <row r="175" spans="1:10" ht="15" customHeight="1" x14ac:dyDescent="0.25">
      <c r="A175" s="17">
        <v>3</v>
      </c>
      <c r="B175" s="124" t="s">
        <v>180</v>
      </c>
      <c r="C175" s="124"/>
      <c r="D175" s="124"/>
      <c r="E175" s="124"/>
      <c r="F175" s="124"/>
      <c r="G175" s="124"/>
      <c r="H175" s="23">
        <f>I175/$G$196</f>
        <v>7.2716616495467536E-4</v>
      </c>
      <c r="I175" s="66">
        <f>I102</f>
        <v>8.9660000000000082</v>
      </c>
    </row>
    <row r="176" spans="1:10" s="28" customFormat="1" ht="15" customHeight="1" x14ac:dyDescent="0.25">
      <c r="A176" s="179" t="s">
        <v>181</v>
      </c>
      <c r="B176" s="179"/>
      <c r="C176" s="179"/>
      <c r="D176" s="179"/>
      <c r="E176" s="179"/>
      <c r="F176" s="179"/>
      <c r="G176" s="179"/>
      <c r="H176" s="47">
        <f>H173+H174+H175</f>
        <v>0.9083686440677966</v>
      </c>
      <c r="I176" s="48">
        <f>SUM(I173:I175)</f>
        <v>11200.236830628</v>
      </c>
      <c r="J176" s="35"/>
    </row>
    <row r="177" spans="1:11" ht="4.5" customHeight="1" x14ac:dyDescent="0.25"/>
    <row r="178" spans="1:11" ht="11.25" customHeight="1" x14ac:dyDescent="0.25">
      <c r="A178" s="140" t="s">
        <v>119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7">
        <v>1</v>
      </c>
      <c r="B179" s="124" t="s">
        <v>182</v>
      </c>
      <c r="C179" s="124"/>
      <c r="D179" s="124"/>
      <c r="E179" s="124"/>
      <c r="F179" s="124"/>
      <c r="G179" s="12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4" t="s">
        <v>183</v>
      </c>
      <c r="C180" s="124"/>
      <c r="D180" s="124"/>
      <c r="E180" s="124"/>
      <c r="F180" s="124"/>
      <c r="G180" s="12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4" t="s">
        <v>184</v>
      </c>
      <c r="C181" s="124"/>
      <c r="D181" s="124"/>
      <c r="E181" s="124"/>
      <c r="F181" s="124"/>
      <c r="G181" s="124"/>
      <c r="H181" s="23">
        <f>I181/$G$196</f>
        <v>0</v>
      </c>
      <c r="I181" s="24">
        <f>I141</f>
        <v>0</v>
      </c>
    </row>
    <row r="182" spans="1:11" ht="15" customHeight="1" x14ac:dyDescent="0.25">
      <c r="A182" s="179" t="s">
        <v>185</v>
      </c>
      <c r="B182" s="179"/>
      <c r="C182" s="179"/>
      <c r="D182" s="179"/>
      <c r="E182" s="179"/>
      <c r="F182" s="179"/>
      <c r="G182" s="17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0" t="s">
        <v>148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7">
        <v>1</v>
      </c>
      <c r="B185" s="124" t="s">
        <v>186</v>
      </c>
      <c r="C185" s="124"/>
      <c r="D185" s="124"/>
      <c r="E185" s="124"/>
      <c r="F185" s="124"/>
      <c r="G185" s="124"/>
      <c r="H185" s="23">
        <f>I185/$G$196</f>
        <v>9.1631355932203395E-2</v>
      </c>
      <c r="I185" s="24">
        <f>I156</f>
        <v>1129.8198085706381</v>
      </c>
    </row>
    <row r="186" spans="1:11" ht="15" customHeight="1" x14ac:dyDescent="0.25">
      <c r="A186" s="179" t="s">
        <v>187</v>
      </c>
      <c r="B186" s="179"/>
      <c r="C186" s="179"/>
      <c r="D186" s="179"/>
      <c r="E186" s="179"/>
      <c r="F186" s="179"/>
      <c r="G186" s="179"/>
      <c r="H186" s="47">
        <f>H185</f>
        <v>9.1631355932203395E-2</v>
      </c>
      <c r="I186" s="48">
        <f>I156</f>
        <v>1129.8198085706381</v>
      </c>
      <c r="K186" s="41"/>
    </row>
    <row r="187" spans="1:11" ht="4.5" customHeight="1" x14ac:dyDescent="0.25"/>
    <row r="188" spans="1:11" ht="11.25" customHeight="1" x14ac:dyDescent="0.25">
      <c r="A188" s="133" t="s">
        <v>188</v>
      </c>
      <c r="B188" s="133"/>
      <c r="C188" s="133"/>
      <c r="D188" s="133"/>
      <c r="E188" s="133"/>
      <c r="F188" s="133"/>
      <c r="G188" s="133"/>
      <c r="H188" s="133"/>
      <c r="I188" s="133"/>
    </row>
    <row r="189" spans="1:11" ht="4.9000000000000004" customHeight="1" x14ac:dyDescent="0.25">
      <c r="A189" s="132"/>
      <c r="B189" s="132"/>
      <c r="C189" s="132"/>
      <c r="D189" s="132"/>
      <c r="E189" s="132"/>
      <c r="F189" s="132"/>
      <c r="G189" s="132"/>
      <c r="H189" s="132"/>
      <c r="I189" s="132"/>
    </row>
    <row r="190" spans="1:11" ht="22.5" customHeight="1" x14ac:dyDescent="0.25">
      <c r="A190" s="126" t="s">
        <v>189</v>
      </c>
      <c r="B190" s="127"/>
      <c r="C190" s="127"/>
      <c r="D190" s="127"/>
      <c r="E190" s="127"/>
      <c r="F190" s="127"/>
      <c r="G190" s="127"/>
      <c r="H190" s="128"/>
      <c r="I190" s="92">
        <f>I123*H196</f>
        <v>0</v>
      </c>
    </row>
    <row r="191" spans="1:11" ht="4.5" customHeight="1" x14ac:dyDescent="0.25">
      <c r="A191" s="90"/>
      <c r="B191" s="90"/>
      <c r="C191" s="90"/>
      <c r="D191" s="90"/>
      <c r="E191" s="90"/>
      <c r="F191" s="90"/>
      <c r="G191" s="94"/>
      <c r="H191" s="94"/>
      <c r="I191" s="94"/>
    </row>
    <row r="192" spans="1:11" ht="40.5" customHeight="1" x14ac:dyDescent="0.25">
      <c r="A192" s="133" t="s">
        <v>190</v>
      </c>
      <c r="B192" s="133"/>
      <c r="C192" s="133"/>
      <c r="D192" s="133"/>
      <c r="E192" s="133"/>
      <c r="F192" s="126"/>
      <c r="G192" s="129" t="s">
        <v>191</v>
      </c>
      <c r="H192" s="130"/>
      <c r="I192" s="131"/>
    </row>
    <row r="193" spans="1:9" ht="11.25" customHeight="1" x14ac:dyDescent="0.25">
      <c r="A193" s="133"/>
      <c r="B193" s="133"/>
      <c r="C193" s="133"/>
      <c r="D193" s="133"/>
      <c r="E193" s="133"/>
      <c r="F193" s="133"/>
      <c r="G193" s="95"/>
      <c r="H193" s="96"/>
      <c r="I193" s="97">
        <f>((H70+H76+H77+H82+H83+H84)+((H70+H76+H77+H82+H83+H84)*H66))*I46*H196</f>
        <v>2409.997760688073</v>
      </c>
    </row>
    <row r="194" spans="1:9" ht="4.9000000000000004" customHeight="1" x14ac:dyDescent="0.25">
      <c r="A194" s="132"/>
      <c r="B194" s="132"/>
      <c r="C194" s="132"/>
      <c r="D194" s="132"/>
      <c r="E194" s="132"/>
      <c r="F194" s="132"/>
      <c r="G194" s="132"/>
      <c r="H194" s="132"/>
      <c r="I194" s="132"/>
    </row>
    <row r="195" spans="1:9" ht="35.450000000000003" customHeight="1" x14ac:dyDescent="0.25">
      <c r="A195" s="134" t="s">
        <v>192</v>
      </c>
      <c r="B195" s="135"/>
      <c r="C195" s="135"/>
      <c r="D195" s="135"/>
      <c r="E195" s="135"/>
      <c r="F195" s="136"/>
      <c r="G195" s="75" t="s">
        <v>193</v>
      </c>
      <c r="H195" s="75" t="s">
        <v>194</v>
      </c>
      <c r="I195" s="75" t="s">
        <v>195</v>
      </c>
    </row>
    <row r="196" spans="1:9" ht="14.45" customHeight="1" x14ac:dyDescent="0.25">
      <c r="A196" s="137"/>
      <c r="B196" s="138"/>
      <c r="C196" s="138"/>
      <c r="D196" s="138"/>
      <c r="E196" s="138"/>
      <c r="F196" s="139"/>
      <c r="G196" s="83">
        <f>I176+I182+I186</f>
        <v>12330.056639198639</v>
      </c>
      <c r="H196" s="74">
        <f>IF(D6="12x36",2,1)</f>
        <v>1</v>
      </c>
      <c r="I196" s="84">
        <f>G196*H196</f>
        <v>12330.056639198639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showGridLines="0" view="pageBreakPreview" zoomScale="130" zoomScaleNormal="130" zoomScalePageLayoutView="130" workbookViewId="0">
      <selection activeCell="H97" sqref="H9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5" t="s">
        <v>196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25">
      <c r="A2" s="155" t="s">
        <v>1</v>
      </c>
      <c r="B2" s="155"/>
      <c r="C2" s="156" t="s">
        <v>2</v>
      </c>
      <c r="D2" s="156"/>
      <c r="E2" s="157" t="s">
        <v>3</v>
      </c>
      <c r="F2" s="157"/>
      <c r="G2" s="157"/>
      <c r="H2" s="157"/>
      <c r="I2" s="157"/>
    </row>
    <row r="3" spans="1:11" ht="11.25" customHeight="1" x14ac:dyDescent="0.25">
      <c r="A3" s="155" t="s">
        <v>4</v>
      </c>
      <c r="B3" s="155"/>
      <c r="C3" s="5" t="s">
        <v>5</v>
      </c>
      <c r="D3" s="6"/>
      <c r="E3" s="7" t="s">
        <v>6</v>
      </c>
      <c r="F3" s="110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6" t="s">
        <v>7</v>
      </c>
      <c r="B5" s="146"/>
      <c r="C5" s="146"/>
      <c r="D5" s="158" t="s">
        <v>8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44</v>
      </c>
      <c r="E6" s="146"/>
      <c r="F6" s="146"/>
      <c r="G6" s="159"/>
      <c r="H6" s="159"/>
      <c r="I6" s="160"/>
    </row>
    <row r="7" spans="1:11" ht="22.5" customHeight="1" x14ac:dyDescent="0.25">
      <c r="A7" s="146" t="s">
        <v>9</v>
      </c>
      <c r="B7" s="146"/>
      <c r="C7" s="146"/>
      <c r="D7" s="124" t="s">
        <v>10</v>
      </c>
      <c r="E7" s="124"/>
      <c r="F7" s="124"/>
      <c r="G7" s="147" t="s">
        <v>11</v>
      </c>
      <c r="H7" s="147"/>
      <c r="I7" s="148" t="s">
        <v>30</v>
      </c>
    </row>
    <row r="8" spans="1:11" ht="22.5" customHeight="1" x14ac:dyDescent="0.25">
      <c r="A8" s="146" t="s">
        <v>13</v>
      </c>
      <c r="B8" s="146"/>
      <c r="C8" s="146"/>
      <c r="D8" s="124" t="s">
        <v>14</v>
      </c>
      <c r="E8" s="124"/>
      <c r="F8" s="124"/>
      <c r="G8" s="147"/>
      <c r="H8" s="147"/>
      <c r="I8" s="148"/>
    </row>
    <row r="9" spans="1:11" ht="24.75" customHeight="1" x14ac:dyDescent="0.25">
      <c r="A9" s="146" t="s">
        <v>15</v>
      </c>
      <c r="B9" s="146"/>
      <c r="C9" s="146"/>
      <c r="D9" s="146" t="s">
        <v>16</v>
      </c>
      <c r="E9" s="146"/>
      <c r="F9" s="146"/>
      <c r="G9" s="147" t="s">
        <v>17</v>
      </c>
      <c r="H9" s="147"/>
      <c r="I9" s="9">
        <v>0.3</v>
      </c>
    </row>
    <row r="10" spans="1:11" ht="32.25" customHeight="1" x14ac:dyDescent="0.25">
      <c r="A10" s="154" t="s">
        <v>197</v>
      </c>
      <c r="B10" s="154"/>
      <c r="C10" s="154"/>
      <c r="D10" s="154"/>
      <c r="E10" s="154"/>
      <c r="F10" s="154"/>
      <c r="G10" s="8" t="s">
        <v>19</v>
      </c>
      <c r="H10" s="10">
        <v>220</v>
      </c>
      <c r="I10" s="11">
        <v>4443.8999999999996</v>
      </c>
    </row>
    <row r="11" spans="1:11" ht="11.25" customHeight="1" x14ac:dyDescent="0.25">
      <c r="A11" s="149" t="s">
        <v>20</v>
      </c>
      <c r="B11" s="149"/>
      <c r="C11" s="149"/>
      <c r="D11" s="149"/>
      <c r="E11" s="149"/>
      <c r="F11" s="149"/>
      <c r="G11" s="10" t="str">
        <f>D9</f>
        <v>Porto Alegre</v>
      </c>
      <c r="H11" s="10" t="s">
        <v>21</v>
      </c>
      <c r="I11" s="13">
        <v>0.05</v>
      </c>
    </row>
    <row r="12" spans="1:11" ht="11.25" customHeight="1" x14ac:dyDescent="0.25">
      <c r="A12" s="149" t="s">
        <v>22</v>
      </c>
      <c r="B12" s="149"/>
      <c r="C12" s="149"/>
      <c r="D12" s="149"/>
      <c r="E12" s="149"/>
      <c r="F12" s="149"/>
      <c r="G12" s="150" t="s">
        <v>14</v>
      </c>
      <c r="H12" s="10" t="s">
        <v>23</v>
      </c>
      <c r="I12" s="11">
        <v>5.3</v>
      </c>
    </row>
    <row r="13" spans="1:11" ht="11.25" customHeight="1" x14ac:dyDescent="0.25">
      <c r="A13" s="149"/>
      <c r="B13" s="149"/>
      <c r="C13" s="149"/>
      <c r="D13" s="149"/>
      <c r="E13" s="149"/>
      <c r="F13" s="149"/>
      <c r="G13" s="150"/>
      <c r="H13" s="10" t="s">
        <v>24</v>
      </c>
      <c r="I13" s="14">
        <v>26</v>
      </c>
    </row>
    <row r="14" spans="1:11" ht="11.25" customHeight="1" x14ac:dyDescent="0.25">
      <c r="A14" s="149"/>
      <c r="B14" s="149"/>
      <c r="C14" s="149"/>
      <c r="D14" s="149"/>
      <c r="E14" s="149"/>
      <c r="F14" s="149"/>
      <c r="G14" s="150"/>
      <c r="H14" s="10" t="s">
        <v>25</v>
      </c>
      <c r="I14" s="9">
        <v>0.06</v>
      </c>
    </row>
    <row r="15" spans="1:11" ht="11.25" customHeight="1" x14ac:dyDescent="0.25">
      <c r="A15" s="149" t="s">
        <v>198</v>
      </c>
      <c r="B15" s="149"/>
      <c r="C15" s="149"/>
      <c r="D15" s="149"/>
      <c r="E15" s="149"/>
      <c r="F15" s="149"/>
      <c r="G15" s="150" t="s">
        <v>14</v>
      </c>
      <c r="H15" s="10" t="s">
        <v>23</v>
      </c>
      <c r="I15" s="11">
        <v>0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24</v>
      </c>
      <c r="I16" s="14">
        <v>0</v>
      </c>
    </row>
    <row r="17" spans="1:9" ht="11.25" customHeight="1" x14ac:dyDescent="0.25">
      <c r="A17" s="149"/>
      <c r="B17" s="149"/>
      <c r="C17" s="149"/>
      <c r="D17" s="149"/>
      <c r="E17" s="149"/>
      <c r="F17" s="149"/>
      <c r="G17" s="150"/>
      <c r="H17" s="10" t="s">
        <v>25</v>
      </c>
      <c r="I17" s="9">
        <v>0</v>
      </c>
    </row>
    <row r="18" spans="1:9" ht="11.25" customHeight="1" x14ac:dyDescent="0.25">
      <c r="A18" s="149" t="s">
        <v>27</v>
      </c>
      <c r="B18" s="149"/>
      <c r="C18" s="149"/>
      <c r="D18" s="149"/>
      <c r="E18" s="149"/>
      <c r="F18" s="149"/>
      <c r="G18" s="150" t="s">
        <v>14</v>
      </c>
      <c r="H18" s="10" t="s">
        <v>23</v>
      </c>
      <c r="I18" s="11">
        <v>0</v>
      </c>
    </row>
    <row r="19" spans="1:9" ht="11.25" customHeight="1" x14ac:dyDescent="0.25">
      <c r="A19" s="149"/>
      <c r="B19" s="149"/>
      <c r="C19" s="149"/>
      <c r="D19" s="149"/>
      <c r="E19" s="149"/>
      <c r="F19" s="149"/>
      <c r="G19" s="150"/>
      <c r="H19" s="10" t="s">
        <v>24</v>
      </c>
      <c r="I19" s="14">
        <v>0</v>
      </c>
    </row>
    <row r="20" spans="1:9" ht="11.25" customHeight="1" x14ac:dyDescent="0.25">
      <c r="A20" s="149"/>
      <c r="B20" s="149"/>
      <c r="C20" s="149"/>
      <c r="D20" s="149"/>
      <c r="E20" s="149"/>
      <c r="F20" s="149"/>
      <c r="G20" s="150"/>
      <c r="H20" s="10" t="s">
        <v>25</v>
      </c>
      <c r="I20" s="9">
        <v>0</v>
      </c>
    </row>
    <row r="21" spans="1:9" ht="14.25" customHeight="1" x14ac:dyDescent="0.25">
      <c r="A21" s="125" t="s">
        <v>101</v>
      </c>
      <c r="B21" s="125"/>
      <c r="C21" s="125"/>
      <c r="D21" s="125"/>
      <c r="E21" s="125"/>
      <c r="F21" s="125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25" t="s">
        <v>31</v>
      </c>
      <c r="B22" s="125"/>
      <c r="C22" s="125"/>
      <c r="D22" s="125"/>
      <c r="E22" s="125"/>
      <c r="F22" s="125"/>
      <c r="G22" s="10" t="s">
        <v>14</v>
      </c>
      <c r="H22" s="15" t="s">
        <v>29</v>
      </c>
      <c r="I22" s="105" t="s">
        <v>30</v>
      </c>
    </row>
    <row r="23" spans="1:9" ht="13.5" customHeight="1" x14ac:dyDescent="0.25">
      <c r="A23" s="151" t="s">
        <v>199</v>
      </c>
      <c r="B23" s="151"/>
      <c r="C23" s="151"/>
      <c r="D23" s="151"/>
      <c r="E23" s="151"/>
      <c r="F23" s="151"/>
      <c r="G23" s="15" t="s">
        <v>14</v>
      </c>
      <c r="H23" s="15" t="s">
        <v>29</v>
      </c>
      <c r="I23" s="16" t="s">
        <v>30</v>
      </c>
    </row>
    <row r="24" spans="1:9" ht="22.5" customHeight="1" x14ac:dyDescent="0.25">
      <c r="A24" s="125" t="s">
        <v>33</v>
      </c>
      <c r="B24" s="125"/>
      <c r="C24" s="125"/>
      <c r="D24" s="125"/>
      <c r="E24" s="125"/>
      <c r="F24" s="125"/>
      <c r="G24" s="15"/>
      <c r="H24" s="15" t="s">
        <v>34</v>
      </c>
      <c r="I24" s="18" t="s">
        <v>30</v>
      </c>
    </row>
    <row r="25" spans="1:9" ht="36" customHeight="1" x14ac:dyDescent="0.25">
      <c r="A25" s="125" t="s">
        <v>35</v>
      </c>
      <c r="B25" s="125"/>
      <c r="C25" s="125"/>
      <c r="D25" s="125"/>
      <c r="E25" s="125"/>
      <c r="F25" s="125"/>
      <c r="G25" s="10"/>
      <c r="H25" s="10" t="s">
        <v>36</v>
      </c>
      <c r="I25" s="11" t="s">
        <v>30</v>
      </c>
    </row>
    <row r="26" spans="1:9" ht="15" customHeight="1" x14ac:dyDescent="0.25">
      <c r="A26" s="125" t="s">
        <v>37</v>
      </c>
      <c r="B26" s="125"/>
      <c r="C26" s="125"/>
      <c r="D26" s="125"/>
      <c r="E26" s="125"/>
      <c r="F26" s="125"/>
      <c r="G26" s="15"/>
      <c r="H26" s="19" t="s">
        <v>38</v>
      </c>
      <c r="I26" s="20">
        <v>8</v>
      </c>
    </row>
    <row r="27" spans="1:9" ht="15" customHeight="1" x14ac:dyDescent="0.25">
      <c r="A27" s="125"/>
      <c r="B27" s="125"/>
      <c r="C27" s="125"/>
      <c r="D27" s="125"/>
      <c r="E27" s="125"/>
      <c r="F27" s="125"/>
      <c r="G27" s="15"/>
      <c r="H27" s="21" t="s">
        <v>39</v>
      </c>
      <c r="I27" s="9">
        <v>1</v>
      </c>
    </row>
    <row r="28" spans="1:9" ht="26.25" customHeight="1" x14ac:dyDescent="0.25">
      <c r="A28" s="125" t="s">
        <v>40</v>
      </c>
      <c r="B28" s="125"/>
      <c r="C28" s="125"/>
      <c r="D28" s="125"/>
      <c r="E28" s="125"/>
      <c r="F28" s="125"/>
      <c r="G28" s="15"/>
      <c r="H28" s="10" t="s">
        <v>38</v>
      </c>
      <c r="I28" s="20" t="s">
        <v>30</v>
      </c>
    </row>
    <row r="29" spans="1:9" ht="36.75" customHeight="1" x14ac:dyDescent="0.25">
      <c r="A29" s="125" t="s">
        <v>41</v>
      </c>
      <c r="B29" s="125"/>
      <c r="C29" s="125"/>
      <c r="D29" s="125"/>
      <c r="E29" s="125"/>
      <c r="F29" s="125"/>
      <c r="G29" s="10"/>
      <c r="H29" s="8" t="s">
        <v>34</v>
      </c>
      <c r="I29" s="9">
        <v>0.1</v>
      </c>
    </row>
    <row r="30" spans="1:9" ht="18.75" customHeight="1" x14ac:dyDescent="0.25">
      <c r="A30" s="218" t="s">
        <v>200</v>
      </c>
      <c r="B30" s="219"/>
      <c r="C30" s="219"/>
      <c r="D30" s="219"/>
      <c r="E30" s="219"/>
      <c r="F30" s="220"/>
      <c r="G30" s="159" t="s">
        <v>14</v>
      </c>
      <c r="H30" s="15" t="s">
        <v>201</v>
      </c>
      <c r="I30" s="67">
        <v>54.37</v>
      </c>
    </row>
    <row r="31" spans="1:9" ht="16.5" customHeight="1" x14ac:dyDescent="0.25">
      <c r="A31" s="221"/>
      <c r="B31" s="222"/>
      <c r="C31" s="222"/>
      <c r="D31" s="222"/>
      <c r="E31" s="222"/>
      <c r="F31" s="223"/>
      <c r="G31" s="227"/>
      <c r="H31" s="15" t="s">
        <v>202</v>
      </c>
      <c r="I31" s="16">
        <v>16.34</v>
      </c>
    </row>
    <row r="32" spans="1:9" ht="33.75" customHeight="1" x14ac:dyDescent="0.25">
      <c r="A32" s="224"/>
      <c r="B32" s="225"/>
      <c r="C32" s="225"/>
      <c r="D32" s="225"/>
      <c r="E32" s="225"/>
      <c r="F32" s="226"/>
      <c r="G32" s="228"/>
      <c r="H32" s="15" t="s">
        <v>203</v>
      </c>
      <c r="I32" s="18">
        <v>0.2</v>
      </c>
    </row>
    <row r="33" spans="1:10" ht="24.75" customHeight="1" x14ac:dyDescent="0.25">
      <c r="A33" s="217" t="s">
        <v>204</v>
      </c>
      <c r="B33" s="217"/>
      <c r="C33" s="217"/>
      <c r="D33" s="217"/>
      <c r="E33" s="217"/>
      <c r="F33" s="217"/>
      <c r="G33" s="150" t="s">
        <v>14</v>
      </c>
      <c r="H33" s="10" t="s">
        <v>201</v>
      </c>
      <c r="I33" s="20">
        <v>6.79</v>
      </c>
    </row>
    <row r="34" spans="1:10" ht="24.75" customHeight="1" x14ac:dyDescent="0.25">
      <c r="A34" s="217"/>
      <c r="B34" s="217"/>
      <c r="C34" s="217"/>
      <c r="D34" s="217"/>
      <c r="E34" s="217"/>
      <c r="F34" s="217"/>
      <c r="G34" s="150"/>
      <c r="H34" s="10" t="s">
        <v>202</v>
      </c>
      <c r="I34" s="11">
        <v>30.29</v>
      </c>
    </row>
    <row r="35" spans="1:10" ht="6.75" customHeight="1" x14ac:dyDescent="0.25">
      <c r="I35" s="89" t="s">
        <v>30</v>
      </c>
    </row>
    <row r="36" spans="1:10" ht="17.25" customHeight="1" x14ac:dyDescent="0.25">
      <c r="A36" s="140" t="s">
        <v>42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2" t="s">
        <v>43</v>
      </c>
      <c r="B37" s="141" t="s">
        <v>44</v>
      </c>
      <c r="C37" s="141"/>
      <c r="D37" s="141"/>
      <c r="E37" s="141"/>
      <c r="F37" s="141"/>
      <c r="G37" s="141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24" t="s">
        <v>47</v>
      </c>
      <c r="C38" s="124"/>
      <c r="D38" s="124"/>
      <c r="E38" s="124"/>
      <c r="F38" s="124"/>
      <c r="G38" s="124"/>
      <c r="H38" s="23">
        <f t="shared" ref="H38:H54" si="0">I38/$I$55</f>
        <v>0.56248443064747367</v>
      </c>
      <c r="I38" s="24">
        <f>IF(D6="12x36",I10,I10/H10*I5)</f>
        <v>4443.8999999999996</v>
      </c>
    </row>
    <row r="39" spans="1:10" ht="15" customHeight="1" x14ac:dyDescent="0.25">
      <c r="A39" s="17">
        <f t="shared" ref="A39:A54" si="1">A38+1</f>
        <v>2</v>
      </c>
      <c r="B39" s="124" t="s">
        <v>205</v>
      </c>
      <c r="C39" s="124"/>
      <c r="D39" s="124"/>
      <c r="E39" s="124"/>
      <c r="F39" s="124"/>
      <c r="G39" s="124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24" t="s">
        <v>48</v>
      </c>
      <c r="C40" s="124"/>
      <c r="D40" s="124"/>
      <c r="E40" s="124"/>
      <c r="F40" s="124"/>
      <c r="G40" s="124"/>
      <c r="H40" s="23">
        <f t="shared" si="0"/>
        <v>0.16874532919424209</v>
      </c>
      <c r="I40" s="24">
        <f>IF(I9=30%,I38*I9,0)</f>
        <v>1333.1699999999998</v>
      </c>
    </row>
    <row r="41" spans="1:10" ht="15" customHeight="1" x14ac:dyDescent="0.25">
      <c r="A41" s="17">
        <f t="shared" si="1"/>
        <v>4</v>
      </c>
      <c r="B41" s="124" t="s">
        <v>206</v>
      </c>
      <c r="C41" s="124"/>
      <c r="D41" s="124"/>
      <c r="E41" s="124"/>
      <c r="F41" s="124"/>
      <c r="G41" s="124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24" t="s">
        <v>50</v>
      </c>
      <c r="C42" s="124"/>
      <c r="D42" s="124"/>
      <c r="E42" s="124"/>
      <c r="F42" s="124"/>
      <c r="G42" s="124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24" t="s">
        <v>51</v>
      </c>
      <c r="C43" s="124"/>
      <c r="D43" s="124"/>
      <c r="E43" s="124"/>
      <c r="F43" s="124"/>
      <c r="G43" s="124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24" t="s">
        <v>52</v>
      </c>
      <c r="C44" s="124"/>
      <c r="D44" s="124"/>
      <c r="E44" s="124"/>
      <c r="F44" s="124"/>
      <c r="G44" s="124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24" t="s">
        <v>53</v>
      </c>
      <c r="C45" s="124"/>
      <c r="D45" s="124"/>
      <c r="E45" s="124"/>
      <c r="F45" s="124"/>
      <c r="G45" s="124"/>
      <c r="H45" s="23">
        <f t="shared" si="0"/>
        <v>5.3180346170306605E-2</v>
      </c>
      <c r="I45" s="24">
        <f>IF(I26="Não aplicável",0,(I38+I39+I40+I41+I42+I43+I44+I54)/I5*I26*(1+I27))</f>
        <v>420.15054545454541</v>
      </c>
    </row>
    <row r="46" spans="1:10" ht="23.25" customHeight="1" x14ac:dyDescent="0.25">
      <c r="A46" s="17">
        <f t="shared" si="1"/>
        <v>9</v>
      </c>
      <c r="B46" s="124" t="s">
        <v>54</v>
      </c>
      <c r="C46" s="124"/>
      <c r="D46" s="124"/>
      <c r="E46" s="124"/>
      <c r="F46" s="124"/>
      <c r="G46" s="124"/>
      <c r="H46" s="23">
        <f t="shared" si="0"/>
        <v>7.8669151139506826E-3</v>
      </c>
      <c r="I46" s="24">
        <f>IF(I26="Não aplicável",0,I26/I13*5*(I10/H10*(1+I27)))</f>
        <v>62.152447552447555</v>
      </c>
    </row>
    <row r="47" spans="1:10" ht="15" customHeight="1" x14ac:dyDescent="0.25">
      <c r="A47" s="17">
        <f t="shared" si="1"/>
        <v>10</v>
      </c>
      <c r="B47" s="124" t="s">
        <v>207</v>
      </c>
      <c r="C47" s="124"/>
      <c r="D47" s="124"/>
      <c r="E47" s="124"/>
      <c r="F47" s="124"/>
      <c r="G47" s="124"/>
      <c r="H47" s="23">
        <f t="shared" si="0"/>
        <v>2.603246396527337E-2</v>
      </c>
      <c r="I47" s="24">
        <f>I33*I34</f>
        <v>205.66909999999999</v>
      </c>
    </row>
    <row r="48" spans="1:10" ht="15" customHeight="1" x14ac:dyDescent="0.25">
      <c r="A48" s="17">
        <f t="shared" si="1"/>
        <v>11</v>
      </c>
      <c r="B48" s="214" t="s">
        <v>208</v>
      </c>
      <c r="C48" s="215"/>
      <c r="D48" s="215"/>
      <c r="E48" s="215"/>
      <c r="F48" s="215"/>
      <c r="G48" s="216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4" t="s">
        <v>209</v>
      </c>
      <c r="C49" s="215"/>
      <c r="D49" s="215"/>
      <c r="E49" s="215"/>
      <c r="F49" s="215"/>
      <c r="G49" s="216"/>
      <c r="H49" s="23">
        <f t="shared" si="0"/>
        <v>7.8097391895820111E-3</v>
      </c>
      <c r="I49" s="24">
        <f>IF(I9=30%,I47*I9,0)</f>
        <v>61.700729999999993</v>
      </c>
    </row>
    <row r="50" spans="1:10" ht="15" customHeight="1" x14ac:dyDescent="0.25">
      <c r="A50" s="17">
        <f t="shared" si="1"/>
        <v>13</v>
      </c>
      <c r="B50" s="212" t="s">
        <v>210</v>
      </c>
      <c r="C50" s="212"/>
      <c r="D50" s="212"/>
      <c r="E50" s="212"/>
      <c r="F50" s="212"/>
      <c r="G50" s="212"/>
      <c r="H50" s="23">
        <f t="shared" si="0"/>
        <v>0.11244952195074449</v>
      </c>
      <c r="I50" s="24">
        <f>I30*I31</f>
        <v>888.4058</v>
      </c>
    </row>
    <row r="51" spans="1:10" ht="15" customHeight="1" x14ac:dyDescent="0.25">
      <c r="A51" s="17">
        <f t="shared" si="1"/>
        <v>14</v>
      </c>
      <c r="B51" s="214" t="s">
        <v>211</v>
      </c>
      <c r="C51" s="215"/>
      <c r="D51" s="215"/>
      <c r="E51" s="215"/>
      <c r="F51" s="215"/>
      <c r="G51" s="216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4" t="s">
        <v>212</v>
      </c>
      <c r="C52" s="215"/>
      <c r="D52" s="215"/>
      <c r="E52" s="215"/>
      <c r="F52" s="215"/>
      <c r="G52" s="216"/>
      <c r="H52" s="23">
        <f t="shared" si="0"/>
        <v>3.3734856585223343E-2</v>
      </c>
      <c r="I52" s="24">
        <f>IF(I9=30%,I50*I9,0)</f>
        <v>266.52173999999997</v>
      </c>
    </row>
    <row r="53" spans="1:10" ht="24" customHeight="1" x14ac:dyDescent="0.25">
      <c r="A53" s="17">
        <f t="shared" si="1"/>
        <v>16</v>
      </c>
      <c r="B53" s="213" t="s">
        <v>213</v>
      </c>
      <c r="C53" s="213"/>
      <c r="D53" s="213"/>
      <c r="E53" s="213"/>
      <c r="F53" s="213"/>
      <c r="G53" s="213"/>
      <c r="H53" s="23">
        <f t="shared" si="0"/>
        <v>2.7696397183203575E-2</v>
      </c>
      <c r="I53" s="24">
        <f>(I47+I50)*0.2</f>
        <v>218.81498000000002</v>
      </c>
    </row>
    <row r="54" spans="1:10" ht="15" customHeight="1" x14ac:dyDescent="0.25">
      <c r="A54" s="17">
        <f t="shared" si="1"/>
        <v>17</v>
      </c>
      <c r="B54" s="213" t="str">
        <f>IF(D6="12x36","Para postos 12x36 os feriados são considerados compensados, conforme parágrafo único, Art. 59-A da CLT","Outros")</f>
        <v>Outros</v>
      </c>
      <c r="C54" s="213"/>
      <c r="D54" s="213"/>
      <c r="E54" s="213"/>
      <c r="F54" s="213"/>
      <c r="G54" s="213"/>
      <c r="H54" s="23">
        <f t="shared" si="0"/>
        <v>0</v>
      </c>
      <c r="I54" s="24">
        <v>0</v>
      </c>
    </row>
    <row r="55" spans="1:10" s="28" customFormat="1" ht="15" customHeight="1" x14ac:dyDescent="0.25">
      <c r="A55" s="145" t="s">
        <v>55</v>
      </c>
      <c r="B55" s="145"/>
      <c r="C55" s="145"/>
      <c r="D55" s="145"/>
      <c r="E55" s="145"/>
      <c r="F55" s="145"/>
      <c r="G55" s="145"/>
      <c r="H55" s="25">
        <f>SUM(H38:H54)</f>
        <v>1</v>
      </c>
      <c r="I55" s="26">
        <f>SUM(I38:I54)</f>
        <v>7900.4853430069934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41" t="s">
        <v>57</v>
      </c>
      <c r="C57" s="141"/>
      <c r="D57" s="141"/>
      <c r="E57" s="141"/>
      <c r="F57" s="141"/>
      <c r="G57" s="141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24" t="s">
        <v>58</v>
      </c>
      <c r="C58" s="124"/>
      <c r="D58" s="124"/>
      <c r="E58" s="124"/>
      <c r="F58" s="124"/>
      <c r="G58" s="124"/>
      <c r="H58" s="23">
        <v>0.2</v>
      </c>
      <c r="I58" s="24">
        <f t="shared" ref="I58:I65" si="2">$I$55*H58</f>
        <v>1580.0970686013989</v>
      </c>
    </row>
    <row r="59" spans="1:10" ht="15" customHeight="1" x14ac:dyDescent="0.25">
      <c r="A59" s="17">
        <v>2</v>
      </c>
      <c r="B59" s="124" t="s">
        <v>59</v>
      </c>
      <c r="C59" s="124"/>
      <c r="D59" s="124"/>
      <c r="E59" s="124"/>
      <c r="F59" s="124"/>
      <c r="G59" s="124"/>
      <c r="H59" s="23">
        <v>1.4999999999999999E-2</v>
      </c>
      <c r="I59" s="24">
        <f t="shared" si="2"/>
        <v>118.5072801451049</v>
      </c>
    </row>
    <row r="60" spans="1:10" ht="15" customHeight="1" x14ac:dyDescent="0.25">
      <c r="A60" s="17">
        <v>3</v>
      </c>
      <c r="B60" s="124" t="s">
        <v>60</v>
      </c>
      <c r="C60" s="124"/>
      <c r="D60" s="124"/>
      <c r="E60" s="124"/>
      <c r="F60" s="124"/>
      <c r="G60" s="124"/>
      <c r="H60" s="23">
        <v>0.01</v>
      </c>
      <c r="I60" s="24">
        <f t="shared" si="2"/>
        <v>79.004853430069929</v>
      </c>
    </row>
    <row r="61" spans="1:10" ht="15" customHeight="1" x14ac:dyDescent="0.25">
      <c r="A61" s="17">
        <v>4</v>
      </c>
      <c r="B61" s="124" t="s">
        <v>61</v>
      </c>
      <c r="C61" s="124"/>
      <c r="D61" s="124"/>
      <c r="E61" s="124"/>
      <c r="F61" s="124"/>
      <c r="G61" s="124"/>
      <c r="H61" s="23">
        <v>2E-3</v>
      </c>
      <c r="I61" s="24">
        <f t="shared" si="2"/>
        <v>15.800970686013986</v>
      </c>
    </row>
    <row r="62" spans="1:10" ht="15" customHeight="1" x14ac:dyDescent="0.25">
      <c r="A62" s="17">
        <v>5</v>
      </c>
      <c r="B62" s="124" t="s">
        <v>62</v>
      </c>
      <c r="C62" s="124"/>
      <c r="D62" s="124"/>
      <c r="E62" s="124"/>
      <c r="F62" s="124"/>
      <c r="G62" s="124"/>
      <c r="H62" s="23">
        <v>2.5000000000000001E-2</v>
      </c>
      <c r="I62" s="24">
        <f t="shared" si="2"/>
        <v>197.51213357517486</v>
      </c>
    </row>
    <row r="63" spans="1:10" ht="15" customHeight="1" x14ac:dyDescent="0.25">
      <c r="A63" s="17">
        <v>6</v>
      </c>
      <c r="B63" s="124" t="s">
        <v>63</v>
      </c>
      <c r="C63" s="124"/>
      <c r="D63" s="124"/>
      <c r="E63" s="124"/>
      <c r="F63" s="124"/>
      <c r="G63" s="124"/>
      <c r="H63" s="23">
        <v>0.08</v>
      </c>
      <c r="I63" s="24">
        <f t="shared" si="2"/>
        <v>632.03882744055943</v>
      </c>
    </row>
    <row r="64" spans="1:10" ht="15" customHeight="1" x14ac:dyDescent="0.25">
      <c r="A64" s="17">
        <v>7</v>
      </c>
      <c r="B64" s="124" t="s">
        <v>64</v>
      </c>
      <c r="C64" s="124"/>
      <c r="D64" s="124"/>
      <c r="E64" s="124"/>
      <c r="F64" s="124"/>
      <c r="G64" s="124"/>
      <c r="H64" s="23">
        <v>0.03</v>
      </c>
      <c r="I64" s="24">
        <f t="shared" si="2"/>
        <v>237.0145602902098</v>
      </c>
    </row>
    <row r="65" spans="1:10" ht="15" customHeight="1" x14ac:dyDescent="0.25">
      <c r="A65" s="17">
        <v>8</v>
      </c>
      <c r="B65" s="124" t="s">
        <v>65</v>
      </c>
      <c r="C65" s="124"/>
      <c r="D65" s="124"/>
      <c r="E65" s="124"/>
      <c r="F65" s="124"/>
      <c r="G65" s="124"/>
      <c r="H65" s="23">
        <v>6.0000000000000001E-3</v>
      </c>
      <c r="I65" s="24">
        <f t="shared" si="2"/>
        <v>47.402912058041963</v>
      </c>
    </row>
    <row r="66" spans="1:10" s="28" customFormat="1" ht="15" customHeight="1" x14ac:dyDescent="0.25">
      <c r="A66" s="145" t="s">
        <v>66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2907.378606226574</v>
      </c>
      <c r="J66" s="27"/>
    </row>
    <row r="67" spans="1:10" ht="15" customHeight="1" x14ac:dyDescent="0.25">
      <c r="A67" s="164" t="s">
        <v>67</v>
      </c>
      <c r="B67" s="164"/>
      <c r="C67" s="164"/>
      <c r="D67" s="164"/>
      <c r="E67" s="164"/>
      <c r="F67" s="164"/>
      <c r="G67" s="164"/>
      <c r="H67" s="164"/>
      <c r="I67" s="164"/>
    </row>
    <row r="68" spans="1:10" ht="30.75" customHeight="1" x14ac:dyDescent="0.25">
      <c r="A68" s="165" t="s">
        <v>68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69</v>
      </c>
      <c r="B69" s="141" t="s">
        <v>70</v>
      </c>
      <c r="C69" s="141"/>
      <c r="D69" s="141"/>
      <c r="E69" s="141"/>
      <c r="F69" s="141"/>
      <c r="G69" s="141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24" t="s">
        <v>71</v>
      </c>
      <c r="C70" s="124"/>
      <c r="D70" s="124"/>
      <c r="E70" s="124"/>
      <c r="F70" s="124"/>
      <c r="G70" s="124"/>
      <c r="H70" s="23">
        <v>0.119314</v>
      </c>
      <c r="I70" s="24">
        <f t="shared" ref="I70:I77" si="3">$I$55*H70</f>
        <v>942.63850821553649</v>
      </c>
    </row>
    <row r="71" spans="1:10" ht="15" customHeight="1" x14ac:dyDescent="0.25">
      <c r="A71" s="17">
        <v>2</v>
      </c>
      <c r="B71" s="124" t="s">
        <v>72</v>
      </c>
      <c r="C71" s="124"/>
      <c r="D71" s="124"/>
      <c r="E71" s="124"/>
      <c r="F71" s="124"/>
      <c r="G71" s="124"/>
      <c r="H71" s="23">
        <v>2.0479000000000001E-2</v>
      </c>
      <c r="I71" s="24">
        <f t="shared" si="3"/>
        <v>161.79403933944022</v>
      </c>
    </row>
    <row r="72" spans="1:10" ht="15" customHeight="1" x14ac:dyDescent="0.25">
      <c r="A72" s="17">
        <v>3</v>
      </c>
      <c r="B72" s="124" t="s">
        <v>214</v>
      </c>
      <c r="C72" s="124"/>
      <c r="D72" s="124"/>
      <c r="E72" s="124"/>
      <c r="F72" s="124"/>
      <c r="G72" s="124"/>
      <c r="H72" s="23">
        <v>1.2123E-2</v>
      </c>
      <c r="I72" s="24">
        <f t="shared" si="3"/>
        <v>95.777583813273779</v>
      </c>
    </row>
    <row r="73" spans="1:10" ht="15" customHeight="1" x14ac:dyDescent="0.25">
      <c r="A73" s="17">
        <v>4</v>
      </c>
      <c r="B73" s="124" t="s">
        <v>74</v>
      </c>
      <c r="C73" s="124"/>
      <c r="D73" s="124"/>
      <c r="E73" s="124"/>
      <c r="F73" s="124"/>
      <c r="G73" s="124"/>
      <c r="H73" s="23">
        <v>1.1436E-2</v>
      </c>
      <c r="I73" s="24">
        <f t="shared" si="3"/>
        <v>90.349950382627981</v>
      </c>
    </row>
    <row r="74" spans="1:10" ht="15" customHeight="1" x14ac:dyDescent="0.25">
      <c r="A74" s="17">
        <v>5</v>
      </c>
      <c r="B74" s="124" t="s">
        <v>75</v>
      </c>
      <c r="C74" s="124"/>
      <c r="D74" s="124"/>
      <c r="E74" s="124"/>
      <c r="F74" s="124"/>
      <c r="G74" s="124"/>
      <c r="H74" s="23">
        <v>1.74E-4</v>
      </c>
      <c r="I74" s="24">
        <f t="shared" si="3"/>
        <v>1.3746844496832169</v>
      </c>
    </row>
    <row r="75" spans="1:10" ht="15" customHeight="1" x14ac:dyDescent="0.25">
      <c r="A75" s="17">
        <v>6</v>
      </c>
      <c r="B75" s="124" t="s">
        <v>76</v>
      </c>
      <c r="C75" s="124"/>
      <c r="D75" s="124"/>
      <c r="E75" s="124"/>
      <c r="F75" s="124"/>
      <c r="G75" s="124"/>
      <c r="H75" s="23">
        <v>4.4200000000000001E-4</v>
      </c>
      <c r="I75" s="24">
        <f t="shared" si="3"/>
        <v>3.4920145216090912</v>
      </c>
    </row>
    <row r="76" spans="1:10" ht="15" customHeight="1" x14ac:dyDescent="0.25">
      <c r="A76" s="17">
        <v>7</v>
      </c>
      <c r="B76" s="124" t="s">
        <v>77</v>
      </c>
      <c r="C76" s="124"/>
      <c r="D76" s="124"/>
      <c r="E76" s="124"/>
      <c r="F76" s="124"/>
      <c r="G76" s="124"/>
      <c r="H76" s="23">
        <v>1.85E-4</v>
      </c>
      <c r="I76" s="24">
        <f t="shared" si="3"/>
        <v>1.4615897884562938</v>
      </c>
    </row>
    <row r="77" spans="1:10" ht="15" customHeight="1" x14ac:dyDescent="0.25">
      <c r="A77" s="17">
        <v>8</v>
      </c>
      <c r="B77" s="124" t="s">
        <v>78</v>
      </c>
      <c r="C77" s="124"/>
      <c r="D77" s="124"/>
      <c r="E77" s="124"/>
      <c r="F77" s="124"/>
      <c r="G77" s="124"/>
      <c r="H77" s="23">
        <v>9.0789999999999996E-2</v>
      </c>
      <c r="I77" s="24">
        <f t="shared" si="3"/>
        <v>717.28506429160484</v>
      </c>
    </row>
    <row r="78" spans="1:10" s="28" customFormat="1" ht="15" customHeight="1" x14ac:dyDescent="0.25">
      <c r="A78" s="145" t="s">
        <v>79</v>
      </c>
      <c r="B78" s="145"/>
      <c r="C78" s="145"/>
      <c r="D78" s="145"/>
      <c r="E78" s="145"/>
      <c r="F78" s="145"/>
      <c r="G78" s="145"/>
      <c r="H78" s="25">
        <f>SUM(H70:H77)</f>
        <v>0.25494299999999998</v>
      </c>
      <c r="I78" s="26">
        <f>SUM(I70:I77)</f>
        <v>2014.1734348022317</v>
      </c>
      <c r="J78" s="27"/>
    </row>
    <row r="79" spans="1:10" ht="11.25" customHeight="1" x14ac:dyDescent="0.25">
      <c r="A79" s="29" t="s">
        <v>80</v>
      </c>
      <c r="B79" s="166" t="s">
        <v>81</v>
      </c>
      <c r="C79" s="166"/>
      <c r="D79" s="166"/>
      <c r="E79" s="166"/>
      <c r="F79" s="166"/>
      <c r="G79" s="166"/>
      <c r="H79" s="166"/>
      <c r="I79" s="166"/>
    </row>
    <row r="80" spans="1:10" ht="15" customHeight="1" x14ac:dyDescent="0.25">
      <c r="A80" s="29" t="s">
        <v>82</v>
      </c>
      <c r="B80" s="167" t="s">
        <v>83</v>
      </c>
      <c r="C80" s="167"/>
      <c r="D80" s="167"/>
      <c r="E80" s="167"/>
      <c r="F80" s="167"/>
      <c r="G80" s="167"/>
      <c r="H80" s="167"/>
      <c r="I80" s="167"/>
    </row>
    <row r="81" spans="1:11" ht="33.75" customHeight="1" x14ac:dyDescent="0.25">
      <c r="A81" s="22" t="s">
        <v>84</v>
      </c>
      <c r="B81" s="141" t="s">
        <v>85</v>
      </c>
      <c r="C81" s="141"/>
      <c r="D81" s="141"/>
      <c r="E81" s="141"/>
      <c r="F81" s="141"/>
      <c r="G81" s="141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24" t="s">
        <v>86</v>
      </c>
      <c r="C82" s="124"/>
      <c r="D82" s="124"/>
      <c r="E82" s="124"/>
      <c r="F82" s="124"/>
      <c r="G82" s="124"/>
      <c r="H82" s="23">
        <v>4.8321000000000003E-2</v>
      </c>
      <c r="I82" s="24">
        <f>$I$55*H82</f>
        <v>381.75935225944096</v>
      </c>
    </row>
    <row r="83" spans="1:11" ht="15" customHeight="1" x14ac:dyDescent="0.25">
      <c r="A83" s="17">
        <v>2</v>
      </c>
      <c r="B83" s="124" t="s">
        <v>87</v>
      </c>
      <c r="C83" s="124"/>
      <c r="D83" s="124"/>
      <c r="E83" s="124"/>
      <c r="F83" s="124"/>
      <c r="G83" s="124"/>
      <c r="H83" s="23">
        <v>3.5109999999999998E-3</v>
      </c>
      <c r="I83" s="24">
        <f>$I$55*H83</f>
        <v>27.738604039297552</v>
      </c>
    </row>
    <row r="84" spans="1:11" ht="15" customHeight="1" x14ac:dyDescent="0.25">
      <c r="A84" s="17">
        <v>3</v>
      </c>
      <c r="B84" s="124" t="s">
        <v>88</v>
      </c>
      <c r="C84" s="124"/>
      <c r="D84" s="124"/>
      <c r="E84" s="124"/>
      <c r="F84" s="124"/>
      <c r="G84" s="124"/>
      <c r="H84" s="23">
        <v>1.9328000000000001E-2</v>
      </c>
      <c r="I84" s="24">
        <f>$I$55*H84</f>
        <v>152.70058070963918</v>
      </c>
    </row>
    <row r="85" spans="1:11" s="28" customFormat="1" ht="15" customHeight="1" x14ac:dyDescent="0.25">
      <c r="A85" s="145" t="s">
        <v>89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562.19853700837768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41" t="s">
        <v>91</v>
      </c>
      <c r="C87" s="141"/>
      <c r="D87" s="141"/>
      <c r="E87" s="141"/>
      <c r="F87" s="141"/>
      <c r="G87" s="141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24" t="s">
        <v>92</v>
      </c>
      <c r="C88" s="124"/>
      <c r="D88" s="124"/>
      <c r="E88" s="124"/>
      <c r="F88" s="124"/>
      <c r="G88" s="124"/>
      <c r="H88" s="23">
        <f>(H66*H78)</f>
        <v>9.3819024000000015E-2</v>
      </c>
      <c r="I88" s="24">
        <f>$I$55*H88</f>
        <v>741.2158240072215</v>
      </c>
    </row>
    <row r="89" spans="1:11" s="28" customFormat="1" ht="15" customHeight="1" x14ac:dyDescent="0.25">
      <c r="A89" s="145" t="s">
        <v>93</v>
      </c>
      <c r="B89" s="145"/>
      <c r="C89" s="145"/>
      <c r="D89" s="145"/>
      <c r="E89" s="145"/>
      <c r="F89" s="145"/>
      <c r="G89" s="145"/>
      <c r="H89" s="25">
        <f>SUM(H88:H88)</f>
        <v>9.3819024000000015E-2</v>
      </c>
      <c r="I89" s="26">
        <f>I88</f>
        <v>741.2158240072215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1" t="s">
        <v>94</v>
      </c>
      <c r="B91" s="171"/>
      <c r="C91" s="171"/>
      <c r="D91" s="171"/>
      <c r="E91" s="171"/>
      <c r="F91" s="171"/>
      <c r="G91" s="171"/>
      <c r="H91" s="32">
        <f>H66+H78+H85+H89</f>
        <v>0.787922024</v>
      </c>
      <c r="I91" s="33">
        <f>I66+I78+I85+I89</f>
        <v>6224.9664020444043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41" t="s">
        <v>96</v>
      </c>
      <c r="C93" s="141"/>
      <c r="D93" s="141"/>
      <c r="E93" s="141"/>
      <c r="F93" s="141"/>
      <c r="G93" s="141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24" t="s">
        <v>97</v>
      </c>
      <c r="C94" s="124"/>
      <c r="D94" s="124"/>
      <c r="E94" s="124"/>
      <c r="F94" s="124"/>
      <c r="G94" s="124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4" t="s">
        <v>27</v>
      </c>
      <c r="C95" s="124"/>
      <c r="D95" s="124"/>
      <c r="E95" s="124"/>
      <c r="F95" s="124"/>
      <c r="G95" s="12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8" t="s">
        <v>98</v>
      </c>
      <c r="C96" s="169"/>
      <c r="D96" s="169"/>
      <c r="E96" s="169"/>
      <c r="F96" s="169"/>
      <c r="G96" s="17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4" t="s">
        <v>99</v>
      </c>
      <c r="C97" s="124"/>
      <c r="D97" s="124"/>
      <c r="E97" s="124"/>
      <c r="F97" s="124"/>
      <c r="G97" s="124"/>
      <c r="H97" s="23">
        <f t="shared" si="4"/>
        <v>1.1348669873726353E-3</v>
      </c>
      <c r="I97" s="24">
        <f>I106</f>
        <v>8.9660000000000082</v>
      </c>
    </row>
    <row r="98" spans="1:10" ht="15" customHeight="1" x14ac:dyDescent="0.25">
      <c r="A98" s="17">
        <f t="shared" si="5"/>
        <v>5</v>
      </c>
      <c r="B98" s="124" t="s">
        <v>100</v>
      </c>
      <c r="C98" s="124"/>
      <c r="D98" s="124"/>
      <c r="E98" s="124"/>
      <c r="F98" s="124"/>
      <c r="G98" s="12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4" t="s">
        <v>101</v>
      </c>
      <c r="C99" s="124"/>
      <c r="D99" s="124"/>
      <c r="E99" s="124"/>
      <c r="F99" s="124"/>
      <c r="G99" s="124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4" t="s">
        <v>31</v>
      </c>
      <c r="C100" s="124"/>
      <c r="D100" s="124"/>
      <c r="E100" s="124"/>
      <c r="F100" s="124"/>
      <c r="G100" s="124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4" t="s">
        <v>102</v>
      </c>
      <c r="C101" s="124"/>
      <c r="D101" s="124"/>
      <c r="E101" s="124"/>
      <c r="F101" s="124"/>
      <c r="G101" s="124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45" t="s">
        <v>103</v>
      </c>
      <c r="B102" s="145"/>
      <c r="C102" s="145"/>
      <c r="D102" s="145"/>
      <c r="E102" s="145"/>
      <c r="F102" s="145"/>
      <c r="G102" s="145"/>
      <c r="H102" s="25">
        <f>SUM(H94:H101)</f>
        <v>1.1348669873726353E-3</v>
      </c>
      <c r="I102" s="26">
        <f>SUM(I94:I101)</f>
        <v>8.9660000000000082</v>
      </c>
      <c r="J102" s="34"/>
    </row>
    <row r="103" spans="1:10" ht="5.25" customHeight="1" x14ac:dyDescent="0.25">
      <c r="A103" s="29"/>
      <c r="B103" s="164"/>
      <c r="C103" s="164"/>
      <c r="D103" s="164"/>
      <c r="E103" s="164"/>
      <c r="F103" s="164"/>
      <c r="G103" s="164"/>
      <c r="H103" s="35"/>
      <c r="I103" s="36"/>
    </row>
    <row r="104" spans="1:10" ht="15" customHeight="1" x14ac:dyDescent="0.25">
      <c r="A104" s="172" t="s">
        <v>106</v>
      </c>
      <c r="B104" s="172"/>
      <c r="C104" s="172"/>
      <c r="D104" s="172"/>
      <c r="E104" s="172"/>
      <c r="F104" s="172"/>
      <c r="G104" s="172"/>
      <c r="H104" s="172"/>
      <c r="I104" s="172"/>
    </row>
    <row r="105" spans="1:10" ht="24" customHeight="1" x14ac:dyDescent="0.25">
      <c r="A105" s="125" t="s">
        <v>107</v>
      </c>
      <c r="B105" s="125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8">
        <f>IF(I12="Não aplicável",0,I12)</f>
        <v>5.3</v>
      </c>
      <c r="B106" s="17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4443.8999999999996</v>
      </c>
      <c r="G106" s="38">
        <f>IF(I14="Não aplicável",0,I14)</f>
        <v>0.06</v>
      </c>
      <c r="H106" s="37">
        <f>F106*G106</f>
        <v>266.63399999999996</v>
      </c>
      <c r="I106" s="24">
        <f>IF((E106-H106)&gt;0,E106-H106,0)</f>
        <v>8.9660000000000082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2" t="s">
        <v>115</v>
      </c>
      <c r="B108" s="172"/>
      <c r="C108" s="172"/>
      <c r="D108" s="172"/>
      <c r="E108" s="172"/>
      <c r="F108" s="172"/>
      <c r="G108" s="172"/>
      <c r="H108" s="172"/>
      <c r="I108" s="172"/>
    </row>
    <row r="109" spans="1:10" ht="24" customHeight="1" x14ac:dyDescent="0.25">
      <c r="A109" s="125" t="s">
        <v>107</v>
      </c>
      <c r="B109" s="125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73">
        <f>IF(I18="Não aplicável",0,I18)</f>
        <v>0</v>
      </c>
      <c r="B110" s="17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2" t="s">
        <v>215</v>
      </c>
      <c r="B112" s="172"/>
      <c r="C112" s="172"/>
      <c r="D112" s="172"/>
      <c r="E112" s="172"/>
      <c r="F112" s="172"/>
      <c r="G112" s="172"/>
      <c r="H112" s="172"/>
      <c r="I112" s="172"/>
    </row>
    <row r="113" spans="1:12" ht="23.25" customHeight="1" x14ac:dyDescent="0.25">
      <c r="A113" s="125" t="s">
        <v>107</v>
      </c>
      <c r="B113" s="125"/>
      <c r="C113" s="17" t="s">
        <v>116</v>
      </c>
      <c r="D113" s="17" t="s">
        <v>109</v>
      </c>
      <c r="E113" s="17" t="s">
        <v>110</v>
      </c>
      <c r="F113" s="17" t="s">
        <v>111</v>
      </c>
      <c r="G113" s="17" t="s">
        <v>112</v>
      </c>
      <c r="H113" s="23" t="str">
        <f>H105</f>
        <v>Valor desconto</v>
      </c>
      <c r="I113" s="24" t="s">
        <v>114</v>
      </c>
    </row>
    <row r="114" spans="1:12" ht="15" customHeight="1" x14ac:dyDescent="0.25">
      <c r="A114" s="173">
        <f>IF(I15="Não aplicável",0,I15)</f>
        <v>0</v>
      </c>
      <c r="B114" s="17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79" t="s">
        <v>118</v>
      </c>
      <c r="B116" s="179"/>
      <c r="C116" s="179"/>
      <c r="D116" s="179"/>
      <c r="E116" s="179"/>
      <c r="F116" s="179"/>
      <c r="G116" s="179"/>
      <c r="H116" s="47">
        <f>H55+H91+H102</f>
        <v>1.7890568909873725</v>
      </c>
      <c r="I116" s="48">
        <f>I55+I91+I102</f>
        <v>14134.417745051398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0" t="s">
        <v>119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2" t="s">
        <v>43</v>
      </c>
      <c r="B119" s="141" t="s">
        <v>120</v>
      </c>
      <c r="C119" s="141"/>
      <c r="D119" s="141"/>
      <c r="E119" s="141"/>
      <c r="F119" s="141"/>
      <c r="G119" s="141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24" t="s">
        <v>121</v>
      </c>
      <c r="C120" s="124"/>
      <c r="D120" s="124"/>
      <c r="E120" s="124"/>
      <c r="F120" s="124"/>
      <c r="G120" s="124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6" t="s">
        <v>122</v>
      </c>
      <c r="C121" s="146"/>
      <c r="D121" s="146"/>
      <c r="E121" s="146"/>
      <c r="F121" s="146"/>
      <c r="G121" s="146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24" t="s">
        <v>123</v>
      </c>
      <c r="C122" s="124"/>
      <c r="D122" s="124"/>
      <c r="E122" s="124"/>
      <c r="F122" s="124"/>
      <c r="G122" s="124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4" t="s">
        <v>124</v>
      </c>
      <c r="C123" s="124"/>
      <c r="D123" s="124"/>
      <c r="E123" s="124"/>
      <c r="F123" s="124"/>
      <c r="G123" s="124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4" t="s">
        <v>125</v>
      </c>
      <c r="C124" s="124"/>
      <c r="D124" s="124"/>
      <c r="E124" s="124"/>
      <c r="F124" s="124"/>
      <c r="G124" s="124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4" t="s">
        <v>216</v>
      </c>
      <c r="C125" s="124"/>
      <c r="D125" s="124"/>
      <c r="E125" s="124"/>
      <c r="F125" s="124"/>
      <c r="G125" s="124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4" t="s">
        <v>127</v>
      </c>
      <c r="C126" s="124"/>
      <c r="D126" s="124"/>
      <c r="E126" s="124"/>
      <c r="F126" s="124"/>
      <c r="G126" s="124"/>
      <c r="H126" s="23">
        <f t="shared" si="7"/>
        <v>0</v>
      </c>
      <c r="I126" s="24">
        <v>0</v>
      </c>
    </row>
    <row r="127" spans="1:12" ht="15" customHeight="1" x14ac:dyDescent="0.25">
      <c r="A127" s="145" t="s">
        <v>128</v>
      </c>
      <c r="B127" s="145"/>
      <c r="C127" s="145"/>
      <c r="D127" s="145"/>
      <c r="E127" s="145"/>
      <c r="F127" s="145"/>
      <c r="G127" s="145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66" t="s">
        <v>129</v>
      </c>
      <c r="C128" s="166"/>
      <c r="D128" s="166"/>
      <c r="E128" s="166"/>
      <c r="F128" s="166"/>
      <c r="G128" s="166"/>
      <c r="H128" s="166"/>
      <c r="I128" s="166"/>
    </row>
    <row r="129" spans="1:12" ht="5.25" customHeight="1" x14ac:dyDescent="0.25"/>
    <row r="130" spans="1:12" ht="48.75" customHeight="1" x14ac:dyDescent="0.25">
      <c r="A130" s="182" t="s">
        <v>130</v>
      </c>
      <c r="B130" s="182"/>
      <c r="C130" s="182"/>
      <c r="D130" s="182"/>
      <c r="E130" s="182"/>
      <c r="F130" s="55">
        <f>I29</f>
        <v>0.1</v>
      </c>
      <c r="G130" s="56">
        <f>I132*F130</f>
        <v>1412.54517450514</v>
      </c>
      <c r="H130" s="57" t="s">
        <v>131</v>
      </c>
      <c r="I130" s="58">
        <f>I97</f>
        <v>8.9660000000000082</v>
      </c>
    </row>
    <row r="131" spans="1:12" s="61" customFormat="1" ht="16.5" customHeight="1" x14ac:dyDescent="0.25">
      <c r="A131" s="183" t="s">
        <v>132</v>
      </c>
      <c r="B131" s="183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84">
        <f>I55</f>
        <v>7900.4853430069934</v>
      </c>
      <c r="B132" s="184"/>
      <c r="C132" s="62">
        <f>I66</f>
        <v>2907.378606226574</v>
      </c>
      <c r="D132" s="62">
        <f>I78</f>
        <v>2014.1734348022317</v>
      </c>
      <c r="E132" s="62">
        <f>I85</f>
        <v>562.19853700837768</v>
      </c>
      <c r="F132" s="62">
        <f>I89</f>
        <v>741.2158240072215</v>
      </c>
      <c r="G132" s="62">
        <f>I102</f>
        <v>8.9660000000000082</v>
      </c>
      <c r="H132" s="62">
        <f>A132+C132+D132+E132+F132+G132</f>
        <v>14134.4177450514</v>
      </c>
      <c r="I132" s="62">
        <f>H132-I130</f>
        <v>14125.451745051399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56</v>
      </c>
      <c r="B134" s="141" t="s">
        <v>140</v>
      </c>
      <c r="C134" s="141"/>
      <c r="D134" s="141"/>
      <c r="E134" s="141"/>
      <c r="F134" s="141"/>
      <c r="G134" s="141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24" t="s">
        <v>141</v>
      </c>
      <c r="C135" s="124"/>
      <c r="D135" s="124"/>
      <c r="E135" s="124"/>
      <c r="F135" s="124"/>
      <c r="G135" s="12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4" t="s">
        <v>142</v>
      </c>
      <c r="C136" s="124"/>
      <c r="D136" s="124"/>
      <c r="E136" s="124"/>
      <c r="F136" s="124"/>
      <c r="G136" s="124"/>
      <c r="H136" s="23">
        <f>I136/$I$145</f>
        <v>0</v>
      </c>
      <c r="I136" s="24">
        <v>0</v>
      </c>
    </row>
    <row r="137" spans="1:12" ht="38.25" customHeight="1" x14ac:dyDescent="0.25">
      <c r="A137" s="180" t="s">
        <v>143</v>
      </c>
      <c r="B137" s="145"/>
      <c r="C137" s="145"/>
      <c r="D137" s="145"/>
      <c r="E137" s="145"/>
      <c r="F137" s="145"/>
      <c r="G137" s="14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41" t="s">
        <v>144</v>
      </c>
      <c r="C139" s="141"/>
      <c r="D139" s="141"/>
      <c r="E139" s="141"/>
      <c r="F139" s="141"/>
      <c r="G139" s="141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24" t="s">
        <v>144</v>
      </c>
      <c r="C140" s="124"/>
      <c r="D140" s="124"/>
      <c r="E140" s="124"/>
      <c r="F140" s="124"/>
      <c r="G140" s="124"/>
      <c r="H140" s="23">
        <f>I140/I145</f>
        <v>0</v>
      </c>
      <c r="I140" s="24">
        <v>0</v>
      </c>
    </row>
    <row r="141" spans="1:12" ht="34.5" customHeight="1" x14ac:dyDescent="0.25">
      <c r="A141" s="180" t="s">
        <v>145</v>
      </c>
      <c r="B141" s="145"/>
      <c r="C141" s="145"/>
      <c r="D141" s="145"/>
      <c r="E141" s="145"/>
      <c r="F141" s="145"/>
      <c r="G141" s="14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146</v>
      </c>
      <c r="B143" s="181"/>
      <c r="C143" s="181"/>
      <c r="D143" s="181"/>
      <c r="E143" s="181"/>
      <c r="F143" s="55">
        <v>0.18</v>
      </c>
      <c r="G143" s="56">
        <f>I145*F143</f>
        <v>2542.5813141092517</v>
      </c>
      <c r="H143" s="57" t="s">
        <v>131</v>
      </c>
      <c r="I143" s="58">
        <f>I97</f>
        <v>8.9660000000000082</v>
      </c>
      <c r="L143" s="2"/>
    </row>
    <row r="144" spans="1:12" s="61" customFormat="1" ht="16.5" customHeight="1" x14ac:dyDescent="0.25">
      <c r="A144" s="183" t="s">
        <v>132</v>
      </c>
      <c r="B144" s="183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84">
        <f>I55</f>
        <v>7900.4853430069934</v>
      </c>
      <c r="B145" s="184"/>
      <c r="C145" s="62">
        <f>I66</f>
        <v>2907.378606226574</v>
      </c>
      <c r="D145" s="62">
        <f>I78</f>
        <v>2014.1734348022317</v>
      </c>
      <c r="E145" s="62">
        <f>I85</f>
        <v>562.19853700837768</v>
      </c>
      <c r="F145" s="62">
        <f>I89</f>
        <v>741.2158240072215</v>
      </c>
      <c r="G145" s="62">
        <f>I102</f>
        <v>8.9660000000000082</v>
      </c>
      <c r="H145" s="62">
        <f>A145+C145+D145+E145+F145+G145</f>
        <v>14134.4177450514</v>
      </c>
      <c r="I145" s="62">
        <f>H145-I143</f>
        <v>14125.451745051399</v>
      </c>
      <c r="J145" s="34"/>
      <c r="L145" s="2"/>
    </row>
    <row r="146" spans="1:12" ht="4.5" customHeight="1" x14ac:dyDescent="0.25"/>
    <row r="147" spans="1:12" ht="12" customHeight="1" x14ac:dyDescent="0.25">
      <c r="A147" s="179" t="s">
        <v>147</v>
      </c>
      <c r="B147" s="179"/>
      <c r="C147" s="179"/>
      <c r="D147" s="179"/>
      <c r="E147" s="179"/>
      <c r="F147" s="179"/>
      <c r="G147" s="17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0" t="s">
        <v>148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2" t="s">
        <v>43</v>
      </c>
      <c r="B150" s="141" t="s">
        <v>149</v>
      </c>
      <c r="C150" s="141"/>
      <c r="D150" s="141"/>
      <c r="E150" s="141"/>
      <c r="F150" s="141"/>
      <c r="G150" s="141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24" t="s">
        <v>150</v>
      </c>
      <c r="C151" s="124"/>
      <c r="D151" s="124"/>
      <c r="E151" s="124"/>
      <c r="F151" s="124"/>
      <c r="G151" s="124"/>
      <c r="H151" s="23">
        <f>I151/$I$116</f>
        <v>7.5801749271137021E-3</v>
      </c>
      <c r="I151" s="24">
        <f>($D$161/$E$162)*H161</f>
        <v>107.1413590003896</v>
      </c>
    </row>
    <row r="152" spans="1:12" ht="15" customHeight="1" x14ac:dyDescent="0.25">
      <c r="A152" s="17">
        <v>2</v>
      </c>
      <c r="B152" s="124" t="s">
        <v>151</v>
      </c>
      <c r="C152" s="124"/>
      <c r="D152" s="124"/>
      <c r="E152" s="124"/>
      <c r="F152" s="124"/>
      <c r="G152" s="124"/>
      <c r="H152" s="23">
        <f>I152/$I$116</f>
        <v>3.4985422740524783E-2</v>
      </c>
      <c r="I152" s="24">
        <f>($D$161/$E$162)*H162</f>
        <v>494.49858000179819</v>
      </c>
    </row>
    <row r="153" spans="1:12" ht="15" customHeight="1" x14ac:dyDescent="0.25">
      <c r="A153" s="17">
        <v>3</v>
      </c>
      <c r="B153" s="124" t="s">
        <v>20</v>
      </c>
      <c r="C153" s="124"/>
      <c r="D153" s="124"/>
      <c r="E153" s="124"/>
      <c r="F153" s="124"/>
      <c r="G153" s="124"/>
      <c r="H153" s="23">
        <f>I153/$I$116</f>
        <v>5.830903790087464E-2</v>
      </c>
      <c r="I153" s="24">
        <f>($D$161/$E$162)*H163</f>
        <v>824.16430000299704</v>
      </c>
    </row>
    <row r="154" spans="1:12" ht="15" customHeight="1" x14ac:dyDescent="0.25">
      <c r="A154" s="17">
        <v>4</v>
      </c>
      <c r="B154" s="124" t="s">
        <v>152</v>
      </c>
      <c r="C154" s="124"/>
      <c r="D154" s="124"/>
      <c r="E154" s="124"/>
      <c r="F154" s="124"/>
      <c r="G154" s="12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4" t="s">
        <v>153</v>
      </c>
      <c r="C155" s="124"/>
      <c r="D155" s="124"/>
      <c r="E155" s="124"/>
      <c r="F155" s="124"/>
      <c r="G155" s="12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5" t="s">
        <v>154</v>
      </c>
      <c r="B156" s="145"/>
      <c r="C156" s="145"/>
      <c r="D156" s="145"/>
      <c r="E156" s="145"/>
      <c r="F156" s="145"/>
      <c r="G156" s="145"/>
      <c r="H156" s="25">
        <f>H151+H152+H153+H154+H155</f>
        <v>0.10087463556851312</v>
      </c>
      <c r="I156" s="26">
        <f>SUM(I151:I155)</f>
        <v>1425.8042390051849</v>
      </c>
    </row>
    <row r="157" spans="1:12" ht="11.25" customHeight="1" x14ac:dyDescent="0.25">
      <c r="A157" s="29" t="s">
        <v>155</v>
      </c>
      <c r="B157" s="166" t="s">
        <v>156</v>
      </c>
      <c r="C157" s="166"/>
      <c r="D157" s="166"/>
      <c r="E157" s="166"/>
      <c r="F157" s="166"/>
      <c r="G157" s="166"/>
      <c r="H157" s="166"/>
      <c r="I157" s="166"/>
    </row>
    <row r="158" spans="1:12" ht="20.25" customHeight="1" x14ac:dyDescent="0.25">
      <c r="A158" s="29" t="s">
        <v>157</v>
      </c>
      <c r="B158" s="190" t="s">
        <v>158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2" t="s">
        <v>159</v>
      </c>
      <c r="B159" s="172"/>
      <c r="C159" s="172"/>
      <c r="D159" s="172"/>
      <c r="E159" s="172"/>
      <c r="F159" s="172"/>
      <c r="G159" s="172"/>
      <c r="H159" s="172"/>
      <c r="I159" s="172"/>
    </row>
    <row r="160" spans="1:12" ht="13.5" customHeight="1" x14ac:dyDescent="0.25">
      <c r="A160" s="125" t="s">
        <v>160</v>
      </c>
      <c r="B160" s="125"/>
      <c r="C160" s="17" t="s">
        <v>161</v>
      </c>
      <c r="D160" s="149" t="s">
        <v>162</v>
      </c>
      <c r="E160" s="149"/>
      <c r="F160" s="17" t="s">
        <v>163</v>
      </c>
      <c r="G160" s="116" t="s">
        <v>164</v>
      </c>
      <c r="H160" s="191" t="s">
        <v>165</v>
      </c>
      <c r="I160" s="191"/>
    </row>
    <row r="161" spans="1:10" ht="13.5" customHeight="1" x14ac:dyDescent="0.25">
      <c r="A161" s="192">
        <f>I116</f>
        <v>14134.417745051398</v>
      </c>
      <c r="B161" s="192"/>
      <c r="C161" s="24">
        <f>I147</f>
        <v>0</v>
      </c>
      <c r="D161" s="193">
        <f>A161+C161</f>
        <v>14134.417745051398</v>
      </c>
      <c r="E161" s="193"/>
      <c r="F161" s="17" t="s">
        <v>150</v>
      </c>
      <c r="G161" s="117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166</v>
      </c>
      <c r="B162" s="186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">
        <v>151</v>
      </c>
      <c r="G162" s="117">
        <v>7.5999999999999998E-2</v>
      </c>
      <c r="H162" s="187">
        <v>0.03</v>
      </c>
      <c r="I162" s="187"/>
    </row>
    <row r="163" spans="1:10" ht="13.5" customHeight="1" x14ac:dyDescent="0.25">
      <c r="A163" s="188" t="s">
        <v>167</v>
      </c>
      <c r="B163" s="188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">
        <v>20</v>
      </c>
      <c r="G163" s="117">
        <f>I11</f>
        <v>0.05</v>
      </c>
      <c r="H163" s="187">
        <f>I11</f>
        <v>0.05</v>
      </c>
      <c r="I163" s="187"/>
    </row>
    <row r="164" spans="1:10" ht="13.5" customHeight="1" x14ac:dyDescent="0.25">
      <c r="A164" s="198" t="s">
        <v>168</v>
      </c>
      <c r="B164" s="198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87">
        <v>0</v>
      </c>
      <c r="I164" s="187"/>
    </row>
    <row r="165" spans="1:10" ht="13.5" customHeight="1" x14ac:dyDescent="0.25">
      <c r="A165" s="195" t="s">
        <v>170</v>
      </c>
      <c r="B165" s="195" t="s">
        <v>171</v>
      </c>
      <c r="C165" s="195"/>
      <c r="D165" s="195"/>
      <c r="E165" s="195"/>
      <c r="F165" s="12" t="s">
        <v>172</v>
      </c>
      <c r="G165" s="117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3" t="s">
        <v>173</v>
      </c>
      <c r="G166" s="118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9" t="s">
        <v>174</v>
      </c>
      <c r="B167" s="190" t="s">
        <v>175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5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79" t="s">
        <v>176</v>
      </c>
      <c r="B169" s="179"/>
      <c r="C169" s="179"/>
      <c r="D169" s="179"/>
      <c r="E169" s="179"/>
      <c r="F169" s="179"/>
      <c r="G169" s="179"/>
      <c r="H169" s="47">
        <f>H156</f>
        <v>0.10087463556851312</v>
      </c>
      <c r="I169" s="48">
        <f>I156</f>
        <v>1425.8042390051849</v>
      </c>
    </row>
    <row r="170" spans="1:10" ht="4.5" customHeight="1" x14ac:dyDescent="0.25"/>
    <row r="171" spans="1:10" ht="11.25" customHeight="1" x14ac:dyDescent="0.25">
      <c r="A171" s="194" t="s">
        <v>177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0" t="s">
        <v>42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7">
        <v>1</v>
      </c>
      <c r="B173" s="124" t="s">
        <v>178</v>
      </c>
      <c r="C173" s="124"/>
      <c r="D173" s="124"/>
      <c r="E173" s="124"/>
      <c r="F173" s="124"/>
      <c r="G173" s="124"/>
      <c r="H173" s="23">
        <f>I173/$G$196</f>
        <v>0.50773603044365567</v>
      </c>
      <c r="I173" s="66">
        <f>I55</f>
        <v>7900.4853430069934</v>
      </c>
    </row>
    <row r="174" spans="1:10" ht="15" customHeight="1" x14ac:dyDescent="0.25">
      <c r="A174" s="17">
        <v>2</v>
      </c>
      <c r="B174" s="124" t="s">
        <v>179</v>
      </c>
      <c r="C174" s="124"/>
      <c r="D174" s="124"/>
      <c r="E174" s="124"/>
      <c r="F174" s="124"/>
      <c r="G174" s="124"/>
      <c r="H174" s="23">
        <f>I174/$G$196</f>
        <v>0.4000564007648908</v>
      </c>
      <c r="I174" s="66">
        <f>I66+I78+I85+I89</f>
        <v>6224.9664020444043</v>
      </c>
    </row>
    <row r="175" spans="1:10" ht="15" customHeight="1" x14ac:dyDescent="0.25">
      <c r="A175" s="17">
        <v>3</v>
      </c>
      <c r="B175" s="124" t="s">
        <v>180</v>
      </c>
      <c r="C175" s="124"/>
      <c r="D175" s="124"/>
      <c r="E175" s="124"/>
      <c r="F175" s="124"/>
      <c r="G175" s="124"/>
      <c r="H175" s="23">
        <f>I175/$G$196</f>
        <v>5.7621285925013219E-4</v>
      </c>
      <c r="I175" s="66">
        <f>I102</f>
        <v>8.9660000000000082</v>
      </c>
    </row>
    <row r="176" spans="1:10" s="28" customFormat="1" ht="15" customHeight="1" x14ac:dyDescent="0.25">
      <c r="A176" s="179" t="s">
        <v>181</v>
      </c>
      <c r="B176" s="179"/>
      <c r="C176" s="179"/>
      <c r="D176" s="179"/>
      <c r="E176" s="179"/>
      <c r="F176" s="179"/>
      <c r="G176" s="179"/>
      <c r="H176" s="47">
        <f>H173+H174+H175</f>
        <v>0.9083686440677966</v>
      </c>
      <c r="I176" s="48">
        <f>SUM(I173:I175)</f>
        <v>14134.417745051398</v>
      </c>
      <c r="J176" s="35"/>
    </row>
    <row r="177" spans="1:11" ht="4.5" customHeight="1" x14ac:dyDescent="0.25"/>
    <row r="178" spans="1:11" ht="11.25" customHeight="1" x14ac:dyDescent="0.25">
      <c r="A178" s="140" t="s">
        <v>119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7">
        <v>1</v>
      </c>
      <c r="B179" s="124" t="s">
        <v>182</v>
      </c>
      <c r="C179" s="124"/>
      <c r="D179" s="124"/>
      <c r="E179" s="124"/>
      <c r="F179" s="124"/>
      <c r="G179" s="12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4" t="s">
        <v>183</v>
      </c>
      <c r="C180" s="124"/>
      <c r="D180" s="124"/>
      <c r="E180" s="124"/>
      <c r="F180" s="124"/>
      <c r="G180" s="12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4" t="s">
        <v>184</v>
      </c>
      <c r="C181" s="124"/>
      <c r="D181" s="124"/>
      <c r="E181" s="124"/>
      <c r="F181" s="124"/>
      <c r="G181" s="124"/>
      <c r="H181" s="23">
        <f>I181/$G$196</f>
        <v>0</v>
      </c>
      <c r="I181" s="24">
        <f>I141</f>
        <v>0</v>
      </c>
    </row>
    <row r="182" spans="1:11" ht="15" customHeight="1" x14ac:dyDescent="0.25">
      <c r="A182" s="179" t="s">
        <v>185</v>
      </c>
      <c r="B182" s="179"/>
      <c r="C182" s="179"/>
      <c r="D182" s="179"/>
      <c r="E182" s="179"/>
      <c r="F182" s="179"/>
      <c r="G182" s="17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0" t="s">
        <v>148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7">
        <v>1</v>
      </c>
      <c r="B185" s="124" t="s">
        <v>186</v>
      </c>
      <c r="C185" s="124"/>
      <c r="D185" s="124"/>
      <c r="E185" s="124"/>
      <c r="F185" s="124"/>
      <c r="G185" s="124"/>
      <c r="H185" s="23">
        <f>I185/$G$196</f>
        <v>9.1631355932203395E-2</v>
      </c>
      <c r="I185" s="24">
        <f>I156</f>
        <v>1425.8042390051849</v>
      </c>
    </row>
    <row r="186" spans="1:11" ht="15" customHeight="1" x14ac:dyDescent="0.25">
      <c r="A186" s="179" t="s">
        <v>187</v>
      </c>
      <c r="B186" s="179"/>
      <c r="C186" s="179"/>
      <c r="D186" s="179"/>
      <c r="E186" s="179"/>
      <c r="F186" s="179"/>
      <c r="G186" s="179"/>
      <c r="H186" s="47">
        <f>H185</f>
        <v>9.1631355932203395E-2</v>
      </c>
      <c r="I186" s="48">
        <f>I156</f>
        <v>1425.8042390051849</v>
      </c>
      <c r="K186" s="41"/>
    </row>
    <row r="187" spans="1:11" ht="4.5" customHeight="1" x14ac:dyDescent="0.25"/>
    <row r="188" spans="1:11" ht="11.25" customHeight="1" x14ac:dyDescent="0.25">
      <c r="A188" s="133" t="s">
        <v>188</v>
      </c>
      <c r="B188" s="133"/>
      <c r="C188" s="133"/>
      <c r="D188" s="133"/>
      <c r="E188" s="133"/>
      <c r="F188" s="133"/>
      <c r="G188" s="133"/>
      <c r="H188" s="133"/>
      <c r="I188" s="133"/>
    </row>
    <row r="189" spans="1:11" ht="4.9000000000000004" customHeight="1" x14ac:dyDescent="0.25">
      <c r="A189" s="132"/>
      <c r="B189" s="132"/>
      <c r="C189" s="132"/>
      <c r="D189" s="132"/>
      <c r="E189" s="132"/>
      <c r="F189" s="132"/>
      <c r="G189" s="132"/>
      <c r="H189" s="132"/>
      <c r="I189" s="132"/>
    </row>
    <row r="190" spans="1:11" ht="22.5" customHeight="1" x14ac:dyDescent="0.25">
      <c r="A190" s="126" t="s">
        <v>189</v>
      </c>
      <c r="B190" s="127"/>
      <c r="C190" s="127"/>
      <c r="D190" s="127"/>
      <c r="E190" s="127"/>
      <c r="F190" s="127"/>
      <c r="G190" s="127"/>
      <c r="H190" s="128"/>
      <c r="I190" s="92">
        <f>I123*H196</f>
        <v>0</v>
      </c>
    </row>
    <row r="191" spans="1:11" ht="6" customHeight="1" x14ac:dyDescent="0.25">
      <c r="A191" s="199"/>
      <c r="B191" s="200"/>
      <c r="C191" s="200"/>
      <c r="D191" s="200"/>
      <c r="E191" s="200"/>
      <c r="F191" s="200"/>
      <c r="G191" s="200"/>
      <c r="H191" s="200"/>
      <c r="I191" s="202"/>
    </row>
    <row r="192" spans="1:11" ht="57.6" customHeight="1" x14ac:dyDescent="0.25">
      <c r="A192" s="134" t="s">
        <v>190</v>
      </c>
      <c r="B192" s="135"/>
      <c r="C192" s="135"/>
      <c r="D192" s="135"/>
      <c r="E192" s="135"/>
      <c r="F192" s="136"/>
      <c r="G192" s="209" t="s">
        <v>191</v>
      </c>
      <c r="H192" s="210"/>
      <c r="I192" s="211"/>
    </row>
    <row r="193" spans="1:9" ht="11.25" customHeight="1" x14ac:dyDescent="0.25">
      <c r="A193" s="137"/>
      <c r="B193" s="138"/>
      <c r="C193" s="138"/>
      <c r="D193" s="138"/>
      <c r="E193" s="138"/>
      <c r="F193" s="139"/>
      <c r="G193" s="91"/>
      <c r="H193" s="92"/>
      <c r="I193" s="93">
        <f>((H70+H76+H77+H82+H83+H84)+((H70+H76+H77+H82+H83+H84)*H66))*I55*H196</f>
        <v>3041.8625006478383</v>
      </c>
    </row>
    <row r="194" spans="1:9" ht="6.6" customHeight="1" x14ac:dyDescent="0.25">
      <c r="A194" s="199"/>
      <c r="B194" s="200"/>
      <c r="C194" s="200"/>
      <c r="D194" s="200"/>
      <c r="E194" s="200"/>
      <c r="F194" s="200"/>
      <c r="G194" s="201"/>
      <c r="H194" s="201"/>
      <c r="I194" s="202"/>
    </row>
    <row r="195" spans="1:9" ht="45" customHeight="1" x14ac:dyDescent="0.25">
      <c r="A195" s="203" t="s">
        <v>192</v>
      </c>
      <c r="B195" s="204"/>
      <c r="C195" s="204"/>
      <c r="D195" s="204"/>
      <c r="E195" s="204"/>
      <c r="F195" s="205"/>
      <c r="G195" s="85" t="s">
        <v>193</v>
      </c>
      <c r="H195" s="85" t="s">
        <v>194</v>
      </c>
      <c r="I195" s="85" t="s">
        <v>195</v>
      </c>
    </row>
    <row r="196" spans="1:9" ht="13.15" customHeight="1" x14ac:dyDescent="0.25">
      <c r="A196" s="206"/>
      <c r="B196" s="207"/>
      <c r="C196" s="207"/>
      <c r="D196" s="207"/>
      <c r="E196" s="207"/>
      <c r="F196" s="208"/>
      <c r="G196" s="83">
        <f>I176+I182+I186</f>
        <v>15560.221984056583</v>
      </c>
      <c r="H196" s="74">
        <f>IF(D6="12x36",2,1)</f>
        <v>1</v>
      </c>
      <c r="I196" s="84">
        <f>G196*H196</f>
        <v>15560.221984056583</v>
      </c>
    </row>
  </sheetData>
  <mergeCells count="192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3:F23"/>
    <mergeCell ref="A21:F21"/>
    <mergeCell ref="A24:F24"/>
    <mergeCell ref="A25:F25"/>
    <mergeCell ref="A26:F27"/>
    <mergeCell ref="A28:F28"/>
    <mergeCell ref="A29:F29"/>
    <mergeCell ref="A33:F34"/>
    <mergeCell ref="G33:G34"/>
    <mergeCell ref="A30:F32"/>
    <mergeCell ref="G30:G32"/>
    <mergeCell ref="A36:I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50:G50"/>
    <mergeCell ref="B53:G53"/>
    <mergeCell ref="B54:G54"/>
    <mergeCell ref="A55:G55"/>
    <mergeCell ref="B57:G57"/>
    <mergeCell ref="B58:G58"/>
    <mergeCell ref="B48:G48"/>
    <mergeCell ref="B51:G51"/>
    <mergeCell ref="B49:G49"/>
    <mergeCell ref="B52:G52"/>
    <mergeCell ref="B59:G59"/>
    <mergeCell ref="B60:G60"/>
    <mergeCell ref="B61:G61"/>
    <mergeCell ref="B62:G62"/>
    <mergeCell ref="B63:G63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97:G97"/>
    <mergeCell ref="B98:G98"/>
    <mergeCell ref="B96:G96"/>
    <mergeCell ref="B101:G101"/>
    <mergeCell ref="A102:G102"/>
    <mergeCell ref="B103:G103"/>
    <mergeCell ref="A104:I104"/>
    <mergeCell ref="A105:B105"/>
    <mergeCell ref="A106:B106"/>
    <mergeCell ref="A108:I108"/>
    <mergeCell ref="A109:B109"/>
    <mergeCell ref="A110:B110"/>
    <mergeCell ref="A112:I112"/>
    <mergeCell ref="A113:B113"/>
    <mergeCell ref="A114:B114"/>
    <mergeCell ref="A116:G116"/>
    <mergeCell ref="A118:I118"/>
    <mergeCell ref="B119:G119"/>
    <mergeCell ref="B120:G120"/>
    <mergeCell ref="B121:G121"/>
    <mergeCell ref="B122:G122"/>
    <mergeCell ref="B123:G123"/>
    <mergeCell ref="B125:G125"/>
    <mergeCell ref="B126:G126"/>
    <mergeCell ref="A127:G127"/>
    <mergeCell ref="B128:I128"/>
    <mergeCell ref="A130:E130"/>
    <mergeCell ref="A131:B131"/>
    <mergeCell ref="A132:B132"/>
    <mergeCell ref="B133:I133"/>
    <mergeCell ref="B124:G124"/>
    <mergeCell ref="B152:G152"/>
    <mergeCell ref="B153:G153"/>
    <mergeCell ref="B154:G154"/>
    <mergeCell ref="B155:G155"/>
    <mergeCell ref="B134:G134"/>
    <mergeCell ref="B135:G135"/>
    <mergeCell ref="B136:G136"/>
    <mergeCell ref="A137:G137"/>
    <mergeCell ref="B139:G139"/>
    <mergeCell ref="B140:G140"/>
    <mergeCell ref="A141:G141"/>
    <mergeCell ref="A143:E143"/>
    <mergeCell ref="A144:B144"/>
    <mergeCell ref="A195:F196"/>
    <mergeCell ref="A171:I171"/>
    <mergeCell ref="A172:I172"/>
    <mergeCell ref="B173:G173"/>
    <mergeCell ref="B174:G174"/>
    <mergeCell ref="B175:G175"/>
    <mergeCell ref="A176:G176"/>
    <mergeCell ref="A178:I178"/>
    <mergeCell ref="B179:G179"/>
    <mergeCell ref="B180:G180"/>
    <mergeCell ref="B181:G181"/>
    <mergeCell ref="A182:G182"/>
    <mergeCell ref="A184:I184"/>
    <mergeCell ref="B185:G185"/>
    <mergeCell ref="A186:G186"/>
    <mergeCell ref="A188:I188"/>
    <mergeCell ref="G192:I192"/>
    <mergeCell ref="A189:I189"/>
    <mergeCell ref="A190:H190"/>
    <mergeCell ref="H163:I163"/>
    <mergeCell ref="A164:B164"/>
    <mergeCell ref="H164:I164"/>
    <mergeCell ref="A165:A166"/>
    <mergeCell ref="B165:E166"/>
    <mergeCell ref="H165:I165"/>
    <mergeCell ref="H166:I166"/>
    <mergeCell ref="A194:I194"/>
    <mergeCell ref="A191:I191"/>
    <mergeCell ref="A192:F193"/>
    <mergeCell ref="B99:G99"/>
    <mergeCell ref="B100:G100"/>
    <mergeCell ref="A22:F22"/>
    <mergeCell ref="B167:I167"/>
    <mergeCell ref="B168:I168"/>
    <mergeCell ref="A169:G169"/>
    <mergeCell ref="A156:G156"/>
    <mergeCell ref="B157:I157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45:B145"/>
    <mergeCell ref="A147:G147"/>
    <mergeCell ref="A149:I149"/>
    <mergeCell ref="B150:G150"/>
    <mergeCell ref="B151:G151"/>
    <mergeCell ref="A162:B162"/>
    <mergeCell ref="H162:I162"/>
    <mergeCell ref="A163:B163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223B1-896A-4A00-ACB4-D2017C1D0117}">
  <dimension ref="A1:L196"/>
  <sheetViews>
    <sheetView showGridLines="0" view="pageBreakPreview" zoomScale="110" zoomScaleNormal="130" zoomScaleSheetLayoutView="110" zoomScalePageLayoutView="130" workbookViewId="0">
      <selection activeCell="M9" sqref="M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5" t="s">
        <v>0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25">
      <c r="A2" s="155" t="s">
        <v>1</v>
      </c>
      <c r="B2" s="155"/>
      <c r="C2" s="156" t="s">
        <v>2</v>
      </c>
      <c r="D2" s="156"/>
      <c r="E2" s="157" t="s">
        <v>3</v>
      </c>
      <c r="F2" s="157"/>
      <c r="G2" s="157"/>
      <c r="H2" s="157"/>
      <c r="I2" s="157"/>
    </row>
    <row r="3" spans="1:11" ht="11.25" customHeight="1" x14ac:dyDescent="0.25">
      <c r="A3" s="155" t="s">
        <v>4</v>
      </c>
      <c r="B3" s="155"/>
      <c r="C3" s="5" t="s">
        <v>5</v>
      </c>
      <c r="D3" s="6"/>
      <c r="E3" s="7" t="s">
        <v>6</v>
      </c>
      <c r="F3" s="111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6" t="s">
        <v>7</v>
      </c>
      <c r="B5" s="146"/>
      <c r="C5" s="146"/>
      <c r="D5" s="158" t="s">
        <v>217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44</v>
      </c>
      <c r="E6" s="146"/>
      <c r="F6" s="146"/>
      <c r="G6" s="159"/>
      <c r="H6" s="159"/>
      <c r="I6" s="160"/>
    </row>
    <row r="7" spans="1:11" ht="22.5" customHeight="1" x14ac:dyDescent="0.25">
      <c r="A7" s="146" t="s">
        <v>9</v>
      </c>
      <c r="B7" s="146"/>
      <c r="C7" s="146"/>
      <c r="D7" s="124" t="s">
        <v>10</v>
      </c>
      <c r="E7" s="124"/>
      <c r="F7" s="124"/>
      <c r="G7" s="147" t="s">
        <v>11</v>
      </c>
      <c r="H7" s="147"/>
      <c r="I7" s="148" t="s">
        <v>30</v>
      </c>
    </row>
    <row r="8" spans="1:11" ht="22.5" customHeight="1" x14ac:dyDescent="0.25">
      <c r="A8" s="146" t="s">
        <v>13</v>
      </c>
      <c r="B8" s="146"/>
      <c r="C8" s="146"/>
      <c r="D8" s="124" t="s">
        <v>14</v>
      </c>
      <c r="E8" s="124"/>
      <c r="F8" s="124"/>
      <c r="G8" s="147"/>
      <c r="H8" s="147"/>
      <c r="I8" s="148"/>
    </row>
    <row r="9" spans="1:11" ht="24.75" customHeight="1" x14ac:dyDescent="0.25">
      <c r="A9" s="146" t="s">
        <v>15</v>
      </c>
      <c r="B9" s="146"/>
      <c r="C9" s="146"/>
      <c r="D9" s="146" t="s">
        <v>16</v>
      </c>
      <c r="E9" s="146"/>
      <c r="F9" s="146"/>
      <c r="G9" s="147" t="s">
        <v>17</v>
      </c>
      <c r="H9" s="147"/>
      <c r="I9" s="9">
        <v>0.3</v>
      </c>
    </row>
    <row r="10" spans="1:11" ht="32.25" customHeight="1" x14ac:dyDescent="0.25">
      <c r="A10" s="154" t="s">
        <v>18</v>
      </c>
      <c r="B10" s="154"/>
      <c r="C10" s="154"/>
      <c r="D10" s="154"/>
      <c r="E10" s="154"/>
      <c r="F10" s="154"/>
      <c r="G10" s="8" t="s">
        <v>19</v>
      </c>
      <c r="H10" s="10">
        <v>220</v>
      </c>
      <c r="I10" s="11">
        <v>3199.35</v>
      </c>
    </row>
    <row r="11" spans="1:11" ht="11.25" customHeight="1" x14ac:dyDescent="0.25">
      <c r="A11" s="149" t="s">
        <v>20</v>
      </c>
      <c r="B11" s="149"/>
      <c r="C11" s="149"/>
      <c r="D11" s="149"/>
      <c r="E11" s="149"/>
      <c r="F11" s="149"/>
      <c r="G11" s="10" t="str">
        <f>D9</f>
        <v>Porto Alegre</v>
      </c>
      <c r="H11" s="10" t="s">
        <v>21</v>
      </c>
      <c r="I11" s="13">
        <v>0.05</v>
      </c>
    </row>
    <row r="12" spans="1:11" ht="15" customHeight="1" x14ac:dyDescent="0.25">
      <c r="A12" s="149" t="s">
        <v>22</v>
      </c>
      <c r="B12" s="149"/>
      <c r="C12" s="149"/>
      <c r="D12" s="149"/>
      <c r="E12" s="149"/>
      <c r="F12" s="149"/>
      <c r="G12" s="150" t="s">
        <v>14</v>
      </c>
      <c r="H12" s="10" t="s">
        <v>23</v>
      </c>
      <c r="I12" s="11">
        <v>5.3</v>
      </c>
    </row>
    <row r="13" spans="1:11" x14ac:dyDescent="0.25">
      <c r="A13" s="149"/>
      <c r="B13" s="149"/>
      <c r="C13" s="149"/>
      <c r="D13" s="149"/>
      <c r="E13" s="149"/>
      <c r="F13" s="149"/>
      <c r="G13" s="150"/>
      <c r="H13" s="10" t="s">
        <v>24</v>
      </c>
      <c r="I13" s="14">
        <v>26</v>
      </c>
    </row>
    <row r="14" spans="1:11" x14ac:dyDescent="0.25">
      <c r="A14" s="149"/>
      <c r="B14" s="149"/>
      <c r="C14" s="149"/>
      <c r="D14" s="149"/>
      <c r="E14" s="149"/>
      <c r="F14" s="149"/>
      <c r="G14" s="150"/>
      <c r="H14" s="10" t="s">
        <v>25</v>
      </c>
      <c r="I14" s="9">
        <v>0.06</v>
      </c>
    </row>
    <row r="15" spans="1:11" ht="11.25" customHeight="1" x14ac:dyDescent="0.25">
      <c r="A15" s="149" t="s">
        <v>26</v>
      </c>
      <c r="B15" s="149"/>
      <c r="C15" s="149"/>
      <c r="D15" s="149"/>
      <c r="E15" s="149"/>
      <c r="F15" s="149"/>
      <c r="G15" s="150" t="s">
        <v>14</v>
      </c>
      <c r="H15" s="10" t="s">
        <v>23</v>
      </c>
      <c r="I15" s="11">
        <v>0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24</v>
      </c>
      <c r="I16" s="14">
        <v>0</v>
      </c>
    </row>
    <row r="17" spans="1:9" x14ac:dyDescent="0.25">
      <c r="A17" s="149"/>
      <c r="B17" s="149"/>
      <c r="C17" s="149"/>
      <c r="D17" s="149"/>
      <c r="E17" s="149"/>
      <c r="F17" s="149"/>
      <c r="G17" s="150"/>
      <c r="H17" s="10" t="s">
        <v>25</v>
      </c>
      <c r="I17" s="9">
        <v>0</v>
      </c>
    </row>
    <row r="18" spans="1:9" ht="11.25" customHeight="1" x14ac:dyDescent="0.25">
      <c r="A18" s="149" t="s">
        <v>27</v>
      </c>
      <c r="B18" s="149"/>
      <c r="C18" s="149"/>
      <c r="D18" s="149"/>
      <c r="E18" s="149"/>
      <c r="F18" s="149"/>
      <c r="G18" s="150" t="s">
        <v>14</v>
      </c>
      <c r="H18" s="10" t="s">
        <v>23</v>
      </c>
      <c r="I18" s="11">
        <v>0</v>
      </c>
    </row>
    <row r="19" spans="1:9" x14ac:dyDescent="0.25">
      <c r="A19" s="149"/>
      <c r="B19" s="149"/>
      <c r="C19" s="149"/>
      <c r="D19" s="149"/>
      <c r="E19" s="149"/>
      <c r="F19" s="149"/>
      <c r="G19" s="150"/>
      <c r="H19" s="10" t="s">
        <v>24</v>
      </c>
      <c r="I19" s="14">
        <v>0</v>
      </c>
    </row>
    <row r="20" spans="1:9" x14ac:dyDescent="0.25">
      <c r="A20" s="151"/>
      <c r="B20" s="151"/>
      <c r="C20" s="151"/>
      <c r="D20" s="151"/>
      <c r="E20" s="151"/>
      <c r="F20" s="151"/>
      <c r="G20" s="150"/>
      <c r="H20" s="10" t="s">
        <v>25</v>
      </c>
      <c r="I20" s="9">
        <v>0</v>
      </c>
    </row>
    <row r="21" spans="1:9" ht="14.25" customHeight="1" x14ac:dyDescent="0.25">
      <c r="A21" s="125" t="s">
        <v>28</v>
      </c>
      <c r="B21" s="125"/>
      <c r="C21" s="125"/>
      <c r="D21" s="125"/>
      <c r="E21" s="125"/>
      <c r="F21" s="125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25" t="s">
        <v>31</v>
      </c>
      <c r="B22" s="125"/>
      <c r="C22" s="125"/>
      <c r="D22" s="125"/>
      <c r="E22" s="125"/>
      <c r="F22" s="125"/>
      <c r="G22" s="10" t="s">
        <v>14</v>
      </c>
      <c r="H22" s="15" t="s">
        <v>29</v>
      </c>
      <c r="I22" s="105" t="s">
        <v>30</v>
      </c>
    </row>
    <row r="23" spans="1:9" ht="14.25" customHeight="1" x14ac:dyDescent="0.25">
      <c r="A23" s="149" t="s">
        <v>32</v>
      </c>
      <c r="B23" s="152"/>
      <c r="C23" s="152"/>
      <c r="D23" s="152"/>
      <c r="E23" s="152"/>
      <c r="F23" s="153"/>
      <c r="G23" s="104" t="s">
        <v>14</v>
      </c>
      <c r="H23" s="15" t="s">
        <v>29</v>
      </c>
      <c r="I23" s="16" t="s">
        <v>30</v>
      </c>
    </row>
    <row r="24" spans="1:9" ht="22.5" customHeight="1" x14ac:dyDescent="0.25">
      <c r="A24" s="142" t="s">
        <v>33</v>
      </c>
      <c r="B24" s="142"/>
      <c r="C24" s="142"/>
      <c r="D24" s="142"/>
      <c r="E24" s="142"/>
      <c r="F24" s="142"/>
      <c r="G24" s="15"/>
      <c r="H24" s="15" t="s">
        <v>34</v>
      </c>
      <c r="I24" s="18" t="s">
        <v>30</v>
      </c>
    </row>
    <row r="25" spans="1:9" ht="34.5" customHeight="1" x14ac:dyDescent="0.25">
      <c r="A25" s="125" t="s">
        <v>35</v>
      </c>
      <c r="B25" s="125"/>
      <c r="C25" s="125"/>
      <c r="D25" s="125"/>
      <c r="E25" s="125"/>
      <c r="F25" s="125"/>
      <c r="G25" s="10"/>
      <c r="H25" s="10" t="s">
        <v>36</v>
      </c>
      <c r="I25" s="11" t="s">
        <v>30</v>
      </c>
    </row>
    <row r="26" spans="1:9" ht="15" customHeight="1" x14ac:dyDescent="0.25">
      <c r="A26" s="125" t="s">
        <v>37</v>
      </c>
      <c r="B26" s="125"/>
      <c r="C26" s="125"/>
      <c r="D26" s="125"/>
      <c r="E26" s="125"/>
      <c r="F26" s="125"/>
      <c r="G26" s="15"/>
      <c r="H26" s="19" t="s">
        <v>38</v>
      </c>
      <c r="I26" s="20">
        <v>8</v>
      </c>
    </row>
    <row r="27" spans="1:9" ht="15" customHeight="1" x14ac:dyDescent="0.25">
      <c r="A27" s="125"/>
      <c r="B27" s="125"/>
      <c r="C27" s="125"/>
      <c r="D27" s="125"/>
      <c r="E27" s="125"/>
      <c r="F27" s="125"/>
      <c r="G27" s="15"/>
      <c r="H27" s="21" t="s">
        <v>39</v>
      </c>
      <c r="I27" s="9">
        <v>1</v>
      </c>
    </row>
    <row r="28" spans="1:9" ht="26.25" customHeight="1" x14ac:dyDescent="0.25">
      <c r="A28" s="125" t="s">
        <v>40</v>
      </c>
      <c r="B28" s="125"/>
      <c r="C28" s="125"/>
      <c r="D28" s="125"/>
      <c r="E28" s="125"/>
      <c r="F28" s="125"/>
      <c r="G28" s="15"/>
      <c r="H28" s="10" t="s">
        <v>38</v>
      </c>
      <c r="I28" s="20" t="s">
        <v>30</v>
      </c>
    </row>
    <row r="29" spans="1:9" ht="35.25" customHeight="1" x14ac:dyDescent="0.25">
      <c r="A29" s="125" t="s">
        <v>41</v>
      </c>
      <c r="B29" s="125"/>
      <c r="C29" s="125"/>
      <c r="D29" s="125"/>
      <c r="E29" s="125"/>
      <c r="F29" s="125"/>
      <c r="G29" s="10"/>
      <c r="H29" s="8" t="s">
        <v>34</v>
      </c>
      <c r="I29" s="9">
        <v>0.1</v>
      </c>
    </row>
    <row r="30" spans="1:9" ht="1.1499999999999999" customHeight="1" x14ac:dyDescent="0.25">
      <c r="A30" s="87"/>
      <c r="B30" s="87"/>
      <c r="C30" s="87"/>
      <c r="D30" s="87"/>
      <c r="E30" s="87"/>
      <c r="F30" s="87"/>
      <c r="G30" s="87"/>
      <c r="H30" s="87"/>
      <c r="I30" s="88" t="s">
        <v>30</v>
      </c>
    </row>
    <row r="31" spans="1:9" ht="1.1499999999999999" customHeight="1" x14ac:dyDescent="0.25">
      <c r="A31" s="143"/>
      <c r="B31" s="143"/>
      <c r="C31" s="143"/>
      <c r="D31" s="143"/>
      <c r="E31" s="143"/>
      <c r="F31" s="143"/>
      <c r="G31" s="143"/>
      <c r="H31" s="143"/>
      <c r="I31" s="143"/>
    </row>
    <row r="32" spans="1:9" ht="1.1499999999999999" customHeight="1" x14ac:dyDescent="0.25">
      <c r="A32" s="143"/>
      <c r="B32" s="143"/>
      <c r="C32" s="143"/>
      <c r="D32" s="143"/>
      <c r="E32" s="143"/>
      <c r="F32" s="143"/>
      <c r="G32" s="143"/>
      <c r="H32" s="143"/>
      <c r="I32" s="143"/>
    </row>
    <row r="33" spans="1:10" ht="1.1499999999999999" customHeight="1" x14ac:dyDescent="0.25">
      <c r="A33" s="143"/>
      <c r="B33" s="143"/>
      <c r="C33" s="143"/>
      <c r="D33" s="143"/>
      <c r="E33" s="143"/>
      <c r="F33" s="143"/>
      <c r="G33" s="143"/>
      <c r="H33" s="143"/>
      <c r="I33" s="143"/>
    </row>
    <row r="34" spans="1:10" ht="1.1499999999999999" customHeight="1" x14ac:dyDescent="0.25">
      <c r="A34" s="143"/>
      <c r="B34" s="143"/>
      <c r="C34" s="143"/>
      <c r="D34" s="143"/>
      <c r="E34" s="143"/>
      <c r="F34" s="143"/>
      <c r="G34" s="143"/>
      <c r="H34" s="143"/>
      <c r="I34" s="143"/>
    </row>
    <row r="35" spans="1:10" ht="1.1499999999999999" customHeight="1" x14ac:dyDescent="0.25">
      <c r="A35" s="144"/>
      <c r="B35" s="144"/>
      <c r="C35" s="144"/>
      <c r="D35" s="144"/>
      <c r="E35" s="144"/>
      <c r="F35" s="144"/>
      <c r="G35" s="144"/>
      <c r="H35" s="144"/>
      <c r="I35" s="144"/>
    </row>
    <row r="36" spans="1:10" ht="8.25" customHeight="1" x14ac:dyDescent="0.25">
      <c r="A36" s="140" t="s">
        <v>42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2" t="s">
        <v>43</v>
      </c>
      <c r="B37" s="141" t="s">
        <v>44</v>
      </c>
      <c r="C37" s="141"/>
      <c r="D37" s="141"/>
      <c r="E37" s="141"/>
      <c r="F37" s="141"/>
      <c r="G37" s="141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24" t="s">
        <v>47</v>
      </c>
      <c r="C38" s="124"/>
      <c r="D38" s="124"/>
      <c r="E38" s="124"/>
      <c r="F38" s="124"/>
      <c r="G38" s="124"/>
      <c r="H38" s="23">
        <f t="shared" ref="H38:H45" si="0">I38/$I$46</f>
        <v>0.70995928904776084</v>
      </c>
      <c r="I38" s="24">
        <f>IF(D6="12x36",I10,I10/H10*I5)</f>
        <v>3199.35</v>
      </c>
    </row>
    <row r="39" spans="1:10" ht="15" customHeight="1" x14ac:dyDescent="0.25">
      <c r="A39" s="17">
        <f t="shared" ref="A39:A45" si="1">A38+1</f>
        <v>2</v>
      </c>
      <c r="B39" s="124" t="s">
        <v>48</v>
      </c>
      <c r="C39" s="124"/>
      <c r="D39" s="124"/>
      <c r="E39" s="124"/>
      <c r="F39" s="124"/>
      <c r="G39" s="124"/>
      <c r="H39" s="23">
        <f t="shared" si="0"/>
        <v>0.21298778671432825</v>
      </c>
      <c r="I39" s="24">
        <f>IF(I9=30%,I38*I9,0)</f>
        <v>959.80499999999995</v>
      </c>
    </row>
    <row r="40" spans="1:10" ht="15" customHeight="1" x14ac:dyDescent="0.25">
      <c r="A40" s="17">
        <f t="shared" si="1"/>
        <v>3</v>
      </c>
      <c r="B40" s="124" t="s">
        <v>49</v>
      </c>
      <c r="C40" s="124"/>
      <c r="D40" s="124"/>
      <c r="E40" s="124"/>
      <c r="F40" s="124"/>
      <c r="G40" s="124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4" t="s">
        <v>50</v>
      </c>
      <c r="C41" s="124"/>
      <c r="D41" s="124"/>
      <c r="E41" s="124"/>
      <c r="F41" s="124"/>
      <c r="G41" s="124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4" t="s">
        <v>51</v>
      </c>
      <c r="C42" s="124"/>
      <c r="D42" s="124"/>
      <c r="E42" s="124"/>
      <c r="F42" s="124"/>
      <c r="G42" s="124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4" t="s">
        <v>52</v>
      </c>
      <c r="C43" s="124"/>
      <c r="D43" s="124"/>
      <c r="E43" s="124"/>
      <c r="F43" s="124"/>
      <c r="G43" s="124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4" t="s">
        <v>53</v>
      </c>
      <c r="C44" s="124"/>
      <c r="D44" s="124"/>
      <c r="E44" s="124"/>
      <c r="F44" s="124"/>
      <c r="G44" s="124"/>
      <c r="H44" s="23">
        <f t="shared" si="0"/>
        <v>6.7123423691788295E-2</v>
      </c>
      <c r="I44" s="24">
        <f>IF(I26="Não aplicável",0,(I38+I39+I40+I41+I42+I43)/I5*I26*(1+I27))</f>
        <v>302.48399999999998</v>
      </c>
    </row>
    <row r="45" spans="1:10" ht="23.25" customHeight="1" x14ac:dyDescent="0.25">
      <c r="A45" s="17">
        <f t="shared" si="1"/>
        <v>8</v>
      </c>
      <c r="B45" s="124" t="s">
        <v>54</v>
      </c>
      <c r="C45" s="124"/>
      <c r="D45" s="124"/>
      <c r="E45" s="124"/>
      <c r="F45" s="124"/>
      <c r="G45" s="124"/>
      <c r="H45" s="23">
        <f t="shared" si="0"/>
        <v>9.9295005461225317E-3</v>
      </c>
      <c r="I45" s="24">
        <f>IF(I26="Não aplicável",0,I26/I13*5*(I10/H10*(1+I27)))</f>
        <v>44.746153846153852</v>
      </c>
    </row>
    <row r="46" spans="1:10" s="28" customFormat="1" ht="15" customHeight="1" x14ac:dyDescent="0.25">
      <c r="A46" s="145" t="s">
        <v>55</v>
      </c>
      <c r="B46" s="145"/>
      <c r="C46" s="145"/>
      <c r="D46" s="145"/>
      <c r="E46" s="145"/>
      <c r="F46" s="145"/>
      <c r="G46" s="145"/>
      <c r="H46" s="25">
        <f>SUM(H38:H45)</f>
        <v>0.99999999999999989</v>
      </c>
      <c r="I46" s="26">
        <f>SUM(I38:I45)</f>
        <v>4506.385153846154</v>
      </c>
      <c r="J46" s="27"/>
    </row>
    <row r="47" spans="1:10" s="28" customFormat="1" ht="1.1499999999999999" customHeight="1" x14ac:dyDescent="0.25">
      <c r="A47" s="161"/>
      <c r="B47" s="161"/>
      <c r="C47" s="161"/>
      <c r="D47" s="161"/>
      <c r="E47" s="161"/>
      <c r="F47" s="161"/>
      <c r="G47" s="161"/>
      <c r="H47" s="161"/>
      <c r="I47" s="161"/>
      <c r="J47" s="27"/>
    </row>
    <row r="48" spans="1:10" s="28" customFormat="1" ht="1.1499999999999999" customHeight="1" x14ac:dyDescent="0.25">
      <c r="A48" s="162"/>
      <c r="B48" s="162"/>
      <c r="C48" s="162"/>
      <c r="D48" s="162"/>
      <c r="E48" s="162"/>
      <c r="F48" s="162"/>
      <c r="G48" s="162"/>
      <c r="H48" s="162"/>
      <c r="I48" s="162"/>
      <c r="J48" s="27"/>
    </row>
    <row r="49" spans="1:10" s="28" customFormat="1" ht="1.1499999999999999" customHeight="1" x14ac:dyDescent="0.25">
      <c r="A49" s="162"/>
      <c r="B49" s="162"/>
      <c r="C49" s="162"/>
      <c r="D49" s="162"/>
      <c r="E49" s="162"/>
      <c r="F49" s="162"/>
      <c r="G49" s="162"/>
      <c r="H49" s="162"/>
      <c r="I49" s="162"/>
      <c r="J49" s="27"/>
    </row>
    <row r="50" spans="1:10" s="28" customFormat="1" ht="1.1499999999999999" customHeight="1" x14ac:dyDescent="0.25">
      <c r="A50" s="162"/>
      <c r="B50" s="162"/>
      <c r="C50" s="162"/>
      <c r="D50" s="162"/>
      <c r="E50" s="162"/>
      <c r="F50" s="162"/>
      <c r="G50" s="162"/>
      <c r="H50" s="162"/>
      <c r="I50" s="162"/>
      <c r="J50" s="27"/>
    </row>
    <row r="51" spans="1:10" s="28" customFormat="1" ht="1.1499999999999999" customHeight="1" x14ac:dyDescent="0.25">
      <c r="A51" s="162"/>
      <c r="B51" s="162"/>
      <c r="C51" s="162"/>
      <c r="D51" s="162"/>
      <c r="E51" s="162"/>
      <c r="F51" s="162"/>
      <c r="G51" s="162"/>
      <c r="H51" s="162"/>
      <c r="I51" s="162"/>
      <c r="J51" s="27"/>
    </row>
    <row r="52" spans="1:10" s="28" customFormat="1" ht="1.1499999999999999" customHeight="1" x14ac:dyDescent="0.25">
      <c r="A52" s="162"/>
      <c r="B52" s="162"/>
      <c r="C52" s="162"/>
      <c r="D52" s="162"/>
      <c r="E52" s="162"/>
      <c r="F52" s="162"/>
      <c r="G52" s="162"/>
      <c r="H52" s="162"/>
      <c r="I52" s="162"/>
      <c r="J52" s="27"/>
    </row>
    <row r="53" spans="1:10" s="28" customFormat="1" ht="1.1499999999999999" customHeight="1" x14ac:dyDescent="0.25">
      <c r="A53" s="162"/>
      <c r="B53" s="162"/>
      <c r="C53" s="162"/>
      <c r="D53" s="162"/>
      <c r="E53" s="162"/>
      <c r="F53" s="162"/>
      <c r="G53" s="162"/>
      <c r="H53" s="162"/>
      <c r="I53" s="162"/>
      <c r="J53" s="27"/>
    </row>
    <row r="54" spans="1:10" s="28" customFormat="1" ht="1.1499999999999999" customHeight="1" x14ac:dyDescent="0.25">
      <c r="A54" s="162"/>
      <c r="B54" s="162"/>
      <c r="C54" s="162"/>
      <c r="D54" s="162"/>
      <c r="E54" s="162"/>
      <c r="F54" s="162"/>
      <c r="G54" s="162"/>
      <c r="H54" s="162"/>
      <c r="I54" s="162"/>
      <c r="J54" s="27"/>
    </row>
    <row r="55" spans="1:10" s="28" customFormat="1" ht="1.1499999999999999" customHeight="1" x14ac:dyDescent="0.25">
      <c r="A55" s="162"/>
      <c r="B55" s="162"/>
      <c r="C55" s="162"/>
      <c r="D55" s="162"/>
      <c r="E55" s="162"/>
      <c r="F55" s="162"/>
      <c r="G55" s="162"/>
      <c r="H55" s="162"/>
      <c r="I55" s="162"/>
      <c r="J55" s="27"/>
    </row>
    <row r="56" spans="1:10" ht="1.1499999999999999" customHeight="1" x14ac:dyDescent="0.25">
      <c r="A56" s="163"/>
      <c r="B56" s="163"/>
      <c r="C56" s="163"/>
      <c r="D56" s="163"/>
      <c r="E56" s="163"/>
      <c r="F56" s="163"/>
      <c r="G56" s="163"/>
      <c r="H56" s="163"/>
      <c r="I56" s="163"/>
    </row>
    <row r="57" spans="1:10" ht="33.75" customHeight="1" x14ac:dyDescent="0.25">
      <c r="A57" s="22" t="s">
        <v>56</v>
      </c>
      <c r="B57" s="141" t="s">
        <v>57</v>
      </c>
      <c r="C57" s="141"/>
      <c r="D57" s="141"/>
      <c r="E57" s="141"/>
      <c r="F57" s="141"/>
      <c r="G57" s="141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24" t="s">
        <v>58</v>
      </c>
      <c r="C58" s="124"/>
      <c r="D58" s="124"/>
      <c r="E58" s="124"/>
      <c r="F58" s="124"/>
      <c r="G58" s="124"/>
      <c r="H58" s="23">
        <v>0.2</v>
      </c>
      <c r="I58" s="24">
        <f t="shared" ref="I58:I65" si="2">$I$46*H58</f>
        <v>901.27703076923081</v>
      </c>
    </row>
    <row r="59" spans="1:10" ht="15" customHeight="1" x14ac:dyDescent="0.25">
      <c r="A59" s="17">
        <v>2</v>
      </c>
      <c r="B59" s="124" t="s">
        <v>59</v>
      </c>
      <c r="C59" s="124"/>
      <c r="D59" s="124"/>
      <c r="E59" s="124"/>
      <c r="F59" s="124"/>
      <c r="G59" s="124"/>
      <c r="H59" s="23">
        <v>1.4999999999999999E-2</v>
      </c>
      <c r="I59" s="24">
        <f t="shared" si="2"/>
        <v>67.595777307692302</v>
      </c>
    </row>
    <row r="60" spans="1:10" ht="15" customHeight="1" x14ac:dyDescent="0.25">
      <c r="A60" s="17">
        <v>3</v>
      </c>
      <c r="B60" s="124" t="s">
        <v>60</v>
      </c>
      <c r="C60" s="124"/>
      <c r="D60" s="124"/>
      <c r="E60" s="124"/>
      <c r="F60" s="124"/>
      <c r="G60" s="124"/>
      <c r="H60" s="23">
        <v>0.01</v>
      </c>
      <c r="I60" s="24">
        <f t="shared" si="2"/>
        <v>45.063851538461542</v>
      </c>
    </row>
    <row r="61" spans="1:10" ht="15" customHeight="1" x14ac:dyDescent="0.25">
      <c r="A61" s="17">
        <v>4</v>
      </c>
      <c r="B61" s="124" t="s">
        <v>61</v>
      </c>
      <c r="C61" s="124"/>
      <c r="D61" s="124"/>
      <c r="E61" s="124"/>
      <c r="F61" s="124"/>
      <c r="G61" s="124"/>
      <c r="H61" s="23">
        <v>2E-3</v>
      </c>
      <c r="I61" s="24">
        <f t="shared" si="2"/>
        <v>9.0127703076923087</v>
      </c>
    </row>
    <row r="62" spans="1:10" ht="15" customHeight="1" x14ac:dyDescent="0.25">
      <c r="A62" s="17">
        <v>5</v>
      </c>
      <c r="B62" s="124" t="s">
        <v>62</v>
      </c>
      <c r="C62" s="124"/>
      <c r="D62" s="124"/>
      <c r="E62" s="124"/>
      <c r="F62" s="124"/>
      <c r="G62" s="124"/>
      <c r="H62" s="23">
        <v>2.5000000000000001E-2</v>
      </c>
      <c r="I62" s="24">
        <f t="shared" si="2"/>
        <v>112.65962884615385</v>
      </c>
    </row>
    <row r="63" spans="1:10" ht="15" customHeight="1" x14ac:dyDescent="0.25">
      <c r="A63" s="17">
        <v>6</v>
      </c>
      <c r="B63" s="124" t="s">
        <v>63</v>
      </c>
      <c r="C63" s="124"/>
      <c r="D63" s="124"/>
      <c r="E63" s="124"/>
      <c r="F63" s="124"/>
      <c r="G63" s="124"/>
      <c r="H63" s="23">
        <v>0.08</v>
      </c>
      <c r="I63" s="24">
        <f t="shared" si="2"/>
        <v>360.51081230769233</v>
      </c>
    </row>
    <row r="64" spans="1:10" ht="15" customHeight="1" x14ac:dyDescent="0.25">
      <c r="A64" s="17">
        <v>7</v>
      </c>
      <c r="B64" s="124" t="s">
        <v>64</v>
      </c>
      <c r="C64" s="124"/>
      <c r="D64" s="124"/>
      <c r="E64" s="124"/>
      <c r="F64" s="124"/>
      <c r="G64" s="124"/>
      <c r="H64" s="23">
        <v>0.03</v>
      </c>
      <c r="I64" s="24">
        <f t="shared" si="2"/>
        <v>135.1915546153846</v>
      </c>
    </row>
    <row r="65" spans="1:10" ht="15" customHeight="1" x14ac:dyDescent="0.25">
      <c r="A65" s="17">
        <v>8</v>
      </c>
      <c r="B65" s="124" t="s">
        <v>65</v>
      </c>
      <c r="C65" s="124"/>
      <c r="D65" s="124"/>
      <c r="E65" s="124"/>
      <c r="F65" s="124"/>
      <c r="G65" s="124"/>
      <c r="H65" s="23">
        <v>6.0000000000000001E-3</v>
      </c>
      <c r="I65" s="24">
        <f t="shared" si="2"/>
        <v>27.038310923076924</v>
      </c>
    </row>
    <row r="66" spans="1:10" s="28" customFormat="1" ht="15" customHeight="1" x14ac:dyDescent="0.25">
      <c r="A66" s="145" t="s">
        <v>66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1658.3497366153847</v>
      </c>
      <c r="J66" s="27"/>
    </row>
    <row r="67" spans="1:10" ht="15" customHeight="1" x14ac:dyDescent="0.25">
      <c r="A67" s="164" t="s">
        <v>67</v>
      </c>
      <c r="B67" s="164"/>
      <c r="C67" s="164"/>
      <c r="D67" s="164"/>
      <c r="E67" s="164"/>
      <c r="F67" s="164"/>
      <c r="G67" s="164"/>
      <c r="H67" s="164"/>
      <c r="I67" s="164"/>
    </row>
    <row r="68" spans="1:10" ht="30.75" customHeight="1" x14ac:dyDescent="0.25">
      <c r="A68" s="165" t="s">
        <v>68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69</v>
      </c>
      <c r="B69" s="141" t="s">
        <v>70</v>
      </c>
      <c r="C69" s="141"/>
      <c r="D69" s="141"/>
      <c r="E69" s="141"/>
      <c r="F69" s="141"/>
      <c r="G69" s="141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24" t="s">
        <v>71</v>
      </c>
      <c r="C70" s="124"/>
      <c r="D70" s="124"/>
      <c r="E70" s="124"/>
      <c r="F70" s="124"/>
      <c r="G70" s="124"/>
      <c r="H70" s="23">
        <v>0.119314</v>
      </c>
      <c r="I70" s="24">
        <f t="shared" ref="I70:I77" si="3">$I$46*H70</f>
        <v>537.67483824600004</v>
      </c>
    </row>
    <row r="71" spans="1:10" ht="15" customHeight="1" x14ac:dyDescent="0.25">
      <c r="A71" s="17">
        <v>2</v>
      </c>
      <c r="B71" s="124" t="s">
        <v>72</v>
      </c>
      <c r="C71" s="124"/>
      <c r="D71" s="124"/>
      <c r="E71" s="124"/>
      <c r="F71" s="124"/>
      <c r="G71" s="124"/>
      <c r="H71" s="23">
        <v>2.0479000000000001E-2</v>
      </c>
      <c r="I71" s="24">
        <f t="shared" si="3"/>
        <v>92.286261565615391</v>
      </c>
    </row>
    <row r="72" spans="1:10" ht="15" customHeight="1" x14ac:dyDescent="0.25">
      <c r="A72" s="17">
        <v>3</v>
      </c>
      <c r="B72" s="124" t="s">
        <v>73</v>
      </c>
      <c r="C72" s="124"/>
      <c r="D72" s="124"/>
      <c r="E72" s="124"/>
      <c r="F72" s="124"/>
      <c r="G72" s="124"/>
      <c r="H72" s="23">
        <v>1.2123E-2</v>
      </c>
      <c r="I72" s="24">
        <f t="shared" si="3"/>
        <v>54.630907220076928</v>
      </c>
    </row>
    <row r="73" spans="1:10" ht="15" customHeight="1" x14ac:dyDescent="0.25">
      <c r="A73" s="17">
        <v>4</v>
      </c>
      <c r="B73" s="124" t="s">
        <v>74</v>
      </c>
      <c r="C73" s="124"/>
      <c r="D73" s="124"/>
      <c r="E73" s="124"/>
      <c r="F73" s="124"/>
      <c r="G73" s="124"/>
      <c r="H73" s="23">
        <v>1.1436E-2</v>
      </c>
      <c r="I73" s="24">
        <f t="shared" si="3"/>
        <v>51.535020619384618</v>
      </c>
    </row>
    <row r="74" spans="1:10" ht="15" customHeight="1" x14ac:dyDescent="0.25">
      <c r="A74" s="17">
        <v>5</v>
      </c>
      <c r="B74" s="124" t="s">
        <v>75</v>
      </c>
      <c r="C74" s="124"/>
      <c r="D74" s="124"/>
      <c r="E74" s="124"/>
      <c r="F74" s="124"/>
      <c r="G74" s="124"/>
      <c r="H74" s="23">
        <v>1.74E-4</v>
      </c>
      <c r="I74" s="24">
        <f t="shared" si="3"/>
        <v>0.78411101676923078</v>
      </c>
    </row>
    <row r="75" spans="1:10" ht="15" customHeight="1" x14ac:dyDescent="0.25">
      <c r="A75" s="17">
        <v>6</v>
      </c>
      <c r="B75" s="124" t="s">
        <v>76</v>
      </c>
      <c r="C75" s="124"/>
      <c r="D75" s="124"/>
      <c r="E75" s="124"/>
      <c r="F75" s="124"/>
      <c r="G75" s="124"/>
      <c r="H75" s="23">
        <v>4.4200000000000001E-4</v>
      </c>
      <c r="I75" s="24">
        <f t="shared" si="3"/>
        <v>1.9918222380000001</v>
      </c>
    </row>
    <row r="76" spans="1:10" ht="15" customHeight="1" x14ac:dyDescent="0.25">
      <c r="A76" s="17">
        <v>7</v>
      </c>
      <c r="B76" s="124" t="s">
        <v>77</v>
      </c>
      <c r="C76" s="124"/>
      <c r="D76" s="124"/>
      <c r="E76" s="124"/>
      <c r="F76" s="124"/>
      <c r="G76" s="124"/>
      <c r="H76" s="23">
        <v>1.85E-4</v>
      </c>
      <c r="I76" s="24">
        <f t="shared" si="3"/>
        <v>0.83368125346153843</v>
      </c>
    </row>
    <row r="77" spans="1:10" ht="15" customHeight="1" x14ac:dyDescent="0.25">
      <c r="A77" s="17">
        <v>8</v>
      </c>
      <c r="B77" s="124" t="s">
        <v>78</v>
      </c>
      <c r="C77" s="124"/>
      <c r="D77" s="124"/>
      <c r="E77" s="124"/>
      <c r="F77" s="124"/>
      <c r="G77" s="124"/>
      <c r="H77" s="23">
        <v>9.0789999999999996E-2</v>
      </c>
      <c r="I77" s="24">
        <f t="shared" si="3"/>
        <v>409.1347081176923</v>
      </c>
    </row>
    <row r="78" spans="1:10" s="28" customFormat="1" ht="15" customHeight="1" x14ac:dyDescent="0.25">
      <c r="A78" s="145" t="s">
        <v>79</v>
      </c>
      <c r="B78" s="145"/>
      <c r="C78" s="145"/>
      <c r="D78" s="145"/>
      <c r="E78" s="145"/>
      <c r="F78" s="145"/>
      <c r="G78" s="145"/>
      <c r="H78" s="25">
        <f>SUM(H70:H77)</f>
        <v>0.25494299999999998</v>
      </c>
      <c r="I78" s="26">
        <f>SUM(I70:I77)</f>
        <v>1148.8713502770001</v>
      </c>
      <c r="J78" s="27"/>
    </row>
    <row r="79" spans="1:10" ht="11.25" customHeight="1" x14ac:dyDescent="0.25">
      <c r="A79" s="29" t="s">
        <v>80</v>
      </c>
      <c r="B79" s="166" t="s">
        <v>81</v>
      </c>
      <c r="C79" s="166"/>
      <c r="D79" s="166"/>
      <c r="E79" s="166"/>
      <c r="F79" s="166"/>
      <c r="G79" s="166"/>
      <c r="H79" s="166"/>
      <c r="I79" s="166"/>
    </row>
    <row r="80" spans="1:10" ht="15" customHeight="1" x14ac:dyDescent="0.25">
      <c r="A80" s="29" t="s">
        <v>82</v>
      </c>
      <c r="B80" s="167" t="s">
        <v>83</v>
      </c>
      <c r="C80" s="167"/>
      <c r="D80" s="167"/>
      <c r="E80" s="167"/>
      <c r="F80" s="167"/>
      <c r="G80" s="167"/>
      <c r="H80" s="167"/>
      <c r="I80" s="167"/>
    </row>
    <row r="81" spans="1:11" ht="33.75" customHeight="1" x14ac:dyDescent="0.25">
      <c r="A81" s="22" t="s">
        <v>84</v>
      </c>
      <c r="B81" s="141" t="s">
        <v>85</v>
      </c>
      <c r="C81" s="141"/>
      <c r="D81" s="141"/>
      <c r="E81" s="141"/>
      <c r="F81" s="141"/>
      <c r="G81" s="141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24" t="s">
        <v>86</v>
      </c>
      <c r="C82" s="124"/>
      <c r="D82" s="124"/>
      <c r="E82" s="124"/>
      <c r="F82" s="124"/>
      <c r="G82" s="124"/>
      <c r="H82" s="23">
        <v>4.8321000000000003E-2</v>
      </c>
      <c r="I82" s="24">
        <f>$I$46*H82</f>
        <v>217.75303701900003</v>
      </c>
    </row>
    <row r="83" spans="1:11" ht="15" customHeight="1" x14ac:dyDescent="0.25">
      <c r="A83" s="17">
        <v>2</v>
      </c>
      <c r="B83" s="124" t="s">
        <v>87</v>
      </c>
      <c r="C83" s="124"/>
      <c r="D83" s="124"/>
      <c r="E83" s="124"/>
      <c r="F83" s="124"/>
      <c r="G83" s="124"/>
      <c r="H83" s="23">
        <v>3.5109999999999998E-3</v>
      </c>
      <c r="I83" s="24">
        <f>$I$46*H83</f>
        <v>15.821918275153847</v>
      </c>
    </row>
    <row r="84" spans="1:11" ht="15" customHeight="1" x14ac:dyDescent="0.25">
      <c r="A84" s="17">
        <v>3</v>
      </c>
      <c r="B84" s="124" t="s">
        <v>88</v>
      </c>
      <c r="C84" s="124"/>
      <c r="D84" s="124"/>
      <c r="E84" s="124"/>
      <c r="F84" s="124"/>
      <c r="G84" s="124"/>
      <c r="H84" s="23">
        <v>1.9328000000000001E-2</v>
      </c>
      <c r="I84" s="24">
        <f>$I$46*H84</f>
        <v>87.099412253538475</v>
      </c>
    </row>
    <row r="85" spans="1:11" s="28" customFormat="1" ht="15" customHeight="1" x14ac:dyDescent="0.25">
      <c r="A85" s="145" t="s">
        <v>89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320.67436754769233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41" t="s">
        <v>91</v>
      </c>
      <c r="C87" s="141"/>
      <c r="D87" s="141"/>
      <c r="E87" s="141"/>
      <c r="F87" s="141"/>
      <c r="G87" s="141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24" t="s">
        <v>92</v>
      </c>
      <c r="C88" s="124"/>
      <c r="D88" s="124"/>
      <c r="E88" s="124"/>
      <c r="F88" s="124"/>
      <c r="G88" s="124"/>
      <c r="H88" s="23">
        <f>(H66*H78)</f>
        <v>9.3819024000000015E-2</v>
      </c>
      <c r="I88" s="24">
        <f>$I$46*H88</f>
        <v>422.7846569019361</v>
      </c>
    </row>
    <row r="89" spans="1:11" s="28" customFormat="1" ht="15" customHeight="1" x14ac:dyDescent="0.25">
      <c r="A89" s="145" t="s">
        <v>93</v>
      </c>
      <c r="B89" s="145"/>
      <c r="C89" s="145"/>
      <c r="D89" s="145"/>
      <c r="E89" s="145"/>
      <c r="F89" s="145"/>
      <c r="G89" s="145"/>
      <c r="H89" s="25">
        <f>SUM(H88:H88)</f>
        <v>9.3819024000000015E-2</v>
      </c>
      <c r="I89" s="26">
        <f>I88</f>
        <v>422.7846569019361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1" t="s">
        <v>94</v>
      </c>
      <c r="B91" s="171"/>
      <c r="C91" s="171"/>
      <c r="D91" s="171"/>
      <c r="E91" s="171"/>
      <c r="F91" s="171"/>
      <c r="G91" s="171"/>
      <c r="H91" s="32">
        <f>H66+H78+H85+H89</f>
        <v>0.787922024</v>
      </c>
      <c r="I91" s="33">
        <f>I66+I78+I85+I89</f>
        <v>3550.6801113420133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41" t="s">
        <v>96</v>
      </c>
      <c r="C93" s="141"/>
      <c r="D93" s="141"/>
      <c r="E93" s="141"/>
      <c r="F93" s="141"/>
      <c r="G93" s="141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24" t="s">
        <v>97</v>
      </c>
      <c r="C94" s="124"/>
      <c r="D94" s="124"/>
      <c r="E94" s="124"/>
      <c r="F94" s="124"/>
      <c r="G94" s="124"/>
      <c r="H94" s="23">
        <f t="shared" ref="H94:H101" si="4">I94/$I$46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4" t="s">
        <v>27</v>
      </c>
      <c r="C95" s="124"/>
      <c r="D95" s="124"/>
      <c r="E95" s="124"/>
      <c r="F95" s="124"/>
      <c r="G95" s="12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8" t="s">
        <v>98</v>
      </c>
      <c r="C96" s="169"/>
      <c r="D96" s="169"/>
      <c r="E96" s="169"/>
      <c r="F96" s="169"/>
      <c r="G96" s="17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4" t="s">
        <v>99</v>
      </c>
      <c r="C97" s="124"/>
      <c r="D97" s="124"/>
      <c r="E97" s="124"/>
      <c r="F97" s="124"/>
      <c r="G97" s="124"/>
      <c r="H97" s="23">
        <f t="shared" si="4"/>
        <v>1.8560109077364356E-2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24" t="s">
        <v>100</v>
      </c>
      <c r="C98" s="124"/>
      <c r="D98" s="124"/>
      <c r="E98" s="124"/>
      <c r="F98" s="124"/>
      <c r="G98" s="12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4" t="s">
        <v>101</v>
      </c>
      <c r="C99" s="124"/>
      <c r="D99" s="124"/>
      <c r="E99" s="124"/>
      <c r="F99" s="124"/>
      <c r="G99" s="124"/>
      <c r="H99" s="23">
        <f t="shared" ref="H99:H100" si="6">I99/$I$45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4" t="s">
        <v>31</v>
      </c>
      <c r="C100" s="124"/>
      <c r="D100" s="124"/>
      <c r="E100" s="124"/>
      <c r="F100" s="124"/>
      <c r="G100" s="124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4" t="s">
        <v>102</v>
      </c>
      <c r="C101" s="124"/>
      <c r="D101" s="124"/>
      <c r="E101" s="124"/>
      <c r="F101" s="124"/>
      <c r="G101" s="124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5" t="s">
        <v>103</v>
      </c>
      <c r="B102" s="145"/>
      <c r="C102" s="145"/>
      <c r="D102" s="145"/>
      <c r="E102" s="145"/>
      <c r="F102" s="145"/>
      <c r="G102" s="145"/>
      <c r="H102" s="25">
        <f>SUM(H94:H101)</f>
        <v>1.8560109077364356E-2</v>
      </c>
      <c r="I102" s="26">
        <f>SUM(I94:I101)</f>
        <v>83.638999999999982</v>
      </c>
      <c r="J102" s="34"/>
    </row>
    <row r="103" spans="1:10" ht="18" customHeight="1" x14ac:dyDescent="0.25">
      <c r="A103" s="29" t="s">
        <v>104</v>
      </c>
      <c r="B103" s="164" t="s">
        <v>105</v>
      </c>
      <c r="C103" s="164"/>
      <c r="D103" s="164"/>
      <c r="E103" s="164"/>
      <c r="F103" s="164"/>
      <c r="G103" s="164"/>
      <c r="H103" s="35"/>
      <c r="I103" s="36"/>
    </row>
    <row r="104" spans="1:10" ht="15" customHeight="1" x14ac:dyDescent="0.25">
      <c r="A104" s="172" t="s">
        <v>106</v>
      </c>
      <c r="B104" s="172"/>
      <c r="C104" s="172"/>
      <c r="D104" s="172"/>
      <c r="E104" s="172"/>
      <c r="F104" s="172"/>
      <c r="G104" s="172"/>
      <c r="H104" s="172"/>
      <c r="I104" s="172"/>
    </row>
    <row r="105" spans="1:10" ht="24" customHeight="1" x14ac:dyDescent="0.25">
      <c r="A105" s="125" t="s">
        <v>107</v>
      </c>
      <c r="B105" s="125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8">
        <f>IF(I12="Não aplicável",0,I12)</f>
        <v>5.3</v>
      </c>
      <c r="B106" s="17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2" t="s">
        <v>115</v>
      </c>
      <c r="B108" s="172"/>
      <c r="C108" s="172"/>
      <c r="D108" s="172"/>
      <c r="E108" s="172"/>
      <c r="F108" s="172"/>
      <c r="G108" s="172"/>
      <c r="H108" s="172"/>
      <c r="I108" s="172"/>
    </row>
    <row r="109" spans="1:10" ht="23.25" customHeight="1" x14ac:dyDescent="0.25">
      <c r="A109" s="125" t="s">
        <v>107</v>
      </c>
      <c r="B109" s="125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73">
        <f>IF(I18="Não aplicável",0,I18)</f>
        <v>0</v>
      </c>
      <c r="B110" s="17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4" t="s">
        <v>117</v>
      </c>
      <c r="B112" s="175"/>
      <c r="C112" s="175"/>
      <c r="D112" s="175"/>
      <c r="E112" s="175"/>
      <c r="F112" s="176" t="str">
        <f>A15</f>
        <v xml:space="preserve">Auxílio Alimentação </v>
      </c>
      <c r="G112" s="176"/>
      <c r="H112" s="176"/>
      <c r="I112" s="177"/>
    </row>
    <row r="113" spans="1:12" ht="23.25" customHeight="1" x14ac:dyDescent="0.25">
      <c r="A113" s="142" t="s">
        <v>107</v>
      </c>
      <c r="B113" s="142"/>
      <c r="C113" s="73" t="s">
        <v>116</v>
      </c>
      <c r="D113" s="73" t="s">
        <v>109</v>
      </c>
      <c r="E113" s="73" t="s">
        <v>110</v>
      </c>
      <c r="F113" s="73" t="s">
        <v>111</v>
      </c>
      <c r="G113" s="73" t="s">
        <v>112</v>
      </c>
      <c r="H113" s="71" t="str">
        <f>H105</f>
        <v>Valor desconto</v>
      </c>
      <c r="I113" s="72" t="s">
        <v>114</v>
      </c>
    </row>
    <row r="114" spans="1:12" ht="15" customHeight="1" x14ac:dyDescent="0.25">
      <c r="A114" s="173">
        <f>IF(I15="Não aplicável",0,I15)</f>
        <v>0</v>
      </c>
      <c r="B114" s="17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79" t="s">
        <v>118</v>
      </c>
      <c r="B116" s="179"/>
      <c r="C116" s="179"/>
      <c r="D116" s="179"/>
      <c r="E116" s="179"/>
      <c r="F116" s="179"/>
      <c r="G116" s="179"/>
      <c r="H116" s="47">
        <f>H46+H91+H102</f>
        <v>1.8064821330773642</v>
      </c>
      <c r="I116" s="48">
        <f>I46+I91+I102</f>
        <v>8140.7042651881675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0" t="s">
        <v>119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2" t="s">
        <v>43</v>
      </c>
      <c r="B119" s="141" t="s">
        <v>120</v>
      </c>
      <c r="C119" s="141"/>
      <c r="D119" s="141"/>
      <c r="E119" s="141"/>
      <c r="F119" s="141"/>
      <c r="G119" s="141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24" t="s">
        <v>121</v>
      </c>
      <c r="C120" s="124"/>
      <c r="D120" s="124"/>
      <c r="E120" s="124"/>
      <c r="F120" s="124"/>
      <c r="G120" s="124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6" t="s">
        <v>122</v>
      </c>
      <c r="C121" s="146"/>
      <c r="D121" s="146"/>
      <c r="E121" s="146"/>
      <c r="F121" s="146"/>
      <c r="G121" s="146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24" t="s">
        <v>123</v>
      </c>
      <c r="C122" s="124"/>
      <c r="D122" s="124"/>
      <c r="E122" s="124"/>
      <c r="F122" s="124"/>
      <c r="G122" s="124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4" t="s">
        <v>124</v>
      </c>
      <c r="C123" s="124"/>
      <c r="D123" s="124"/>
      <c r="E123" s="124"/>
      <c r="F123" s="124"/>
      <c r="G123" s="124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4" t="s">
        <v>125</v>
      </c>
      <c r="C124" s="124"/>
      <c r="D124" s="124"/>
      <c r="E124" s="124"/>
      <c r="F124" s="124"/>
      <c r="G124" s="124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4" t="s">
        <v>126</v>
      </c>
      <c r="C125" s="124"/>
      <c r="D125" s="124"/>
      <c r="E125" s="124"/>
      <c r="F125" s="124"/>
      <c r="G125" s="124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4" t="s">
        <v>127</v>
      </c>
      <c r="C126" s="124"/>
      <c r="D126" s="124"/>
      <c r="E126" s="124"/>
      <c r="F126" s="124"/>
      <c r="G126" s="124"/>
      <c r="H126" s="23">
        <f t="shared" si="7"/>
        <v>0</v>
      </c>
      <c r="I126" s="24">
        <v>0</v>
      </c>
    </row>
    <row r="127" spans="1:12" ht="15" customHeight="1" x14ac:dyDescent="0.25">
      <c r="A127" s="145" t="s">
        <v>128</v>
      </c>
      <c r="B127" s="145"/>
      <c r="C127" s="145"/>
      <c r="D127" s="145"/>
      <c r="E127" s="145"/>
      <c r="F127" s="145"/>
      <c r="G127" s="145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6" t="s">
        <v>129</v>
      </c>
      <c r="C128" s="166"/>
      <c r="D128" s="166"/>
      <c r="E128" s="166"/>
      <c r="F128" s="166"/>
      <c r="G128" s="166"/>
      <c r="H128" s="166"/>
      <c r="I128" s="166"/>
    </row>
    <row r="129" spans="1:12" ht="5.25" customHeight="1" x14ac:dyDescent="0.25"/>
    <row r="130" spans="1:12" ht="48.75" customHeight="1" x14ac:dyDescent="0.25">
      <c r="A130" s="182" t="s">
        <v>130</v>
      </c>
      <c r="B130" s="182"/>
      <c r="C130" s="182"/>
      <c r="D130" s="182"/>
      <c r="E130" s="182"/>
      <c r="F130" s="55">
        <f>I29</f>
        <v>0.1</v>
      </c>
      <c r="G130" s="56">
        <f>I132*F130</f>
        <v>805.70652651881676</v>
      </c>
      <c r="H130" s="57" t="s">
        <v>131</v>
      </c>
      <c r="I130" s="58">
        <f>I97</f>
        <v>83.638999999999982</v>
      </c>
    </row>
    <row r="131" spans="1:12" s="61" customFormat="1" ht="16.5" customHeight="1" x14ac:dyDescent="0.25">
      <c r="A131" s="183" t="s">
        <v>132</v>
      </c>
      <c r="B131" s="183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84">
        <f>I46</f>
        <v>4506.385153846154</v>
      </c>
      <c r="B132" s="184"/>
      <c r="C132" s="62">
        <f>I66</f>
        <v>1658.3497366153847</v>
      </c>
      <c r="D132" s="62">
        <f>I78</f>
        <v>1148.8713502770001</v>
      </c>
      <c r="E132" s="62">
        <f>I85</f>
        <v>320.67436754769233</v>
      </c>
      <c r="F132" s="62">
        <f>I89</f>
        <v>422.7846569019361</v>
      </c>
      <c r="G132" s="62">
        <f>I102</f>
        <v>83.638999999999982</v>
      </c>
      <c r="H132" s="62">
        <f>A132+C132+D132+E132+F132+G132</f>
        <v>8140.7042651881675</v>
      </c>
      <c r="I132" s="62">
        <f>H132-I130</f>
        <v>8057.0652651881674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56</v>
      </c>
      <c r="B134" s="141" t="s">
        <v>140</v>
      </c>
      <c r="C134" s="141"/>
      <c r="D134" s="141"/>
      <c r="E134" s="141"/>
      <c r="F134" s="141"/>
      <c r="G134" s="141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24" t="s">
        <v>141</v>
      </c>
      <c r="C135" s="124"/>
      <c r="D135" s="124"/>
      <c r="E135" s="124"/>
      <c r="F135" s="124"/>
      <c r="G135" s="12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4" t="s">
        <v>142</v>
      </c>
      <c r="C136" s="124"/>
      <c r="D136" s="124"/>
      <c r="E136" s="124"/>
      <c r="F136" s="124"/>
      <c r="G136" s="124"/>
      <c r="H136" s="23">
        <f>I136/$I$145</f>
        <v>0</v>
      </c>
      <c r="I136" s="24">
        <v>0</v>
      </c>
    </row>
    <row r="137" spans="1:12" ht="37.5" customHeight="1" x14ac:dyDescent="0.25">
      <c r="A137" s="180" t="s">
        <v>143</v>
      </c>
      <c r="B137" s="145"/>
      <c r="C137" s="145"/>
      <c r="D137" s="145"/>
      <c r="E137" s="145"/>
      <c r="F137" s="145"/>
      <c r="G137" s="14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41" t="s">
        <v>144</v>
      </c>
      <c r="C139" s="141"/>
      <c r="D139" s="141"/>
      <c r="E139" s="141"/>
      <c r="F139" s="141"/>
      <c r="G139" s="141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24" t="s">
        <v>144</v>
      </c>
      <c r="C140" s="124"/>
      <c r="D140" s="124"/>
      <c r="E140" s="124"/>
      <c r="F140" s="124"/>
      <c r="G140" s="124"/>
      <c r="H140" s="23">
        <f>I140/I145</f>
        <v>0</v>
      </c>
      <c r="I140" s="24">
        <v>0</v>
      </c>
    </row>
    <row r="141" spans="1:12" ht="36.6" customHeight="1" x14ac:dyDescent="0.25">
      <c r="A141" s="180" t="s">
        <v>145</v>
      </c>
      <c r="B141" s="145"/>
      <c r="C141" s="145"/>
      <c r="D141" s="145"/>
      <c r="E141" s="145"/>
      <c r="F141" s="145"/>
      <c r="G141" s="14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146</v>
      </c>
      <c r="B143" s="181"/>
      <c r="C143" s="181"/>
      <c r="D143" s="181"/>
      <c r="E143" s="181"/>
      <c r="F143" s="55">
        <v>0.18</v>
      </c>
      <c r="G143" s="56">
        <f>I145*F143</f>
        <v>1450.2717477338701</v>
      </c>
      <c r="H143" s="57" t="s">
        <v>131</v>
      </c>
      <c r="I143" s="58">
        <f>I97</f>
        <v>83.638999999999982</v>
      </c>
      <c r="L143" s="2"/>
    </row>
    <row r="144" spans="1:12" s="61" customFormat="1" ht="16.5" customHeight="1" x14ac:dyDescent="0.25">
      <c r="A144" s="183" t="s">
        <v>132</v>
      </c>
      <c r="B144" s="183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84">
        <f>I46</f>
        <v>4506.385153846154</v>
      </c>
      <c r="B145" s="184"/>
      <c r="C145" s="62">
        <f>I66</f>
        <v>1658.3497366153847</v>
      </c>
      <c r="D145" s="62">
        <f>I78</f>
        <v>1148.8713502770001</v>
      </c>
      <c r="E145" s="62">
        <f>I85</f>
        <v>320.67436754769233</v>
      </c>
      <c r="F145" s="62">
        <f>I89</f>
        <v>422.7846569019361</v>
      </c>
      <c r="G145" s="62">
        <f>I102</f>
        <v>83.638999999999982</v>
      </c>
      <c r="H145" s="62">
        <f>A145+C145+D145+E145+F145+G145</f>
        <v>8140.7042651881675</v>
      </c>
      <c r="I145" s="62">
        <f>H145-I143</f>
        <v>8057.0652651881674</v>
      </c>
      <c r="J145" s="34"/>
      <c r="L145" s="2"/>
    </row>
    <row r="146" spans="1:12" ht="4.5" customHeight="1" x14ac:dyDescent="0.25"/>
    <row r="147" spans="1:12" ht="12" customHeight="1" x14ac:dyDescent="0.25">
      <c r="A147" s="179" t="s">
        <v>147</v>
      </c>
      <c r="B147" s="179"/>
      <c r="C147" s="179"/>
      <c r="D147" s="179"/>
      <c r="E147" s="179"/>
      <c r="F147" s="179"/>
      <c r="G147" s="17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0" t="s">
        <v>148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2" t="s">
        <v>43</v>
      </c>
      <c r="B150" s="141" t="s">
        <v>149</v>
      </c>
      <c r="C150" s="141"/>
      <c r="D150" s="141"/>
      <c r="E150" s="141"/>
      <c r="F150" s="141"/>
      <c r="G150" s="141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24" t="s">
        <v>150</v>
      </c>
      <c r="C151" s="124"/>
      <c r="D151" s="124"/>
      <c r="E151" s="124"/>
      <c r="F151" s="124"/>
      <c r="G151" s="124"/>
      <c r="H151" s="23">
        <f>I151/$I$116</f>
        <v>7.5801749271137038E-3</v>
      </c>
      <c r="I151" s="24">
        <f>($D$161/$E$162)*H161</f>
        <v>61.707962360026933</v>
      </c>
    </row>
    <row r="152" spans="1:12" ht="15" customHeight="1" x14ac:dyDescent="0.25">
      <c r="A152" s="17">
        <v>2</v>
      </c>
      <c r="B152" s="124" t="s">
        <v>151</v>
      </c>
      <c r="C152" s="124"/>
      <c r="D152" s="124"/>
      <c r="E152" s="124"/>
      <c r="F152" s="124"/>
      <c r="G152" s="124"/>
      <c r="H152" s="23">
        <f>I152/$I$116</f>
        <v>3.4985422740524783E-2</v>
      </c>
      <c r="I152" s="24">
        <f>($D$161/$E$162)*H162</f>
        <v>284.80598012320121</v>
      </c>
    </row>
    <row r="153" spans="1:12" ht="15" customHeight="1" x14ac:dyDescent="0.25">
      <c r="A153" s="17">
        <v>3</v>
      </c>
      <c r="B153" s="124" t="s">
        <v>20</v>
      </c>
      <c r="C153" s="124"/>
      <c r="D153" s="124"/>
      <c r="E153" s="124"/>
      <c r="F153" s="124"/>
      <c r="G153" s="124"/>
      <c r="H153" s="23">
        <f>I153/$I$116</f>
        <v>5.8309037900874647E-2</v>
      </c>
      <c r="I153" s="24">
        <f>($D$161/$E$162)*H163</f>
        <v>474.67663353866874</v>
      </c>
    </row>
    <row r="154" spans="1:12" ht="15" customHeight="1" x14ac:dyDescent="0.25">
      <c r="A154" s="17">
        <v>4</v>
      </c>
      <c r="B154" s="124" t="s">
        <v>152</v>
      </c>
      <c r="C154" s="124"/>
      <c r="D154" s="124"/>
      <c r="E154" s="124"/>
      <c r="F154" s="124"/>
      <c r="G154" s="12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4" t="s">
        <v>153</v>
      </c>
      <c r="C155" s="124"/>
      <c r="D155" s="124"/>
      <c r="E155" s="124"/>
      <c r="F155" s="124"/>
      <c r="G155" s="12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5" t="s">
        <v>154</v>
      </c>
      <c r="B156" s="145"/>
      <c r="C156" s="145"/>
      <c r="D156" s="145"/>
      <c r="E156" s="145"/>
      <c r="F156" s="145"/>
      <c r="G156" s="145"/>
      <c r="H156" s="25">
        <f>H151+H152+H153+H154+H155</f>
        <v>0.10087463556851313</v>
      </c>
      <c r="I156" s="26">
        <f>SUM(I151:I155)</f>
        <v>821.19057602189696</v>
      </c>
    </row>
    <row r="157" spans="1:12" ht="11.25" customHeight="1" x14ac:dyDescent="0.25">
      <c r="A157" s="29" t="s">
        <v>155</v>
      </c>
      <c r="B157" s="166" t="s">
        <v>156</v>
      </c>
      <c r="C157" s="166"/>
      <c r="D157" s="166"/>
      <c r="E157" s="166"/>
      <c r="F157" s="166"/>
      <c r="G157" s="166"/>
      <c r="H157" s="166"/>
      <c r="I157" s="166"/>
    </row>
    <row r="158" spans="1:12" ht="18.75" customHeight="1" x14ac:dyDescent="0.25">
      <c r="A158" s="29" t="s">
        <v>157</v>
      </c>
      <c r="B158" s="190" t="s">
        <v>158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2" t="s">
        <v>159</v>
      </c>
      <c r="B159" s="172"/>
      <c r="C159" s="172"/>
      <c r="D159" s="172"/>
      <c r="E159" s="172"/>
      <c r="F159" s="172"/>
      <c r="G159" s="172"/>
      <c r="H159" s="172"/>
      <c r="I159" s="172"/>
    </row>
    <row r="160" spans="1:12" ht="13.5" customHeight="1" x14ac:dyDescent="0.25">
      <c r="A160" s="125" t="s">
        <v>160</v>
      </c>
      <c r="B160" s="125"/>
      <c r="C160" s="17" t="s">
        <v>161</v>
      </c>
      <c r="D160" s="149" t="s">
        <v>162</v>
      </c>
      <c r="E160" s="149"/>
      <c r="F160" s="17" t="s">
        <v>163</v>
      </c>
      <c r="G160" s="116" t="s">
        <v>164</v>
      </c>
      <c r="H160" s="191" t="s">
        <v>165</v>
      </c>
      <c r="I160" s="191"/>
    </row>
    <row r="161" spans="1:10" ht="13.5" customHeight="1" x14ac:dyDescent="0.25">
      <c r="A161" s="192">
        <f>I116</f>
        <v>8140.7042651881675</v>
      </c>
      <c r="B161" s="192"/>
      <c r="C161" s="24">
        <f>I147</f>
        <v>0</v>
      </c>
      <c r="D161" s="193">
        <f>A161+C161</f>
        <v>8140.7042651881675</v>
      </c>
      <c r="E161" s="193"/>
      <c r="F161" s="17" t="str">
        <f>B151</f>
        <v>PIS</v>
      </c>
      <c r="G161" s="117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166</v>
      </c>
      <c r="B162" s="186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tr">
        <f>B152</f>
        <v>COFINS</v>
      </c>
      <c r="G162" s="117">
        <v>7.5999999999999998E-2</v>
      </c>
      <c r="H162" s="187">
        <v>0.03</v>
      </c>
      <c r="I162" s="187"/>
    </row>
    <row r="163" spans="1:10" ht="13.5" customHeight="1" x14ac:dyDescent="0.25">
      <c r="A163" s="188" t="s">
        <v>167</v>
      </c>
      <c r="B163" s="188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tr">
        <f>B153</f>
        <v>ISS</v>
      </c>
      <c r="G163" s="117">
        <f>I11</f>
        <v>0.05</v>
      </c>
      <c r="H163" s="187">
        <f>I11</f>
        <v>0.05</v>
      </c>
      <c r="I163" s="187"/>
    </row>
    <row r="164" spans="1:10" ht="13.5" customHeight="1" x14ac:dyDescent="0.25">
      <c r="A164" s="189" t="s">
        <v>168</v>
      </c>
      <c r="B164" s="189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87">
        <v>0</v>
      </c>
      <c r="I164" s="187"/>
    </row>
    <row r="165" spans="1:10" ht="13.5" customHeight="1" x14ac:dyDescent="0.25">
      <c r="A165" s="195" t="s">
        <v>170</v>
      </c>
      <c r="B165" s="195" t="s">
        <v>171</v>
      </c>
      <c r="C165" s="195"/>
      <c r="D165" s="195"/>
      <c r="E165" s="195"/>
      <c r="F165" s="12" t="s">
        <v>172</v>
      </c>
      <c r="G165" s="117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3" t="s">
        <v>173</v>
      </c>
      <c r="G166" s="118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9" t="s">
        <v>174</v>
      </c>
      <c r="B167" s="190" t="s">
        <v>175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5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79" t="s">
        <v>176</v>
      </c>
      <c r="B169" s="179"/>
      <c r="C169" s="179"/>
      <c r="D169" s="179"/>
      <c r="E169" s="179"/>
      <c r="F169" s="179"/>
      <c r="G169" s="179"/>
      <c r="H169" s="47">
        <f>H156</f>
        <v>0.10087463556851313</v>
      </c>
      <c r="I169" s="48">
        <f>I156</f>
        <v>821.19057602189696</v>
      </c>
    </row>
    <row r="170" spans="1:10" ht="4.5" customHeight="1" x14ac:dyDescent="0.25"/>
    <row r="171" spans="1:10" ht="11.25" customHeight="1" x14ac:dyDescent="0.25">
      <c r="A171" s="194" t="s">
        <v>177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0" t="s">
        <v>42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7">
        <v>1</v>
      </c>
      <c r="B173" s="124" t="s">
        <v>178</v>
      </c>
      <c r="C173" s="124"/>
      <c r="D173" s="124"/>
      <c r="E173" s="124"/>
      <c r="F173" s="124"/>
      <c r="G173" s="124"/>
      <c r="H173" s="23">
        <f>I173/$G$196</f>
        <v>0.50283843246231252</v>
      </c>
      <c r="I173" s="66">
        <f>I46</f>
        <v>4506.385153846154</v>
      </c>
    </row>
    <row r="174" spans="1:10" ht="15" customHeight="1" x14ac:dyDescent="0.25">
      <c r="A174" s="17">
        <v>2</v>
      </c>
      <c r="B174" s="124" t="s">
        <v>179</v>
      </c>
      <c r="C174" s="124"/>
      <c r="D174" s="124"/>
      <c r="E174" s="124"/>
      <c r="F174" s="124"/>
      <c r="G174" s="124"/>
      <c r="H174" s="23">
        <f>I174/$G$196</f>
        <v>0.39619747545069256</v>
      </c>
      <c r="I174" s="66">
        <f>I66+I78+I85+I89</f>
        <v>3550.6801113420133</v>
      </c>
    </row>
    <row r="175" spans="1:10" ht="15" customHeight="1" x14ac:dyDescent="0.25">
      <c r="A175" s="17">
        <v>3</v>
      </c>
      <c r="B175" s="124" t="s">
        <v>180</v>
      </c>
      <c r="C175" s="124"/>
      <c r="D175" s="124"/>
      <c r="E175" s="124"/>
      <c r="F175" s="124"/>
      <c r="G175" s="124"/>
      <c r="H175" s="23">
        <f>I175/$G$196</f>
        <v>9.3327361547914309E-3</v>
      </c>
      <c r="I175" s="66">
        <f>I102</f>
        <v>83.638999999999982</v>
      </c>
    </row>
    <row r="176" spans="1:10" s="28" customFormat="1" ht="15" customHeight="1" x14ac:dyDescent="0.25">
      <c r="A176" s="179" t="s">
        <v>181</v>
      </c>
      <c r="B176" s="179"/>
      <c r="C176" s="179"/>
      <c r="D176" s="179"/>
      <c r="E176" s="179"/>
      <c r="F176" s="179"/>
      <c r="G176" s="179"/>
      <c r="H176" s="47">
        <f>H173+H174+H175</f>
        <v>0.90836864406779649</v>
      </c>
      <c r="I176" s="48">
        <f>SUM(I173:I175)</f>
        <v>8140.7042651881675</v>
      </c>
      <c r="J176" s="35"/>
    </row>
    <row r="177" spans="1:11" ht="4.5" customHeight="1" x14ac:dyDescent="0.25"/>
    <row r="178" spans="1:11" ht="11.25" customHeight="1" x14ac:dyDescent="0.25">
      <c r="A178" s="140" t="s">
        <v>119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7">
        <v>1</v>
      </c>
      <c r="B179" s="124" t="s">
        <v>182</v>
      </c>
      <c r="C179" s="124"/>
      <c r="D179" s="124"/>
      <c r="E179" s="124"/>
      <c r="F179" s="124"/>
      <c r="G179" s="12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4" t="s">
        <v>183</v>
      </c>
      <c r="C180" s="124"/>
      <c r="D180" s="124"/>
      <c r="E180" s="124"/>
      <c r="F180" s="124"/>
      <c r="G180" s="12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4" t="s">
        <v>184</v>
      </c>
      <c r="C181" s="124"/>
      <c r="D181" s="124"/>
      <c r="E181" s="124"/>
      <c r="F181" s="124"/>
      <c r="G181" s="124"/>
      <c r="H181" s="23">
        <f>I181/$G$196</f>
        <v>0</v>
      </c>
      <c r="I181" s="24">
        <f>I141</f>
        <v>0</v>
      </c>
    </row>
    <row r="182" spans="1:11" ht="15" customHeight="1" x14ac:dyDescent="0.25">
      <c r="A182" s="179" t="s">
        <v>185</v>
      </c>
      <c r="B182" s="179"/>
      <c r="C182" s="179"/>
      <c r="D182" s="179"/>
      <c r="E182" s="179"/>
      <c r="F182" s="179"/>
      <c r="G182" s="17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0" t="s">
        <v>148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7">
        <v>1</v>
      </c>
      <c r="B185" s="124" t="s">
        <v>186</v>
      </c>
      <c r="C185" s="124"/>
      <c r="D185" s="124"/>
      <c r="E185" s="124"/>
      <c r="F185" s="124"/>
      <c r="G185" s="124"/>
      <c r="H185" s="23">
        <f>I185/$G$196</f>
        <v>9.1631355932203395E-2</v>
      </c>
      <c r="I185" s="24">
        <f>I156</f>
        <v>821.19057602189696</v>
      </c>
    </row>
    <row r="186" spans="1:11" ht="15" customHeight="1" x14ac:dyDescent="0.25">
      <c r="A186" s="179" t="s">
        <v>187</v>
      </c>
      <c r="B186" s="179"/>
      <c r="C186" s="179"/>
      <c r="D186" s="179"/>
      <c r="E186" s="179"/>
      <c r="F186" s="179"/>
      <c r="G186" s="179"/>
      <c r="H186" s="47">
        <f>H185</f>
        <v>9.1631355932203395E-2</v>
      </c>
      <c r="I186" s="48">
        <f>I156</f>
        <v>821.19057602189696</v>
      </c>
      <c r="K186" s="41"/>
    </row>
    <row r="187" spans="1:11" ht="4.5" customHeight="1" x14ac:dyDescent="0.25"/>
    <row r="188" spans="1:11" ht="11.25" customHeight="1" x14ac:dyDescent="0.25">
      <c r="A188" s="133" t="s">
        <v>188</v>
      </c>
      <c r="B188" s="133"/>
      <c r="C188" s="133"/>
      <c r="D188" s="133"/>
      <c r="E188" s="133"/>
      <c r="F188" s="133"/>
      <c r="G188" s="133"/>
      <c r="H188" s="133"/>
      <c r="I188" s="133"/>
    </row>
    <row r="189" spans="1:11" ht="4.9000000000000004" customHeight="1" x14ac:dyDescent="0.25">
      <c r="A189" s="132"/>
      <c r="B189" s="132"/>
      <c r="C189" s="132"/>
      <c r="D189" s="132"/>
      <c r="E189" s="132"/>
      <c r="F189" s="132"/>
      <c r="G189" s="132"/>
      <c r="H189" s="132"/>
      <c r="I189" s="132"/>
    </row>
    <row r="190" spans="1:11" ht="22.5" customHeight="1" x14ac:dyDescent="0.25">
      <c r="A190" s="126" t="s">
        <v>189</v>
      </c>
      <c r="B190" s="127"/>
      <c r="C190" s="127"/>
      <c r="D190" s="127"/>
      <c r="E190" s="127"/>
      <c r="F190" s="127"/>
      <c r="G190" s="127"/>
      <c r="H190" s="128"/>
      <c r="I190" s="92">
        <f>I123*H196</f>
        <v>0</v>
      </c>
    </row>
    <row r="191" spans="1:11" ht="4.5" customHeight="1" x14ac:dyDescent="0.25">
      <c r="A191" s="90"/>
      <c r="B191" s="90"/>
      <c r="C191" s="90"/>
      <c r="D191" s="90"/>
      <c r="E191" s="90"/>
      <c r="F191" s="90"/>
      <c r="G191" s="94"/>
      <c r="H191" s="94"/>
      <c r="I191" s="94"/>
    </row>
    <row r="192" spans="1:11" ht="40.5" customHeight="1" x14ac:dyDescent="0.25">
      <c r="A192" s="133" t="s">
        <v>190</v>
      </c>
      <c r="B192" s="133"/>
      <c r="C192" s="133"/>
      <c r="D192" s="133"/>
      <c r="E192" s="133"/>
      <c r="F192" s="126"/>
      <c r="G192" s="129" t="s">
        <v>191</v>
      </c>
      <c r="H192" s="130"/>
      <c r="I192" s="131"/>
    </row>
    <row r="193" spans="1:9" ht="11.25" customHeight="1" x14ac:dyDescent="0.25">
      <c r="A193" s="133"/>
      <c r="B193" s="133"/>
      <c r="C193" s="133"/>
      <c r="D193" s="133"/>
      <c r="E193" s="133"/>
      <c r="F193" s="133"/>
      <c r="G193" s="95"/>
      <c r="H193" s="96"/>
      <c r="I193" s="97">
        <f>((H70+H76+H77+H82+H83+H84)+((H70+H76+H77+H82+H83+H84)*H66))*I46*H196</f>
        <v>1735.0584701855098</v>
      </c>
    </row>
    <row r="194" spans="1:9" ht="4.9000000000000004" customHeight="1" x14ac:dyDescent="0.25">
      <c r="A194" s="132"/>
      <c r="B194" s="132"/>
      <c r="C194" s="132"/>
      <c r="D194" s="132"/>
      <c r="E194" s="132"/>
      <c r="F194" s="132"/>
      <c r="G194" s="132"/>
      <c r="H194" s="132"/>
      <c r="I194" s="132"/>
    </row>
    <row r="195" spans="1:9" ht="35.450000000000003" customHeight="1" x14ac:dyDescent="0.25">
      <c r="A195" s="134" t="s">
        <v>192</v>
      </c>
      <c r="B195" s="135"/>
      <c r="C195" s="135"/>
      <c r="D195" s="135"/>
      <c r="E195" s="135"/>
      <c r="F195" s="136"/>
      <c r="G195" s="75" t="s">
        <v>193</v>
      </c>
      <c r="H195" s="75" t="s">
        <v>194</v>
      </c>
      <c r="I195" s="75" t="s">
        <v>195</v>
      </c>
    </row>
    <row r="196" spans="1:9" ht="14.45" customHeight="1" x14ac:dyDescent="0.25">
      <c r="A196" s="137"/>
      <c r="B196" s="138"/>
      <c r="C196" s="138"/>
      <c r="D196" s="138"/>
      <c r="E196" s="138"/>
      <c r="F196" s="139"/>
      <c r="G196" s="83">
        <f>I176+I182+I186</f>
        <v>8961.8948412100654</v>
      </c>
      <c r="H196" s="74">
        <f>IF(D6="12x36",2,1)</f>
        <v>1</v>
      </c>
      <c r="I196" s="84">
        <f>G196*H196</f>
        <v>8961.8948412100654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CCF2C-9B04-4D02-95A9-3D044D7F4CD0}">
  <dimension ref="A1:L196"/>
  <sheetViews>
    <sheetView showGridLines="0" view="pageBreakPreview" zoomScale="130" zoomScaleNormal="130" zoomScalePageLayoutView="130" workbookViewId="0">
      <selection activeCell="H97" sqref="H97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3.28515625" style="1" customWidth="1"/>
    <col min="4" max="4" width="12.7109375" style="1" customWidth="1"/>
    <col min="5" max="5" width="13.28515625" style="1" customWidth="1"/>
    <col min="6" max="6" width="13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5" t="s">
        <v>196</v>
      </c>
      <c r="B1" s="155"/>
      <c r="C1" s="155"/>
      <c r="D1" s="155"/>
      <c r="E1" s="155"/>
      <c r="F1" s="155"/>
      <c r="G1" s="155"/>
      <c r="H1" s="155"/>
      <c r="I1" s="155"/>
      <c r="K1" s="4"/>
    </row>
    <row r="2" spans="1:11" ht="22.5" customHeight="1" x14ac:dyDescent="0.25">
      <c r="A2" s="155" t="s">
        <v>1</v>
      </c>
      <c r="B2" s="155"/>
      <c r="C2" s="156" t="s">
        <v>2</v>
      </c>
      <c r="D2" s="156"/>
      <c r="E2" s="229" t="s">
        <v>218</v>
      </c>
      <c r="F2" s="157"/>
      <c r="G2" s="157"/>
      <c r="H2" s="157"/>
      <c r="I2" s="157"/>
    </row>
    <row r="3" spans="1:11" ht="11.25" customHeight="1" x14ac:dyDescent="0.25">
      <c r="A3" s="155" t="s">
        <v>4</v>
      </c>
      <c r="B3" s="155"/>
      <c r="C3" s="5" t="s">
        <v>5</v>
      </c>
      <c r="D3" s="6"/>
      <c r="E3" s="7" t="s">
        <v>6</v>
      </c>
      <c r="F3" s="110">
        <v>46092</v>
      </c>
      <c r="G3" s="114">
        <v>0.45763888888888887</v>
      </c>
      <c r="H3" s="6"/>
      <c r="I3" s="6"/>
    </row>
    <row r="4" spans="1:11" ht="4.5" customHeight="1" x14ac:dyDescent="0.25"/>
    <row r="5" spans="1:11" ht="18.75" customHeight="1" x14ac:dyDescent="0.25">
      <c r="A5" s="146" t="s">
        <v>7</v>
      </c>
      <c r="B5" s="146"/>
      <c r="C5" s="146"/>
      <c r="D5" s="158" t="s">
        <v>217</v>
      </c>
      <c r="E5" s="158"/>
      <c r="F5" s="158"/>
      <c r="G5" s="159" t="str">
        <f>IF(D6="12x36","Regime de trabalho:","Quantidade de HORAS/MÊS")</f>
        <v>Quantidade de HORAS/MÊS</v>
      </c>
      <c r="H5" s="159"/>
      <c r="I5" s="160">
        <f>IF(D6="12x36",D6,5*D6)</f>
        <v>220</v>
      </c>
    </row>
    <row r="6" spans="1:11" ht="18.75" customHeight="1" x14ac:dyDescent="0.25">
      <c r="A6" s="146" t="str">
        <f>IF(D6="12x36","Regime de trabalho:","Regime de trabalho (horas semanais):")</f>
        <v>Regime de trabalho (horas semanais):</v>
      </c>
      <c r="B6" s="146"/>
      <c r="C6" s="146"/>
      <c r="D6" s="146">
        <v>44</v>
      </c>
      <c r="E6" s="146"/>
      <c r="F6" s="146"/>
      <c r="G6" s="159"/>
      <c r="H6" s="159"/>
      <c r="I6" s="160"/>
    </row>
    <row r="7" spans="1:11" ht="22.5" customHeight="1" x14ac:dyDescent="0.25">
      <c r="A7" s="146" t="s">
        <v>9</v>
      </c>
      <c r="B7" s="146"/>
      <c r="C7" s="146"/>
      <c r="D7" s="124" t="s">
        <v>10</v>
      </c>
      <c r="E7" s="124"/>
      <c r="F7" s="124"/>
      <c r="G7" s="147" t="s">
        <v>11</v>
      </c>
      <c r="H7" s="147"/>
      <c r="I7" s="148" t="s">
        <v>30</v>
      </c>
    </row>
    <row r="8" spans="1:11" ht="22.5" customHeight="1" x14ac:dyDescent="0.25">
      <c r="A8" s="146" t="s">
        <v>13</v>
      </c>
      <c r="B8" s="146"/>
      <c r="C8" s="146"/>
      <c r="D8" s="124" t="s">
        <v>14</v>
      </c>
      <c r="E8" s="124"/>
      <c r="F8" s="124"/>
      <c r="G8" s="147"/>
      <c r="H8" s="147"/>
      <c r="I8" s="148"/>
    </row>
    <row r="9" spans="1:11" ht="24.75" customHeight="1" x14ac:dyDescent="0.25">
      <c r="A9" s="146" t="s">
        <v>15</v>
      </c>
      <c r="B9" s="146"/>
      <c r="C9" s="146"/>
      <c r="D9" s="146" t="s">
        <v>16</v>
      </c>
      <c r="E9" s="146"/>
      <c r="F9" s="146"/>
      <c r="G9" s="147" t="s">
        <v>17</v>
      </c>
      <c r="H9" s="147"/>
      <c r="I9" s="9">
        <v>0.3</v>
      </c>
    </row>
    <row r="10" spans="1:11" ht="32.25" customHeight="1" x14ac:dyDescent="0.25">
      <c r="A10" s="154" t="s">
        <v>197</v>
      </c>
      <c r="B10" s="154"/>
      <c r="C10" s="154"/>
      <c r="D10" s="154"/>
      <c r="E10" s="154"/>
      <c r="F10" s="154"/>
      <c r="G10" s="8" t="s">
        <v>19</v>
      </c>
      <c r="H10" s="10">
        <v>220</v>
      </c>
      <c r="I10" s="11">
        <v>3199.35</v>
      </c>
    </row>
    <row r="11" spans="1:11" ht="11.25" customHeight="1" x14ac:dyDescent="0.25">
      <c r="A11" s="149" t="s">
        <v>20</v>
      </c>
      <c r="B11" s="149"/>
      <c r="C11" s="149"/>
      <c r="D11" s="149"/>
      <c r="E11" s="149"/>
      <c r="F11" s="149"/>
      <c r="G11" s="10" t="str">
        <f>D9</f>
        <v>Porto Alegre</v>
      </c>
      <c r="H11" s="10" t="s">
        <v>21</v>
      </c>
      <c r="I11" s="13">
        <v>0.05</v>
      </c>
    </row>
    <row r="12" spans="1:11" ht="11.25" customHeight="1" x14ac:dyDescent="0.25">
      <c r="A12" s="149" t="s">
        <v>22</v>
      </c>
      <c r="B12" s="149"/>
      <c r="C12" s="149"/>
      <c r="D12" s="149"/>
      <c r="E12" s="149"/>
      <c r="F12" s="149"/>
      <c r="G12" s="150" t="s">
        <v>14</v>
      </c>
      <c r="H12" s="10" t="s">
        <v>23</v>
      </c>
      <c r="I12" s="11">
        <v>5.3</v>
      </c>
    </row>
    <row r="13" spans="1:11" ht="11.25" customHeight="1" x14ac:dyDescent="0.25">
      <c r="A13" s="149"/>
      <c r="B13" s="149"/>
      <c r="C13" s="149"/>
      <c r="D13" s="149"/>
      <c r="E13" s="149"/>
      <c r="F13" s="149"/>
      <c r="G13" s="150"/>
      <c r="H13" s="10" t="s">
        <v>24</v>
      </c>
      <c r="I13" s="14">
        <v>26</v>
      </c>
    </row>
    <row r="14" spans="1:11" ht="11.25" customHeight="1" x14ac:dyDescent="0.25">
      <c r="A14" s="149"/>
      <c r="B14" s="149"/>
      <c r="C14" s="149"/>
      <c r="D14" s="149"/>
      <c r="E14" s="149"/>
      <c r="F14" s="149"/>
      <c r="G14" s="150"/>
      <c r="H14" s="10" t="s">
        <v>25</v>
      </c>
      <c r="I14" s="9">
        <v>0.06</v>
      </c>
    </row>
    <row r="15" spans="1:11" ht="11.25" customHeight="1" x14ac:dyDescent="0.25">
      <c r="A15" s="149" t="s">
        <v>198</v>
      </c>
      <c r="B15" s="149"/>
      <c r="C15" s="149"/>
      <c r="D15" s="149"/>
      <c r="E15" s="149"/>
      <c r="F15" s="149"/>
      <c r="G15" s="150" t="s">
        <v>14</v>
      </c>
      <c r="H15" s="10" t="s">
        <v>23</v>
      </c>
      <c r="I15" s="11">
        <v>0</v>
      </c>
    </row>
    <row r="16" spans="1:11" ht="11.25" customHeight="1" x14ac:dyDescent="0.25">
      <c r="A16" s="149"/>
      <c r="B16" s="149"/>
      <c r="C16" s="149"/>
      <c r="D16" s="149"/>
      <c r="E16" s="149"/>
      <c r="F16" s="149"/>
      <c r="G16" s="150"/>
      <c r="H16" s="10" t="s">
        <v>24</v>
      </c>
      <c r="I16" s="14">
        <v>0</v>
      </c>
    </row>
    <row r="17" spans="1:9" ht="11.25" customHeight="1" x14ac:dyDescent="0.25">
      <c r="A17" s="149"/>
      <c r="B17" s="149"/>
      <c r="C17" s="149"/>
      <c r="D17" s="149"/>
      <c r="E17" s="149"/>
      <c r="F17" s="149"/>
      <c r="G17" s="150"/>
      <c r="H17" s="10" t="s">
        <v>25</v>
      </c>
      <c r="I17" s="9">
        <v>0</v>
      </c>
    </row>
    <row r="18" spans="1:9" ht="11.25" customHeight="1" x14ac:dyDescent="0.25">
      <c r="A18" s="149" t="s">
        <v>27</v>
      </c>
      <c r="B18" s="149"/>
      <c r="C18" s="149"/>
      <c r="D18" s="149"/>
      <c r="E18" s="149"/>
      <c r="F18" s="149"/>
      <c r="G18" s="150" t="s">
        <v>14</v>
      </c>
      <c r="H18" s="10" t="s">
        <v>23</v>
      </c>
      <c r="I18" s="11">
        <v>0</v>
      </c>
    </row>
    <row r="19" spans="1:9" ht="11.25" customHeight="1" x14ac:dyDescent="0.25">
      <c r="A19" s="149"/>
      <c r="B19" s="149"/>
      <c r="C19" s="149"/>
      <c r="D19" s="149"/>
      <c r="E19" s="149"/>
      <c r="F19" s="149"/>
      <c r="G19" s="150"/>
      <c r="H19" s="10" t="s">
        <v>24</v>
      </c>
      <c r="I19" s="14">
        <v>0</v>
      </c>
    </row>
    <row r="20" spans="1:9" ht="11.25" customHeight="1" x14ac:dyDescent="0.25">
      <c r="A20" s="149"/>
      <c r="B20" s="149"/>
      <c r="C20" s="149"/>
      <c r="D20" s="149"/>
      <c r="E20" s="149"/>
      <c r="F20" s="149"/>
      <c r="G20" s="150"/>
      <c r="H20" s="10" t="s">
        <v>25</v>
      </c>
      <c r="I20" s="9">
        <v>0</v>
      </c>
    </row>
    <row r="21" spans="1:9" ht="14.25" customHeight="1" x14ac:dyDescent="0.25">
      <c r="A21" s="125" t="s">
        <v>101</v>
      </c>
      <c r="B21" s="125"/>
      <c r="C21" s="125"/>
      <c r="D21" s="125"/>
      <c r="E21" s="125"/>
      <c r="F21" s="125"/>
      <c r="G21" s="10" t="s">
        <v>14</v>
      </c>
      <c r="H21" s="15" t="s">
        <v>29</v>
      </c>
      <c r="I21" s="105" t="s">
        <v>30</v>
      </c>
    </row>
    <row r="22" spans="1:9" ht="14.25" customHeight="1" x14ac:dyDescent="0.25">
      <c r="A22" s="125" t="s">
        <v>31</v>
      </c>
      <c r="B22" s="125"/>
      <c r="C22" s="125"/>
      <c r="D22" s="125"/>
      <c r="E22" s="125"/>
      <c r="F22" s="125"/>
      <c r="G22" s="10" t="s">
        <v>14</v>
      </c>
      <c r="H22" s="15" t="s">
        <v>29</v>
      </c>
      <c r="I22" s="105" t="s">
        <v>30</v>
      </c>
    </row>
    <row r="23" spans="1:9" ht="13.5" customHeight="1" x14ac:dyDescent="0.25">
      <c r="A23" s="151" t="s">
        <v>199</v>
      </c>
      <c r="B23" s="151"/>
      <c r="C23" s="151"/>
      <c r="D23" s="151"/>
      <c r="E23" s="151"/>
      <c r="F23" s="151"/>
      <c r="G23" s="15" t="s">
        <v>14</v>
      </c>
      <c r="H23" s="15" t="s">
        <v>29</v>
      </c>
      <c r="I23" s="16" t="s">
        <v>30</v>
      </c>
    </row>
    <row r="24" spans="1:9" ht="22.5" customHeight="1" x14ac:dyDescent="0.25">
      <c r="A24" s="125" t="s">
        <v>33</v>
      </c>
      <c r="B24" s="125"/>
      <c r="C24" s="125"/>
      <c r="D24" s="125"/>
      <c r="E24" s="125"/>
      <c r="F24" s="125"/>
      <c r="G24" s="15"/>
      <c r="H24" s="15" t="s">
        <v>34</v>
      </c>
      <c r="I24" s="18" t="s">
        <v>30</v>
      </c>
    </row>
    <row r="25" spans="1:9" ht="36" customHeight="1" x14ac:dyDescent="0.25">
      <c r="A25" s="125" t="s">
        <v>35</v>
      </c>
      <c r="B25" s="125"/>
      <c r="C25" s="125"/>
      <c r="D25" s="125"/>
      <c r="E25" s="125"/>
      <c r="F25" s="125"/>
      <c r="G25" s="10"/>
      <c r="H25" s="10" t="s">
        <v>36</v>
      </c>
      <c r="I25" s="11" t="s">
        <v>30</v>
      </c>
    </row>
    <row r="26" spans="1:9" ht="15" customHeight="1" x14ac:dyDescent="0.25">
      <c r="A26" s="125" t="s">
        <v>37</v>
      </c>
      <c r="B26" s="125"/>
      <c r="C26" s="125"/>
      <c r="D26" s="125"/>
      <c r="E26" s="125"/>
      <c r="F26" s="125"/>
      <c r="G26" s="15"/>
      <c r="H26" s="19" t="s">
        <v>38</v>
      </c>
      <c r="I26" s="20">
        <v>8</v>
      </c>
    </row>
    <row r="27" spans="1:9" ht="15" customHeight="1" x14ac:dyDescent="0.25">
      <c r="A27" s="125"/>
      <c r="B27" s="125"/>
      <c r="C27" s="125"/>
      <c r="D27" s="125"/>
      <c r="E27" s="125"/>
      <c r="F27" s="125"/>
      <c r="G27" s="15"/>
      <c r="H27" s="21" t="s">
        <v>39</v>
      </c>
      <c r="I27" s="9">
        <v>1</v>
      </c>
    </row>
    <row r="28" spans="1:9" ht="26.25" customHeight="1" x14ac:dyDescent="0.25">
      <c r="A28" s="125" t="s">
        <v>40</v>
      </c>
      <c r="B28" s="125"/>
      <c r="C28" s="125"/>
      <c r="D28" s="125"/>
      <c r="E28" s="125"/>
      <c r="F28" s="125"/>
      <c r="G28" s="15"/>
      <c r="H28" s="10" t="s">
        <v>38</v>
      </c>
      <c r="I28" s="20" t="s">
        <v>30</v>
      </c>
    </row>
    <row r="29" spans="1:9" ht="36.75" customHeight="1" x14ac:dyDescent="0.25">
      <c r="A29" s="125" t="s">
        <v>41</v>
      </c>
      <c r="B29" s="125"/>
      <c r="C29" s="125"/>
      <c r="D29" s="125"/>
      <c r="E29" s="125"/>
      <c r="F29" s="125"/>
      <c r="G29" s="10"/>
      <c r="H29" s="8" t="s">
        <v>34</v>
      </c>
      <c r="I29" s="9">
        <v>0.1</v>
      </c>
    </row>
    <row r="30" spans="1:9" ht="18.75" customHeight="1" x14ac:dyDescent="0.25">
      <c r="A30" s="218" t="s">
        <v>200</v>
      </c>
      <c r="B30" s="219"/>
      <c r="C30" s="219"/>
      <c r="D30" s="219"/>
      <c r="E30" s="219"/>
      <c r="F30" s="220"/>
      <c r="G30" s="159" t="s">
        <v>14</v>
      </c>
      <c r="H30" s="15" t="s">
        <v>201</v>
      </c>
      <c r="I30" s="67">
        <v>54.37</v>
      </c>
    </row>
    <row r="31" spans="1:9" ht="16.5" customHeight="1" x14ac:dyDescent="0.25">
      <c r="A31" s="221"/>
      <c r="B31" s="222"/>
      <c r="C31" s="222"/>
      <c r="D31" s="222"/>
      <c r="E31" s="222"/>
      <c r="F31" s="223"/>
      <c r="G31" s="227"/>
      <c r="H31" s="15" t="s">
        <v>202</v>
      </c>
      <c r="I31" s="16">
        <v>11.76</v>
      </c>
    </row>
    <row r="32" spans="1:9" ht="33.75" customHeight="1" x14ac:dyDescent="0.25">
      <c r="A32" s="224"/>
      <c r="B32" s="225"/>
      <c r="C32" s="225"/>
      <c r="D32" s="225"/>
      <c r="E32" s="225"/>
      <c r="F32" s="226"/>
      <c r="G32" s="228"/>
      <c r="H32" s="15" t="s">
        <v>203</v>
      </c>
      <c r="I32" s="18">
        <v>0.2</v>
      </c>
    </row>
    <row r="33" spans="1:10" ht="24.75" customHeight="1" x14ac:dyDescent="0.25">
      <c r="A33" s="217" t="s">
        <v>219</v>
      </c>
      <c r="B33" s="217"/>
      <c r="C33" s="217"/>
      <c r="D33" s="217"/>
      <c r="E33" s="217"/>
      <c r="F33" s="217"/>
      <c r="G33" s="150" t="s">
        <v>14</v>
      </c>
      <c r="H33" s="10" t="s">
        <v>201</v>
      </c>
      <c r="I33" s="20">
        <v>6.79</v>
      </c>
    </row>
    <row r="34" spans="1:10" ht="24.75" customHeight="1" x14ac:dyDescent="0.25">
      <c r="A34" s="217"/>
      <c r="B34" s="217"/>
      <c r="C34" s="217"/>
      <c r="D34" s="217"/>
      <c r="E34" s="217"/>
      <c r="F34" s="217"/>
      <c r="G34" s="150"/>
      <c r="H34" s="10" t="s">
        <v>202</v>
      </c>
      <c r="I34" s="11">
        <f>(I10/H10)*1.5</f>
        <v>21.813749999999999</v>
      </c>
    </row>
    <row r="35" spans="1:10" ht="6.75" customHeight="1" x14ac:dyDescent="0.25">
      <c r="I35" s="89" t="s">
        <v>30</v>
      </c>
    </row>
    <row r="36" spans="1:10" ht="17.25" customHeight="1" x14ac:dyDescent="0.25">
      <c r="A36" s="140" t="s">
        <v>42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25">
      <c r="A37" s="22" t="s">
        <v>43</v>
      </c>
      <c r="B37" s="141" t="s">
        <v>44</v>
      </c>
      <c r="C37" s="141"/>
      <c r="D37" s="141"/>
      <c r="E37" s="141"/>
      <c r="F37" s="141"/>
      <c r="G37" s="141"/>
      <c r="H37" s="22" t="s">
        <v>45</v>
      </c>
      <c r="I37" s="22" t="s">
        <v>46</v>
      </c>
    </row>
    <row r="38" spans="1:10" ht="15" customHeight="1" x14ac:dyDescent="0.25">
      <c r="A38" s="17">
        <v>1</v>
      </c>
      <c r="B38" s="124" t="s">
        <v>47</v>
      </c>
      <c r="C38" s="124"/>
      <c r="D38" s="124"/>
      <c r="E38" s="124"/>
      <c r="F38" s="124"/>
      <c r="G38" s="124"/>
      <c r="H38" s="23">
        <f t="shared" ref="H38:H54" si="0">I38/$I$55</f>
        <v>0.56250873627875597</v>
      </c>
      <c r="I38" s="24">
        <f>IF(D6="12x36",I10,I10/H10*I5)</f>
        <v>3199.35</v>
      </c>
    </row>
    <row r="39" spans="1:10" ht="15" customHeight="1" x14ac:dyDescent="0.25">
      <c r="A39" s="17">
        <f t="shared" ref="A39:A54" si="1">A38+1</f>
        <v>2</v>
      </c>
      <c r="B39" s="124" t="s">
        <v>205</v>
      </c>
      <c r="C39" s="124"/>
      <c r="D39" s="124"/>
      <c r="E39" s="124"/>
      <c r="F39" s="124"/>
      <c r="G39" s="124"/>
      <c r="H39" s="23">
        <f t="shared" si="0"/>
        <v>0</v>
      </c>
      <c r="I39" s="62">
        <v>0</v>
      </c>
      <c r="J39" s="34"/>
    </row>
    <row r="40" spans="1:10" ht="15" customHeight="1" x14ac:dyDescent="0.25">
      <c r="A40" s="17">
        <f t="shared" si="1"/>
        <v>3</v>
      </c>
      <c r="B40" s="124" t="s">
        <v>48</v>
      </c>
      <c r="C40" s="124"/>
      <c r="D40" s="124"/>
      <c r="E40" s="124"/>
      <c r="F40" s="124"/>
      <c r="G40" s="124"/>
      <c r="H40" s="23">
        <f t="shared" si="0"/>
        <v>0.16875262088362677</v>
      </c>
      <c r="I40" s="24">
        <f>IF(I9=30%,I38*I9,0)</f>
        <v>959.80499999999995</v>
      </c>
    </row>
    <row r="41" spans="1:10" ht="15" customHeight="1" x14ac:dyDescent="0.25">
      <c r="A41" s="17">
        <f t="shared" si="1"/>
        <v>4</v>
      </c>
      <c r="B41" s="124" t="s">
        <v>206</v>
      </c>
      <c r="C41" s="124"/>
      <c r="D41" s="124"/>
      <c r="E41" s="124"/>
      <c r="F41" s="124"/>
      <c r="G41" s="124"/>
      <c r="H41" s="23">
        <f t="shared" si="0"/>
        <v>0</v>
      </c>
      <c r="I41" s="24">
        <f>IF(I7=10%,I25*I7,0)</f>
        <v>0</v>
      </c>
    </row>
    <row r="42" spans="1:10" ht="15" customHeight="1" x14ac:dyDescent="0.25">
      <c r="A42" s="17">
        <f t="shared" si="1"/>
        <v>5</v>
      </c>
      <c r="B42" s="124" t="s">
        <v>50</v>
      </c>
      <c r="C42" s="124"/>
      <c r="D42" s="124"/>
      <c r="E42" s="124"/>
      <c r="F42" s="124"/>
      <c r="G42" s="124"/>
      <c r="H42" s="23">
        <f t="shared" si="0"/>
        <v>0</v>
      </c>
      <c r="I42" s="24">
        <f>IF(I7=20%,I25*I7,0)</f>
        <v>0</v>
      </c>
    </row>
    <row r="43" spans="1:10" ht="15" customHeight="1" x14ac:dyDescent="0.25">
      <c r="A43" s="17">
        <f t="shared" si="1"/>
        <v>6</v>
      </c>
      <c r="B43" s="124" t="s">
        <v>51</v>
      </c>
      <c r="C43" s="124"/>
      <c r="D43" s="124"/>
      <c r="E43" s="124"/>
      <c r="F43" s="124"/>
      <c r="G43" s="124"/>
      <c r="H43" s="23">
        <f t="shared" si="0"/>
        <v>0</v>
      </c>
      <c r="I43" s="24">
        <f>IF(I7=40%,I25*I7,0)</f>
        <v>0</v>
      </c>
    </row>
    <row r="44" spans="1:10" ht="15" customHeight="1" x14ac:dyDescent="0.25">
      <c r="A44" s="17">
        <f t="shared" si="1"/>
        <v>7</v>
      </c>
      <c r="B44" s="124" t="s">
        <v>52</v>
      </c>
      <c r="C44" s="124"/>
      <c r="D44" s="124"/>
      <c r="E44" s="124"/>
      <c r="F44" s="124"/>
      <c r="G44" s="124"/>
      <c r="H44" s="23">
        <f t="shared" si="0"/>
        <v>0</v>
      </c>
      <c r="I44" s="24">
        <f>IF(I24="Não aplicável",0,I38*I24)</f>
        <v>0</v>
      </c>
    </row>
    <row r="45" spans="1:10" ht="15" customHeight="1" x14ac:dyDescent="0.25">
      <c r="A45" s="17">
        <f t="shared" si="1"/>
        <v>8</v>
      </c>
      <c r="B45" s="124" t="s">
        <v>53</v>
      </c>
      <c r="C45" s="124"/>
      <c r="D45" s="124"/>
      <c r="E45" s="124"/>
      <c r="F45" s="124"/>
      <c r="G45" s="124"/>
      <c r="H45" s="23">
        <f t="shared" si="0"/>
        <v>5.3182644157264196E-2</v>
      </c>
      <c r="I45" s="24">
        <f>IF(I26="Não aplicável",0,(I38+I39+I40+I41+I42+I43+I44+I54)/I5*I26*(1+I27))</f>
        <v>302.48399999999998</v>
      </c>
    </row>
    <row r="46" spans="1:10" ht="23.25" customHeight="1" x14ac:dyDescent="0.25">
      <c r="A46" s="17">
        <f t="shared" si="1"/>
        <v>9</v>
      </c>
      <c r="B46" s="124" t="s">
        <v>54</v>
      </c>
      <c r="C46" s="124"/>
      <c r="D46" s="124"/>
      <c r="E46" s="124"/>
      <c r="F46" s="124"/>
      <c r="G46" s="124"/>
      <c r="H46" s="23">
        <f t="shared" si="0"/>
        <v>7.8672550528497351E-3</v>
      </c>
      <c r="I46" s="24">
        <f>IF(I26="Não aplicável",0,I26/I13*5*(I10/H10*(1+I27)))</f>
        <v>44.746153846153852</v>
      </c>
    </row>
    <row r="47" spans="1:10" ht="15" customHeight="1" x14ac:dyDescent="0.25">
      <c r="A47" s="17">
        <f t="shared" si="1"/>
        <v>10</v>
      </c>
      <c r="B47" s="124" t="s">
        <v>207</v>
      </c>
      <c r="C47" s="124"/>
      <c r="D47" s="124"/>
      <c r="E47" s="124"/>
      <c r="F47" s="124"/>
      <c r="G47" s="124"/>
      <c r="H47" s="23">
        <f t="shared" si="0"/>
        <v>2.6041597631814226E-2</v>
      </c>
      <c r="I47" s="24">
        <f>I33*I34</f>
        <v>148.1153625</v>
      </c>
    </row>
    <row r="48" spans="1:10" ht="15" customHeight="1" x14ac:dyDescent="0.25">
      <c r="A48" s="17">
        <f t="shared" si="1"/>
        <v>11</v>
      </c>
      <c r="B48" s="214" t="s">
        <v>208</v>
      </c>
      <c r="C48" s="215"/>
      <c r="D48" s="215"/>
      <c r="E48" s="215"/>
      <c r="F48" s="215"/>
      <c r="G48" s="216"/>
      <c r="H48" s="23">
        <f t="shared" si="0"/>
        <v>0</v>
      </c>
      <c r="I48" s="24">
        <f>IF(OR(I7=10%,I7=20%,I7=40%),I47*I7,0)</f>
        <v>0</v>
      </c>
    </row>
    <row r="49" spans="1:10" ht="15" customHeight="1" x14ac:dyDescent="0.25">
      <c r="A49" s="17">
        <f t="shared" si="1"/>
        <v>12</v>
      </c>
      <c r="B49" s="214" t="s">
        <v>209</v>
      </c>
      <c r="C49" s="215"/>
      <c r="D49" s="215"/>
      <c r="E49" s="215"/>
      <c r="F49" s="215"/>
      <c r="G49" s="216"/>
      <c r="H49" s="23">
        <f t="shared" si="0"/>
        <v>7.8124792895442677E-3</v>
      </c>
      <c r="I49" s="24">
        <f>IF(I9=30%,I47*I9,0)</f>
        <v>44.434608750000002</v>
      </c>
    </row>
    <row r="50" spans="1:10" ht="15" customHeight="1" x14ac:dyDescent="0.25">
      <c r="A50" s="17">
        <f t="shared" si="1"/>
        <v>13</v>
      </c>
      <c r="B50" s="212" t="s">
        <v>210</v>
      </c>
      <c r="C50" s="212"/>
      <c r="D50" s="212"/>
      <c r="E50" s="212"/>
      <c r="F50" s="212"/>
      <c r="G50" s="212"/>
      <c r="H50" s="23">
        <f t="shared" si="0"/>
        <v>0.1124175647865214</v>
      </c>
      <c r="I50" s="24">
        <f>I30*I31</f>
        <v>639.39119999999991</v>
      </c>
    </row>
    <row r="51" spans="1:10" ht="15" customHeight="1" x14ac:dyDescent="0.25">
      <c r="A51" s="17">
        <f t="shared" si="1"/>
        <v>14</v>
      </c>
      <c r="B51" s="214" t="s">
        <v>211</v>
      </c>
      <c r="C51" s="215"/>
      <c r="D51" s="215"/>
      <c r="E51" s="215"/>
      <c r="F51" s="215"/>
      <c r="G51" s="216"/>
      <c r="H51" s="23">
        <f t="shared" si="0"/>
        <v>0</v>
      </c>
      <c r="I51" s="24">
        <f>IF(OR(I7=10%,I7=20%,I7=40%),I50*I7,0)</f>
        <v>0</v>
      </c>
    </row>
    <row r="52" spans="1:10" ht="15" customHeight="1" x14ac:dyDescent="0.25">
      <c r="A52" s="17">
        <f t="shared" si="1"/>
        <v>15</v>
      </c>
      <c r="B52" s="214" t="s">
        <v>212</v>
      </c>
      <c r="C52" s="215"/>
      <c r="D52" s="215"/>
      <c r="E52" s="215"/>
      <c r="F52" s="215"/>
      <c r="G52" s="216"/>
      <c r="H52" s="23">
        <f t="shared" si="0"/>
        <v>3.3725269435956419E-2</v>
      </c>
      <c r="I52" s="24">
        <f>IF(I9=30%,I50*I9,0)</f>
        <v>191.81735999999998</v>
      </c>
    </row>
    <row r="53" spans="1:10" ht="24" customHeight="1" x14ac:dyDescent="0.25">
      <c r="A53" s="17">
        <f t="shared" si="1"/>
        <v>16</v>
      </c>
      <c r="B53" s="213" t="s">
        <v>213</v>
      </c>
      <c r="C53" s="213"/>
      <c r="D53" s="213"/>
      <c r="E53" s="213"/>
      <c r="F53" s="213"/>
      <c r="G53" s="213"/>
      <c r="H53" s="23">
        <f t="shared" si="0"/>
        <v>2.769183248366713E-2</v>
      </c>
      <c r="I53" s="24">
        <f>(I47+I50)*0.2</f>
        <v>157.50131250000001</v>
      </c>
    </row>
    <row r="54" spans="1:10" ht="15" customHeight="1" x14ac:dyDescent="0.25">
      <c r="A54" s="17">
        <f t="shared" si="1"/>
        <v>17</v>
      </c>
      <c r="B54" s="213" t="str">
        <f>IF(D6="12x36","Para postos 12x36 os feriados são considerados compensados, conforme parágrafo único, Art. 59-A da CLT","Outros")</f>
        <v>Outros</v>
      </c>
      <c r="C54" s="213"/>
      <c r="D54" s="213"/>
      <c r="E54" s="213"/>
      <c r="F54" s="213"/>
      <c r="G54" s="213"/>
      <c r="H54" s="23">
        <f t="shared" si="0"/>
        <v>0</v>
      </c>
      <c r="I54" s="24">
        <v>0</v>
      </c>
    </row>
    <row r="55" spans="1:10" s="28" customFormat="1" ht="15" customHeight="1" x14ac:dyDescent="0.25">
      <c r="A55" s="145" t="s">
        <v>55</v>
      </c>
      <c r="B55" s="145"/>
      <c r="C55" s="145"/>
      <c r="D55" s="145"/>
      <c r="E55" s="145"/>
      <c r="F55" s="145"/>
      <c r="G55" s="145"/>
      <c r="H55" s="25">
        <f>SUM(H38:H54)</f>
        <v>1</v>
      </c>
      <c r="I55" s="26">
        <f>SUM(I38:I54)</f>
        <v>5687.6449975961532</v>
      </c>
      <c r="J55" s="27"/>
    </row>
    <row r="56" spans="1:10" ht="4.5" customHeight="1" x14ac:dyDescent="0.25"/>
    <row r="57" spans="1:10" ht="33.75" customHeight="1" x14ac:dyDescent="0.25">
      <c r="A57" s="22" t="s">
        <v>56</v>
      </c>
      <c r="B57" s="141" t="s">
        <v>57</v>
      </c>
      <c r="C57" s="141"/>
      <c r="D57" s="141"/>
      <c r="E57" s="141"/>
      <c r="F57" s="141"/>
      <c r="G57" s="141"/>
      <c r="H57" s="22" t="s">
        <v>45</v>
      </c>
      <c r="I57" s="22" t="s">
        <v>46</v>
      </c>
    </row>
    <row r="58" spans="1:10" ht="15" customHeight="1" x14ac:dyDescent="0.25">
      <c r="A58" s="17">
        <v>1</v>
      </c>
      <c r="B58" s="124" t="s">
        <v>58</v>
      </c>
      <c r="C58" s="124"/>
      <c r="D58" s="124"/>
      <c r="E58" s="124"/>
      <c r="F58" s="124"/>
      <c r="G58" s="124"/>
      <c r="H58" s="23">
        <v>0.2</v>
      </c>
      <c r="I58" s="24">
        <f t="shared" ref="I58:I65" si="2">$I$55*H58</f>
        <v>1137.5289995192306</v>
      </c>
    </row>
    <row r="59" spans="1:10" ht="15" customHeight="1" x14ac:dyDescent="0.25">
      <c r="A59" s="17">
        <v>2</v>
      </c>
      <c r="B59" s="124" t="s">
        <v>59</v>
      </c>
      <c r="C59" s="124"/>
      <c r="D59" s="124"/>
      <c r="E59" s="124"/>
      <c r="F59" s="124"/>
      <c r="G59" s="124"/>
      <c r="H59" s="23">
        <v>1.4999999999999999E-2</v>
      </c>
      <c r="I59" s="24">
        <f t="shared" si="2"/>
        <v>85.314674963942295</v>
      </c>
    </row>
    <row r="60" spans="1:10" ht="15" customHeight="1" x14ac:dyDescent="0.25">
      <c r="A60" s="17">
        <v>3</v>
      </c>
      <c r="B60" s="124" t="s">
        <v>60</v>
      </c>
      <c r="C60" s="124"/>
      <c r="D60" s="124"/>
      <c r="E60" s="124"/>
      <c r="F60" s="124"/>
      <c r="G60" s="124"/>
      <c r="H60" s="23">
        <v>0.01</v>
      </c>
      <c r="I60" s="24">
        <f t="shared" si="2"/>
        <v>56.876449975961535</v>
      </c>
    </row>
    <row r="61" spans="1:10" ht="15" customHeight="1" x14ac:dyDescent="0.25">
      <c r="A61" s="17">
        <v>4</v>
      </c>
      <c r="B61" s="124" t="s">
        <v>61</v>
      </c>
      <c r="C61" s="124"/>
      <c r="D61" s="124"/>
      <c r="E61" s="124"/>
      <c r="F61" s="124"/>
      <c r="G61" s="124"/>
      <c r="H61" s="23">
        <v>2E-3</v>
      </c>
      <c r="I61" s="24">
        <f t="shared" si="2"/>
        <v>11.375289995192306</v>
      </c>
    </row>
    <row r="62" spans="1:10" ht="15" customHeight="1" x14ac:dyDescent="0.25">
      <c r="A62" s="17">
        <v>5</v>
      </c>
      <c r="B62" s="124" t="s">
        <v>62</v>
      </c>
      <c r="C62" s="124"/>
      <c r="D62" s="124"/>
      <c r="E62" s="124"/>
      <c r="F62" s="124"/>
      <c r="G62" s="124"/>
      <c r="H62" s="23">
        <v>2.5000000000000001E-2</v>
      </c>
      <c r="I62" s="24">
        <f t="shared" si="2"/>
        <v>142.19112493990383</v>
      </c>
    </row>
    <row r="63" spans="1:10" ht="15" customHeight="1" x14ac:dyDescent="0.25">
      <c r="A63" s="17">
        <v>6</v>
      </c>
      <c r="B63" s="124" t="s">
        <v>63</v>
      </c>
      <c r="C63" s="124"/>
      <c r="D63" s="124"/>
      <c r="E63" s="124"/>
      <c r="F63" s="124"/>
      <c r="G63" s="124"/>
      <c r="H63" s="23">
        <v>0.08</v>
      </c>
      <c r="I63" s="24">
        <f t="shared" si="2"/>
        <v>455.01159980769228</v>
      </c>
    </row>
    <row r="64" spans="1:10" ht="15" customHeight="1" x14ac:dyDescent="0.25">
      <c r="A64" s="17">
        <v>7</v>
      </c>
      <c r="B64" s="124" t="s">
        <v>64</v>
      </c>
      <c r="C64" s="124"/>
      <c r="D64" s="124"/>
      <c r="E64" s="124"/>
      <c r="F64" s="124"/>
      <c r="G64" s="124"/>
      <c r="H64" s="23">
        <v>0.03</v>
      </c>
      <c r="I64" s="24">
        <f t="shared" si="2"/>
        <v>170.62934992788459</v>
      </c>
    </row>
    <row r="65" spans="1:10" ht="15" customHeight="1" x14ac:dyDescent="0.25">
      <c r="A65" s="17">
        <v>8</v>
      </c>
      <c r="B65" s="124" t="s">
        <v>65</v>
      </c>
      <c r="C65" s="124"/>
      <c r="D65" s="124"/>
      <c r="E65" s="124"/>
      <c r="F65" s="124"/>
      <c r="G65" s="124"/>
      <c r="H65" s="23">
        <v>6.0000000000000001E-3</v>
      </c>
      <c r="I65" s="24">
        <f t="shared" si="2"/>
        <v>34.125869985576919</v>
      </c>
    </row>
    <row r="66" spans="1:10" s="28" customFormat="1" ht="15" customHeight="1" x14ac:dyDescent="0.25">
      <c r="A66" s="145" t="s">
        <v>66</v>
      </c>
      <c r="B66" s="145"/>
      <c r="C66" s="145"/>
      <c r="D66" s="145"/>
      <c r="E66" s="145"/>
      <c r="F66" s="145"/>
      <c r="G66" s="145"/>
      <c r="H66" s="25">
        <f>SUM(H58:H65)</f>
        <v>0.3680000000000001</v>
      </c>
      <c r="I66" s="26">
        <f>SUM(I58:I65)</f>
        <v>2093.0533591153844</v>
      </c>
      <c r="J66" s="27"/>
    </row>
    <row r="67" spans="1:10" ht="15" customHeight="1" x14ac:dyDescent="0.25">
      <c r="A67" s="164" t="s">
        <v>67</v>
      </c>
      <c r="B67" s="164"/>
      <c r="C67" s="164"/>
      <c r="D67" s="164"/>
      <c r="E67" s="164"/>
      <c r="F67" s="164"/>
      <c r="G67" s="164"/>
      <c r="H67" s="164"/>
      <c r="I67" s="164"/>
    </row>
    <row r="68" spans="1:10" ht="30.75" customHeight="1" x14ac:dyDescent="0.25">
      <c r="A68" s="165" t="s">
        <v>68</v>
      </c>
      <c r="B68" s="165"/>
      <c r="C68" s="165"/>
      <c r="D68" s="165"/>
      <c r="E68" s="165"/>
      <c r="F68" s="165"/>
      <c r="G68" s="165"/>
      <c r="H68" s="165"/>
      <c r="I68" s="165"/>
    </row>
    <row r="69" spans="1:10" ht="33.75" customHeight="1" x14ac:dyDescent="0.25">
      <c r="A69" s="22" t="s">
        <v>69</v>
      </c>
      <c r="B69" s="141" t="s">
        <v>70</v>
      </c>
      <c r="C69" s="141"/>
      <c r="D69" s="141"/>
      <c r="E69" s="141"/>
      <c r="F69" s="141"/>
      <c r="G69" s="141"/>
      <c r="H69" s="22" t="s">
        <v>45</v>
      </c>
      <c r="I69" s="22" t="s">
        <v>46</v>
      </c>
    </row>
    <row r="70" spans="1:10" ht="15" customHeight="1" x14ac:dyDescent="0.25">
      <c r="A70" s="17">
        <v>1</v>
      </c>
      <c r="B70" s="124" t="s">
        <v>71</v>
      </c>
      <c r="C70" s="124"/>
      <c r="D70" s="124"/>
      <c r="E70" s="124"/>
      <c r="F70" s="124"/>
      <c r="G70" s="124"/>
      <c r="H70" s="23">
        <v>0.119314</v>
      </c>
      <c r="I70" s="24">
        <f t="shared" ref="I70:I77" si="3">$I$55*H70</f>
        <v>678.61567524318741</v>
      </c>
    </row>
    <row r="71" spans="1:10" ht="15" customHeight="1" x14ac:dyDescent="0.25">
      <c r="A71" s="17">
        <v>2</v>
      </c>
      <c r="B71" s="124" t="s">
        <v>72</v>
      </c>
      <c r="C71" s="124"/>
      <c r="D71" s="124"/>
      <c r="E71" s="124"/>
      <c r="F71" s="124"/>
      <c r="G71" s="124"/>
      <c r="H71" s="23">
        <v>2.0479000000000001E-2</v>
      </c>
      <c r="I71" s="24">
        <f t="shared" si="3"/>
        <v>116.47728190577162</v>
      </c>
    </row>
    <row r="72" spans="1:10" ht="15" customHeight="1" x14ac:dyDescent="0.25">
      <c r="A72" s="17">
        <v>3</v>
      </c>
      <c r="B72" s="124" t="s">
        <v>214</v>
      </c>
      <c r="C72" s="124"/>
      <c r="D72" s="124"/>
      <c r="E72" s="124"/>
      <c r="F72" s="124"/>
      <c r="G72" s="124"/>
      <c r="H72" s="23">
        <v>1.2123E-2</v>
      </c>
      <c r="I72" s="24">
        <f t="shared" si="3"/>
        <v>68.951320305858161</v>
      </c>
    </row>
    <row r="73" spans="1:10" ht="15" customHeight="1" x14ac:dyDescent="0.25">
      <c r="A73" s="17">
        <v>4</v>
      </c>
      <c r="B73" s="124" t="s">
        <v>74</v>
      </c>
      <c r="C73" s="124"/>
      <c r="D73" s="124"/>
      <c r="E73" s="124"/>
      <c r="F73" s="124"/>
      <c r="G73" s="124"/>
      <c r="H73" s="23">
        <v>1.1436E-2</v>
      </c>
      <c r="I73" s="24">
        <f t="shared" si="3"/>
        <v>65.043908192509605</v>
      </c>
    </row>
    <row r="74" spans="1:10" ht="15" customHeight="1" x14ac:dyDescent="0.25">
      <c r="A74" s="17">
        <v>5</v>
      </c>
      <c r="B74" s="124" t="s">
        <v>75</v>
      </c>
      <c r="C74" s="124"/>
      <c r="D74" s="124"/>
      <c r="E74" s="124"/>
      <c r="F74" s="124"/>
      <c r="G74" s="124"/>
      <c r="H74" s="23">
        <v>1.74E-4</v>
      </c>
      <c r="I74" s="24">
        <f t="shared" si="3"/>
        <v>0.98965022958173066</v>
      </c>
    </row>
    <row r="75" spans="1:10" ht="15" customHeight="1" x14ac:dyDescent="0.25">
      <c r="A75" s="17">
        <v>6</v>
      </c>
      <c r="B75" s="124" t="s">
        <v>76</v>
      </c>
      <c r="C75" s="124"/>
      <c r="D75" s="124"/>
      <c r="E75" s="124"/>
      <c r="F75" s="124"/>
      <c r="G75" s="124"/>
      <c r="H75" s="23">
        <v>4.4200000000000001E-4</v>
      </c>
      <c r="I75" s="24">
        <f t="shared" si="3"/>
        <v>2.5139390889374997</v>
      </c>
    </row>
    <row r="76" spans="1:10" ht="15" customHeight="1" x14ac:dyDescent="0.25">
      <c r="A76" s="17">
        <v>7</v>
      </c>
      <c r="B76" s="124" t="s">
        <v>77</v>
      </c>
      <c r="C76" s="124"/>
      <c r="D76" s="124"/>
      <c r="E76" s="124"/>
      <c r="F76" s="124"/>
      <c r="G76" s="124"/>
      <c r="H76" s="23">
        <v>1.85E-4</v>
      </c>
      <c r="I76" s="24">
        <f t="shared" si="3"/>
        <v>1.0522143245552884</v>
      </c>
    </row>
    <row r="77" spans="1:10" ht="15" customHeight="1" x14ac:dyDescent="0.25">
      <c r="A77" s="17">
        <v>8</v>
      </c>
      <c r="B77" s="124" t="s">
        <v>78</v>
      </c>
      <c r="C77" s="124"/>
      <c r="D77" s="124"/>
      <c r="E77" s="124"/>
      <c r="F77" s="124"/>
      <c r="G77" s="124"/>
      <c r="H77" s="23">
        <v>9.0789999999999996E-2</v>
      </c>
      <c r="I77" s="24">
        <f t="shared" si="3"/>
        <v>516.38128933175472</v>
      </c>
    </row>
    <row r="78" spans="1:10" s="28" customFormat="1" ht="15" customHeight="1" x14ac:dyDescent="0.25">
      <c r="A78" s="145" t="s">
        <v>79</v>
      </c>
      <c r="B78" s="145"/>
      <c r="C78" s="145"/>
      <c r="D78" s="145"/>
      <c r="E78" s="145"/>
      <c r="F78" s="145"/>
      <c r="G78" s="145"/>
      <c r="H78" s="25">
        <f>SUM(H70:H77)</f>
        <v>0.25494299999999998</v>
      </c>
      <c r="I78" s="26">
        <f>SUM(I70:I77)</f>
        <v>1450.0252786221558</v>
      </c>
      <c r="J78" s="27"/>
    </row>
    <row r="79" spans="1:10" ht="11.25" customHeight="1" x14ac:dyDescent="0.25">
      <c r="A79" s="29" t="s">
        <v>80</v>
      </c>
      <c r="B79" s="166" t="s">
        <v>81</v>
      </c>
      <c r="C79" s="166"/>
      <c r="D79" s="166"/>
      <c r="E79" s="166"/>
      <c r="F79" s="166"/>
      <c r="G79" s="166"/>
      <c r="H79" s="166"/>
      <c r="I79" s="166"/>
    </row>
    <row r="80" spans="1:10" ht="15" customHeight="1" x14ac:dyDescent="0.25">
      <c r="A80" s="29" t="s">
        <v>82</v>
      </c>
      <c r="B80" s="167" t="s">
        <v>83</v>
      </c>
      <c r="C80" s="167"/>
      <c r="D80" s="167"/>
      <c r="E80" s="167"/>
      <c r="F80" s="167"/>
      <c r="G80" s="167"/>
      <c r="H80" s="167"/>
      <c r="I80" s="167"/>
    </row>
    <row r="81" spans="1:11" ht="33.75" customHeight="1" x14ac:dyDescent="0.25">
      <c r="A81" s="22" t="s">
        <v>84</v>
      </c>
      <c r="B81" s="141" t="s">
        <v>85</v>
      </c>
      <c r="C81" s="141"/>
      <c r="D81" s="141"/>
      <c r="E81" s="141"/>
      <c r="F81" s="141"/>
      <c r="G81" s="141"/>
      <c r="H81" s="22" t="s">
        <v>45</v>
      </c>
      <c r="I81" s="22" t="s">
        <v>46</v>
      </c>
    </row>
    <row r="82" spans="1:11" ht="15" customHeight="1" x14ac:dyDescent="0.25">
      <c r="A82" s="17">
        <v>1</v>
      </c>
      <c r="B82" s="124" t="s">
        <v>86</v>
      </c>
      <c r="C82" s="124"/>
      <c r="D82" s="124"/>
      <c r="E82" s="124"/>
      <c r="F82" s="124"/>
      <c r="G82" s="124"/>
      <c r="H82" s="23">
        <v>4.8321000000000003E-2</v>
      </c>
      <c r="I82" s="24">
        <f>$I$55*H82</f>
        <v>274.83269392884375</v>
      </c>
    </row>
    <row r="83" spans="1:11" ht="15" customHeight="1" x14ac:dyDescent="0.25">
      <c r="A83" s="17">
        <v>2</v>
      </c>
      <c r="B83" s="124" t="s">
        <v>87</v>
      </c>
      <c r="C83" s="124"/>
      <c r="D83" s="124"/>
      <c r="E83" s="124"/>
      <c r="F83" s="124"/>
      <c r="G83" s="124"/>
      <c r="H83" s="23">
        <v>3.5109999999999998E-3</v>
      </c>
      <c r="I83" s="24">
        <f>$I$55*H83</f>
        <v>19.969321586560092</v>
      </c>
    </row>
    <row r="84" spans="1:11" ht="15" customHeight="1" x14ac:dyDescent="0.25">
      <c r="A84" s="17">
        <v>3</v>
      </c>
      <c r="B84" s="124" t="s">
        <v>88</v>
      </c>
      <c r="C84" s="124"/>
      <c r="D84" s="124"/>
      <c r="E84" s="124"/>
      <c r="F84" s="124"/>
      <c r="G84" s="124"/>
      <c r="H84" s="23">
        <v>1.9328000000000001E-2</v>
      </c>
      <c r="I84" s="24">
        <f>$I$55*H84</f>
        <v>109.93080251353845</v>
      </c>
    </row>
    <row r="85" spans="1:11" s="28" customFormat="1" ht="15" customHeight="1" x14ac:dyDescent="0.25">
      <c r="A85" s="145" t="s">
        <v>89</v>
      </c>
      <c r="B85" s="145"/>
      <c r="C85" s="145"/>
      <c r="D85" s="145"/>
      <c r="E85" s="145"/>
      <c r="F85" s="145"/>
      <c r="G85" s="145"/>
      <c r="H85" s="25">
        <f>SUM(H82:H84)</f>
        <v>7.1160000000000001E-2</v>
      </c>
      <c r="I85" s="26">
        <f>SUM(I82:I84)</f>
        <v>404.73281802894235</v>
      </c>
      <c r="J85" s="27"/>
    </row>
    <row r="86" spans="1:11" ht="4.5" customHeight="1" x14ac:dyDescent="0.25"/>
    <row r="87" spans="1:11" ht="33.75" customHeight="1" x14ac:dyDescent="0.25">
      <c r="A87" s="22" t="s">
        <v>90</v>
      </c>
      <c r="B87" s="141" t="s">
        <v>91</v>
      </c>
      <c r="C87" s="141"/>
      <c r="D87" s="141"/>
      <c r="E87" s="141"/>
      <c r="F87" s="141"/>
      <c r="G87" s="141"/>
      <c r="H87" s="22" t="s">
        <v>45</v>
      </c>
      <c r="I87" s="22" t="s">
        <v>46</v>
      </c>
    </row>
    <row r="88" spans="1:11" ht="15" customHeight="1" x14ac:dyDescent="0.25">
      <c r="A88" s="17">
        <v>1</v>
      </c>
      <c r="B88" s="124" t="s">
        <v>92</v>
      </c>
      <c r="C88" s="124"/>
      <c r="D88" s="124"/>
      <c r="E88" s="124"/>
      <c r="F88" s="124"/>
      <c r="G88" s="124"/>
      <c r="H88" s="23">
        <f>(H66*H78)</f>
        <v>9.3819024000000015E-2</v>
      </c>
      <c r="I88" s="24">
        <f>$I$55*H88</f>
        <v>533.60930253295351</v>
      </c>
    </row>
    <row r="89" spans="1:11" s="28" customFormat="1" ht="15" customHeight="1" x14ac:dyDescent="0.25">
      <c r="A89" s="145" t="s">
        <v>93</v>
      </c>
      <c r="B89" s="145"/>
      <c r="C89" s="145"/>
      <c r="D89" s="145"/>
      <c r="E89" s="145"/>
      <c r="F89" s="145"/>
      <c r="G89" s="145"/>
      <c r="H89" s="25">
        <f>SUM(H88:H88)</f>
        <v>9.3819024000000015E-2</v>
      </c>
      <c r="I89" s="26">
        <f>I88</f>
        <v>533.60930253295351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1" t="s">
        <v>94</v>
      </c>
      <c r="B91" s="171"/>
      <c r="C91" s="171"/>
      <c r="D91" s="171"/>
      <c r="E91" s="171"/>
      <c r="F91" s="171"/>
      <c r="G91" s="171"/>
      <c r="H91" s="32">
        <f>H66+H78+H85+H89</f>
        <v>0.787922024</v>
      </c>
      <c r="I91" s="33">
        <f>I66+I78+I85+I89</f>
        <v>4481.4207582994359</v>
      </c>
      <c r="J91" s="27"/>
    </row>
    <row r="92" spans="1:11" ht="4.5" customHeight="1" x14ac:dyDescent="0.25"/>
    <row r="93" spans="1:11" ht="33.75" customHeight="1" x14ac:dyDescent="0.25">
      <c r="A93" s="22" t="s">
        <v>95</v>
      </c>
      <c r="B93" s="141" t="s">
        <v>96</v>
      </c>
      <c r="C93" s="141"/>
      <c r="D93" s="141"/>
      <c r="E93" s="141"/>
      <c r="F93" s="141"/>
      <c r="G93" s="141"/>
      <c r="H93" s="22" t="s">
        <v>45</v>
      </c>
      <c r="I93" s="22" t="s">
        <v>46</v>
      </c>
    </row>
    <row r="94" spans="1:11" ht="15" customHeight="1" x14ac:dyDescent="0.25">
      <c r="A94" s="17">
        <v>1</v>
      </c>
      <c r="B94" s="124" t="s">
        <v>97</v>
      </c>
      <c r="C94" s="124"/>
      <c r="D94" s="124"/>
      <c r="E94" s="124"/>
      <c r="F94" s="124"/>
      <c r="G94" s="124"/>
      <c r="H94" s="23">
        <f t="shared" ref="H94:H101" si="4">I94/$I$55</f>
        <v>0</v>
      </c>
      <c r="I94" s="24">
        <f>I114</f>
        <v>0</v>
      </c>
    </row>
    <row r="95" spans="1:11" ht="15" customHeight="1" x14ac:dyDescent="0.25">
      <c r="A95" s="17">
        <f>A94+1</f>
        <v>2</v>
      </c>
      <c r="B95" s="124" t="s">
        <v>27</v>
      </c>
      <c r="C95" s="124"/>
      <c r="D95" s="124"/>
      <c r="E95" s="124"/>
      <c r="F95" s="124"/>
      <c r="G95" s="124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68" t="s">
        <v>98</v>
      </c>
      <c r="C96" s="169"/>
      <c r="D96" s="169"/>
      <c r="E96" s="169"/>
      <c r="F96" s="169"/>
      <c r="G96" s="170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4" t="s">
        <v>99</v>
      </c>
      <c r="C97" s="124"/>
      <c r="D97" s="124"/>
      <c r="E97" s="124"/>
      <c r="F97" s="124"/>
      <c r="G97" s="124"/>
      <c r="H97" s="23">
        <f t="shared" si="4"/>
        <v>1.4705383341497135E-2</v>
      </c>
      <c r="I97" s="24">
        <f>I106</f>
        <v>83.638999999999982</v>
      </c>
    </row>
    <row r="98" spans="1:10" ht="15" customHeight="1" x14ac:dyDescent="0.25">
      <c r="A98" s="17">
        <f t="shared" si="5"/>
        <v>5</v>
      </c>
      <c r="B98" s="124" t="s">
        <v>100</v>
      </c>
      <c r="C98" s="124"/>
      <c r="D98" s="124"/>
      <c r="E98" s="124"/>
      <c r="F98" s="124"/>
      <c r="G98" s="124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4" t="s">
        <v>101</v>
      </c>
      <c r="C99" s="124"/>
      <c r="D99" s="124"/>
      <c r="E99" s="124"/>
      <c r="F99" s="124"/>
      <c r="G99" s="124"/>
      <c r="H99" s="23">
        <f t="shared" ref="H99:H100" si="6">I99/$I$46</f>
        <v>0</v>
      </c>
      <c r="I99" s="24">
        <f>IF(I21="Não aplicável",0,I21)</f>
        <v>0</v>
      </c>
    </row>
    <row r="100" spans="1:10" ht="15" customHeight="1" x14ac:dyDescent="0.25">
      <c r="A100" s="17">
        <v>7</v>
      </c>
      <c r="B100" s="124" t="s">
        <v>31</v>
      </c>
      <c r="C100" s="124"/>
      <c r="D100" s="124"/>
      <c r="E100" s="124"/>
      <c r="F100" s="124"/>
      <c r="G100" s="124"/>
      <c r="H100" s="23">
        <f t="shared" si="6"/>
        <v>0</v>
      </c>
      <c r="I100" s="24">
        <f>IF(I22="Não aplicável",0,I22)</f>
        <v>0</v>
      </c>
    </row>
    <row r="101" spans="1:10" ht="15" customHeight="1" x14ac:dyDescent="0.25">
      <c r="A101" s="17">
        <v>8</v>
      </c>
      <c r="B101" s="124" t="s">
        <v>102</v>
      </c>
      <c r="C101" s="124"/>
      <c r="D101" s="124"/>
      <c r="E101" s="124"/>
      <c r="F101" s="124"/>
      <c r="G101" s="124"/>
      <c r="H101" s="23">
        <f t="shared" si="4"/>
        <v>0</v>
      </c>
      <c r="I101" s="24">
        <f>IF(I23="Não aplicável",0,I23)</f>
        <v>0</v>
      </c>
    </row>
    <row r="102" spans="1:10" ht="13.5" customHeight="1" x14ac:dyDescent="0.25">
      <c r="A102" s="145" t="s">
        <v>103</v>
      </c>
      <c r="B102" s="145"/>
      <c r="C102" s="145"/>
      <c r="D102" s="145"/>
      <c r="E102" s="145"/>
      <c r="F102" s="145"/>
      <c r="G102" s="145"/>
      <c r="H102" s="25">
        <f>SUM(H94:H101)</f>
        <v>1.4705383341497135E-2</v>
      </c>
      <c r="I102" s="26">
        <f>SUM(I94:I101)</f>
        <v>83.638999999999982</v>
      </c>
      <c r="J102" s="34"/>
    </row>
    <row r="103" spans="1:10" ht="5.25" customHeight="1" x14ac:dyDescent="0.25">
      <c r="A103" s="29"/>
      <c r="B103" s="164"/>
      <c r="C103" s="164"/>
      <c r="D103" s="164"/>
      <c r="E103" s="164"/>
      <c r="F103" s="164"/>
      <c r="G103" s="164"/>
      <c r="H103" s="35"/>
      <c r="I103" s="36"/>
    </row>
    <row r="104" spans="1:10" ht="15" customHeight="1" x14ac:dyDescent="0.25">
      <c r="A104" s="172" t="s">
        <v>106</v>
      </c>
      <c r="B104" s="172"/>
      <c r="C104" s="172"/>
      <c r="D104" s="172"/>
      <c r="E104" s="172"/>
      <c r="F104" s="172"/>
      <c r="G104" s="172"/>
      <c r="H104" s="172"/>
      <c r="I104" s="172"/>
    </row>
    <row r="105" spans="1:10" ht="24" customHeight="1" x14ac:dyDescent="0.25">
      <c r="A105" s="125" t="s">
        <v>107</v>
      </c>
      <c r="B105" s="125"/>
      <c r="C105" s="17" t="s">
        <v>108</v>
      </c>
      <c r="D105" s="17" t="s">
        <v>109</v>
      </c>
      <c r="E105" s="17" t="s">
        <v>110</v>
      </c>
      <c r="F105" s="17" t="s">
        <v>111</v>
      </c>
      <c r="G105" s="17" t="s">
        <v>112</v>
      </c>
      <c r="H105" s="23" t="s">
        <v>113</v>
      </c>
      <c r="I105" s="24" t="s">
        <v>114</v>
      </c>
    </row>
    <row r="106" spans="1:10" ht="15" customHeight="1" x14ac:dyDescent="0.25">
      <c r="A106" s="178">
        <f>IF(I12="Não aplicável",0,I12)</f>
        <v>5.3</v>
      </c>
      <c r="B106" s="178"/>
      <c r="C106" s="17">
        <f>IF(I13="Não aplicável",0,I13)</f>
        <v>26</v>
      </c>
      <c r="D106" s="17">
        <v>2</v>
      </c>
      <c r="E106" s="37">
        <f>A106*C106*D106</f>
        <v>275.59999999999997</v>
      </c>
      <c r="F106" s="37">
        <f>I38</f>
        <v>3199.35</v>
      </c>
      <c r="G106" s="38">
        <f>IF(I14="Não aplicável",0,I14)</f>
        <v>0.06</v>
      </c>
      <c r="H106" s="37">
        <f>F106*G106</f>
        <v>191.96099999999998</v>
      </c>
      <c r="I106" s="24">
        <f>IF((E106-H106)&gt;0,E106-H106,0)</f>
        <v>83.638999999999982</v>
      </c>
    </row>
    <row r="107" spans="1:10" ht="4.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2" t="s">
        <v>115</v>
      </c>
      <c r="B108" s="172"/>
      <c r="C108" s="172"/>
      <c r="D108" s="172"/>
      <c r="E108" s="172"/>
      <c r="F108" s="172"/>
      <c r="G108" s="172"/>
      <c r="H108" s="172"/>
      <c r="I108" s="172"/>
    </row>
    <row r="109" spans="1:10" ht="24" customHeight="1" x14ac:dyDescent="0.25">
      <c r="A109" s="125" t="s">
        <v>107</v>
      </c>
      <c r="B109" s="125"/>
      <c r="C109" s="17" t="s">
        <v>116</v>
      </c>
      <c r="D109" s="17" t="s">
        <v>109</v>
      </c>
      <c r="E109" s="17" t="s">
        <v>110</v>
      </c>
      <c r="F109" s="17" t="s">
        <v>111</v>
      </c>
      <c r="G109" s="17" t="s">
        <v>112</v>
      </c>
      <c r="H109" s="23" t="s">
        <v>113</v>
      </c>
      <c r="I109" s="24" t="s">
        <v>114</v>
      </c>
    </row>
    <row r="110" spans="1:10" ht="15" customHeight="1" x14ac:dyDescent="0.25">
      <c r="A110" s="173">
        <f>IF(I18="Não aplicável",0,I18)</f>
        <v>0</v>
      </c>
      <c r="B110" s="173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2" t="s">
        <v>215</v>
      </c>
      <c r="B112" s="172"/>
      <c r="C112" s="172"/>
      <c r="D112" s="172"/>
      <c r="E112" s="172"/>
      <c r="F112" s="172"/>
      <c r="G112" s="172"/>
      <c r="H112" s="172"/>
      <c r="I112" s="172"/>
    </row>
    <row r="113" spans="1:12" ht="23.25" customHeight="1" x14ac:dyDescent="0.25">
      <c r="A113" s="125" t="s">
        <v>107</v>
      </c>
      <c r="B113" s="125"/>
      <c r="C113" s="17" t="s">
        <v>116</v>
      </c>
      <c r="D113" s="17" t="s">
        <v>109</v>
      </c>
      <c r="E113" s="17" t="s">
        <v>110</v>
      </c>
      <c r="F113" s="17" t="s">
        <v>111</v>
      </c>
      <c r="G113" s="17" t="s">
        <v>112</v>
      </c>
      <c r="H113" s="23" t="str">
        <f>H105</f>
        <v>Valor desconto</v>
      </c>
      <c r="I113" s="24" t="s">
        <v>114</v>
      </c>
    </row>
    <row r="114" spans="1:12" ht="15" customHeight="1" x14ac:dyDescent="0.25">
      <c r="A114" s="173">
        <f>IF(I15="Não aplicável",0,I15)</f>
        <v>0</v>
      </c>
      <c r="B114" s="173"/>
      <c r="C114" s="42">
        <f>IF(I16="Não aplicável",0,I16)</f>
        <v>0</v>
      </c>
      <c r="D114" s="17">
        <v>1</v>
      </c>
      <c r="E114" s="37">
        <f>A114*C114*D114</f>
        <v>0</v>
      </c>
      <c r="F114" s="37">
        <f>E114</f>
        <v>0</v>
      </c>
      <c r="G114" s="43">
        <f>IF(I17="Não aplicável",0,I17)</f>
        <v>0</v>
      </c>
      <c r="H114" s="37">
        <f>F114*G114</f>
        <v>0</v>
      </c>
      <c r="I114" s="24">
        <f>E114-H114</f>
        <v>0</v>
      </c>
    </row>
    <row r="115" spans="1:12" ht="4.5" customHeight="1" x14ac:dyDescent="0.25"/>
    <row r="116" spans="1:12" ht="12" customHeight="1" x14ac:dyDescent="0.25">
      <c r="A116" s="179" t="s">
        <v>118</v>
      </c>
      <c r="B116" s="179"/>
      <c r="C116" s="179"/>
      <c r="D116" s="179"/>
      <c r="E116" s="179"/>
      <c r="F116" s="179"/>
      <c r="G116" s="179"/>
      <c r="H116" s="47">
        <f>H55+H91+H102</f>
        <v>1.8026274073414972</v>
      </c>
      <c r="I116" s="48">
        <f>I55+I91+I102</f>
        <v>10252.704755895589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0" t="s">
        <v>119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25">
      <c r="A119" s="22" t="s">
        <v>43</v>
      </c>
      <c r="B119" s="141" t="s">
        <v>120</v>
      </c>
      <c r="C119" s="141"/>
      <c r="D119" s="141"/>
      <c r="E119" s="141"/>
      <c r="F119" s="141"/>
      <c r="G119" s="141"/>
      <c r="H119" s="22" t="s">
        <v>45</v>
      </c>
      <c r="I119" s="22" t="s">
        <v>46</v>
      </c>
    </row>
    <row r="120" spans="1:12" ht="15" customHeight="1" x14ac:dyDescent="0.25">
      <c r="A120" s="17">
        <v>1</v>
      </c>
      <c r="B120" s="124" t="s">
        <v>121</v>
      </c>
      <c r="C120" s="124"/>
      <c r="D120" s="124"/>
      <c r="E120" s="124"/>
      <c r="F120" s="124"/>
      <c r="G120" s="124"/>
      <c r="H120" s="23">
        <f t="shared" ref="H120:H126" si="7">I120/$I$132</f>
        <v>0</v>
      </c>
      <c r="I120" s="24">
        <v>0</v>
      </c>
    </row>
    <row r="121" spans="1:12" ht="15" customHeight="1" x14ac:dyDescent="0.25">
      <c r="A121" s="17">
        <v>2</v>
      </c>
      <c r="B121" s="146" t="s">
        <v>122</v>
      </c>
      <c r="C121" s="146"/>
      <c r="D121" s="146"/>
      <c r="E121" s="146"/>
      <c r="F121" s="146"/>
      <c r="G121" s="146"/>
      <c r="H121" s="23">
        <f t="shared" si="7"/>
        <v>0</v>
      </c>
      <c r="I121" s="24">
        <v>0</v>
      </c>
    </row>
    <row r="122" spans="1:12" ht="15" customHeight="1" x14ac:dyDescent="0.25">
      <c r="A122" s="17">
        <v>3</v>
      </c>
      <c r="B122" s="124" t="s">
        <v>123</v>
      </c>
      <c r="C122" s="124"/>
      <c r="D122" s="124"/>
      <c r="E122" s="124"/>
      <c r="F122" s="124"/>
      <c r="G122" s="124"/>
      <c r="H122" s="23">
        <f t="shared" si="7"/>
        <v>0</v>
      </c>
      <c r="I122" s="24">
        <v>0</v>
      </c>
    </row>
    <row r="123" spans="1:12" ht="15" customHeight="1" x14ac:dyDescent="0.25">
      <c r="A123" s="17">
        <v>4</v>
      </c>
      <c r="B123" s="124" t="s">
        <v>124</v>
      </c>
      <c r="C123" s="124"/>
      <c r="D123" s="124"/>
      <c r="E123" s="124"/>
      <c r="F123" s="124"/>
      <c r="G123" s="124"/>
      <c r="H123" s="23">
        <f t="shared" si="7"/>
        <v>0</v>
      </c>
      <c r="I123" s="24">
        <f>IF(F130=20%,G130,0)</f>
        <v>0</v>
      </c>
    </row>
    <row r="124" spans="1:12" ht="15" customHeight="1" x14ac:dyDescent="0.25">
      <c r="A124" s="17">
        <v>5</v>
      </c>
      <c r="B124" s="124" t="s">
        <v>125</v>
      </c>
      <c r="C124" s="124"/>
      <c r="D124" s="124"/>
      <c r="E124" s="124"/>
      <c r="F124" s="124"/>
      <c r="G124" s="124"/>
      <c r="H124" s="23">
        <f t="shared" si="7"/>
        <v>0</v>
      </c>
      <c r="I124" s="24">
        <v>0</v>
      </c>
    </row>
    <row r="125" spans="1:12" ht="15" customHeight="1" x14ac:dyDescent="0.25">
      <c r="A125" s="17">
        <v>6</v>
      </c>
      <c r="B125" s="124" t="s">
        <v>216</v>
      </c>
      <c r="C125" s="124"/>
      <c r="D125" s="124"/>
      <c r="E125" s="124"/>
      <c r="F125" s="124"/>
      <c r="G125" s="124"/>
      <c r="H125" s="23">
        <f t="shared" si="7"/>
        <v>0</v>
      </c>
      <c r="I125" s="24">
        <v>0</v>
      </c>
    </row>
    <row r="126" spans="1:12" ht="15" customHeight="1" x14ac:dyDescent="0.25">
      <c r="A126" s="17">
        <v>7</v>
      </c>
      <c r="B126" s="124" t="s">
        <v>127</v>
      </c>
      <c r="C126" s="124"/>
      <c r="D126" s="124"/>
      <c r="E126" s="124"/>
      <c r="F126" s="124"/>
      <c r="G126" s="124"/>
      <c r="H126" s="23">
        <f t="shared" si="7"/>
        <v>0</v>
      </c>
      <c r="I126" s="24">
        <v>0</v>
      </c>
    </row>
    <row r="127" spans="1:12" ht="15" customHeight="1" x14ac:dyDescent="0.25">
      <c r="A127" s="145" t="s">
        <v>128</v>
      </c>
      <c r="B127" s="145"/>
      <c r="C127" s="145"/>
      <c r="D127" s="145"/>
      <c r="E127" s="145"/>
      <c r="F127" s="145"/>
      <c r="G127" s="145"/>
      <c r="H127" s="25">
        <f>H120+H121+H122+H123+H125+H126</f>
        <v>0</v>
      </c>
      <c r="I127" s="54">
        <f>SUM(I120:I126)</f>
        <v>0</v>
      </c>
      <c r="J127" s="34"/>
    </row>
    <row r="128" spans="1:12" ht="39" customHeight="1" x14ac:dyDescent="0.25">
      <c r="B128" s="166" t="s">
        <v>129</v>
      </c>
      <c r="C128" s="166"/>
      <c r="D128" s="166"/>
      <c r="E128" s="166"/>
      <c r="F128" s="166"/>
      <c r="G128" s="166"/>
      <c r="H128" s="166"/>
      <c r="I128" s="166"/>
    </row>
    <row r="129" spans="1:12" ht="5.25" customHeight="1" x14ac:dyDescent="0.25"/>
    <row r="130" spans="1:12" ht="48.75" customHeight="1" x14ac:dyDescent="0.25">
      <c r="A130" s="182" t="s">
        <v>130</v>
      </c>
      <c r="B130" s="182"/>
      <c r="C130" s="182"/>
      <c r="D130" s="182"/>
      <c r="E130" s="182"/>
      <c r="F130" s="55">
        <f>I29</f>
        <v>0.1</v>
      </c>
      <c r="G130" s="56">
        <f>I132*F130</f>
        <v>1016.906575589559</v>
      </c>
      <c r="H130" s="57" t="s">
        <v>131</v>
      </c>
      <c r="I130" s="58">
        <f>I97</f>
        <v>83.638999999999982</v>
      </c>
    </row>
    <row r="131" spans="1:12" s="61" customFormat="1" ht="16.5" customHeight="1" x14ac:dyDescent="0.25">
      <c r="A131" s="183" t="s">
        <v>132</v>
      </c>
      <c r="B131" s="183"/>
      <c r="C131" s="57" t="s">
        <v>133</v>
      </c>
      <c r="D131" s="57" t="s">
        <v>134</v>
      </c>
      <c r="E131" s="57" t="s">
        <v>135</v>
      </c>
      <c r="F131" s="57" t="s">
        <v>136</v>
      </c>
      <c r="G131" s="57" t="s">
        <v>137</v>
      </c>
      <c r="H131" s="57" t="s">
        <v>138</v>
      </c>
      <c r="I131" s="59" t="s">
        <v>139</v>
      </c>
      <c r="J131" s="60"/>
    </row>
    <row r="132" spans="1:12" ht="16.5" customHeight="1" x14ac:dyDescent="0.25">
      <c r="A132" s="184">
        <f>I55</f>
        <v>5687.6449975961532</v>
      </c>
      <c r="B132" s="184"/>
      <c r="C132" s="62">
        <f>I66</f>
        <v>2093.0533591153844</v>
      </c>
      <c r="D132" s="62">
        <f>I78</f>
        <v>1450.0252786221558</v>
      </c>
      <c r="E132" s="62">
        <f>I85</f>
        <v>404.73281802894235</v>
      </c>
      <c r="F132" s="62">
        <f>I89</f>
        <v>533.60930253295351</v>
      </c>
      <c r="G132" s="62">
        <f>I102</f>
        <v>83.638999999999982</v>
      </c>
      <c r="H132" s="62">
        <f>A132+C132+D132+E132+F132+G132</f>
        <v>10252.704755895589</v>
      </c>
      <c r="I132" s="62">
        <f>H132-I130</f>
        <v>10169.06575589559</v>
      </c>
      <c r="J132" s="34"/>
    </row>
    <row r="133" spans="1:12" ht="4.5" customHeight="1" x14ac:dyDescent="0.25">
      <c r="A133" s="29"/>
      <c r="B133" s="185"/>
      <c r="C133" s="185"/>
      <c r="D133" s="185"/>
      <c r="E133" s="185"/>
      <c r="F133" s="185"/>
      <c r="G133" s="185"/>
      <c r="H133" s="185"/>
      <c r="I133" s="185"/>
    </row>
    <row r="134" spans="1:12" ht="33.75" customHeight="1" x14ac:dyDescent="0.25">
      <c r="A134" s="22" t="s">
        <v>56</v>
      </c>
      <c r="B134" s="141" t="s">
        <v>140</v>
      </c>
      <c r="C134" s="141"/>
      <c r="D134" s="141"/>
      <c r="E134" s="141"/>
      <c r="F134" s="141"/>
      <c r="G134" s="141"/>
      <c r="H134" s="22" t="s">
        <v>45</v>
      </c>
      <c r="I134" s="22" t="s">
        <v>46</v>
      </c>
    </row>
    <row r="135" spans="1:12" ht="15" customHeight="1" x14ac:dyDescent="0.25">
      <c r="A135" s="17">
        <v>1</v>
      </c>
      <c r="B135" s="124" t="s">
        <v>141</v>
      </c>
      <c r="C135" s="124"/>
      <c r="D135" s="124"/>
      <c r="E135" s="124"/>
      <c r="F135" s="124"/>
      <c r="G135" s="124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4" t="s">
        <v>142</v>
      </c>
      <c r="C136" s="124"/>
      <c r="D136" s="124"/>
      <c r="E136" s="124"/>
      <c r="F136" s="124"/>
      <c r="G136" s="124"/>
      <c r="H136" s="23">
        <f>I136/$I$145</f>
        <v>0</v>
      </c>
      <c r="I136" s="24">
        <v>0</v>
      </c>
    </row>
    <row r="137" spans="1:12" ht="37.5" customHeight="1" x14ac:dyDescent="0.25">
      <c r="A137" s="180" t="s">
        <v>143</v>
      </c>
      <c r="B137" s="145"/>
      <c r="C137" s="145"/>
      <c r="D137" s="145"/>
      <c r="E137" s="145"/>
      <c r="F137" s="145"/>
      <c r="G137" s="145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69</v>
      </c>
      <c r="B139" s="141" t="s">
        <v>144</v>
      </c>
      <c r="C139" s="141"/>
      <c r="D139" s="141"/>
      <c r="E139" s="141"/>
      <c r="F139" s="141"/>
      <c r="G139" s="141"/>
      <c r="H139" s="22" t="s">
        <v>45</v>
      </c>
      <c r="I139" s="22" t="s">
        <v>46</v>
      </c>
    </row>
    <row r="140" spans="1:12" ht="15" customHeight="1" x14ac:dyDescent="0.25">
      <c r="A140" s="17">
        <v>1</v>
      </c>
      <c r="B140" s="124" t="s">
        <v>144</v>
      </c>
      <c r="C140" s="124"/>
      <c r="D140" s="124"/>
      <c r="E140" s="124"/>
      <c r="F140" s="124"/>
      <c r="G140" s="124"/>
      <c r="H140" s="23">
        <f>I140/I145</f>
        <v>0</v>
      </c>
      <c r="I140" s="24">
        <v>0</v>
      </c>
    </row>
    <row r="141" spans="1:12" ht="34.5" customHeight="1" x14ac:dyDescent="0.25">
      <c r="A141" s="180" t="s">
        <v>145</v>
      </c>
      <c r="B141" s="145"/>
      <c r="C141" s="145"/>
      <c r="D141" s="145"/>
      <c r="E141" s="145"/>
      <c r="F141" s="145"/>
      <c r="G141" s="145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1" t="s">
        <v>146</v>
      </c>
      <c r="B143" s="181"/>
      <c r="C143" s="181"/>
      <c r="D143" s="181"/>
      <c r="E143" s="181"/>
      <c r="F143" s="55">
        <v>0.18</v>
      </c>
      <c r="G143" s="56">
        <f>I145*F143</f>
        <v>1830.4318360612062</v>
      </c>
      <c r="H143" s="57" t="s">
        <v>131</v>
      </c>
      <c r="I143" s="58">
        <f>I97</f>
        <v>83.638999999999982</v>
      </c>
      <c r="L143" s="2"/>
    </row>
    <row r="144" spans="1:12" s="61" customFormat="1" ht="16.5" customHeight="1" x14ac:dyDescent="0.25">
      <c r="A144" s="183" t="s">
        <v>132</v>
      </c>
      <c r="B144" s="183"/>
      <c r="C144" s="57" t="s">
        <v>133</v>
      </c>
      <c r="D144" s="57" t="s">
        <v>134</v>
      </c>
      <c r="E144" s="57" t="s">
        <v>135</v>
      </c>
      <c r="F144" s="57" t="s">
        <v>136</v>
      </c>
      <c r="G144" s="57" t="s">
        <v>137</v>
      </c>
      <c r="H144" s="57" t="s">
        <v>138</v>
      </c>
      <c r="I144" s="59" t="s">
        <v>139</v>
      </c>
      <c r="J144" s="60"/>
      <c r="L144" s="60"/>
    </row>
    <row r="145" spans="1:12" ht="16.5" customHeight="1" x14ac:dyDescent="0.25">
      <c r="A145" s="184">
        <f>I55</f>
        <v>5687.6449975961532</v>
      </c>
      <c r="B145" s="184"/>
      <c r="C145" s="62">
        <f>I66</f>
        <v>2093.0533591153844</v>
      </c>
      <c r="D145" s="62">
        <f>I78</f>
        <v>1450.0252786221558</v>
      </c>
      <c r="E145" s="62">
        <f>I85</f>
        <v>404.73281802894235</v>
      </c>
      <c r="F145" s="62">
        <f>I89</f>
        <v>533.60930253295351</v>
      </c>
      <c r="G145" s="62">
        <f>I102</f>
        <v>83.638999999999982</v>
      </c>
      <c r="H145" s="62">
        <f>A145+C145+D145+E145+F145+G145</f>
        <v>10252.704755895589</v>
      </c>
      <c r="I145" s="62">
        <f>H145-I143</f>
        <v>10169.06575589559</v>
      </c>
      <c r="J145" s="34"/>
      <c r="L145" s="2"/>
    </row>
    <row r="146" spans="1:12" ht="4.5" customHeight="1" x14ac:dyDescent="0.25"/>
    <row r="147" spans="1:12" ht="12" customHeight="1" x14ac:dyDescent="0.25">
      <c r="A147" s="179" t="s">
        <v>147</v>
      </c>
      <c r="B147" s="179"/>
      <c r="C147" s="179"/>
      <c r="D147" s="179"/>
      <c r="E147" s="179"/>
      <c r="F147" s="179"/>
      <c r="G147" s="179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0" t="s">
        <v>148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25">
      <c r="A150" s="22" t="s">
        <v>43</v>
      </c>
      <c r="B150" s="141" t="s">
        <v>149</v>
      </c>
      <c r="C150" s="141"/>
      <c r="D150" s="141"/>
      <c r="E150" s="141"/>
      <c r="F150" s="141"/>
      <c r="G150" s="141"/>
      <c r="H150" s="22" t="s">
        <v>45</v>
      </c>
      <c r="I150" s="22" t="s">
        <v>46</v>
      </c>
    </row>
    <row r="151" spans="1:12" ht="15" customHeight="1" x14ac:dyDescent="0.25">
      <c r="A151" s="17">
        <v>1</v>
      </c>
      <c r="B151" s="124" t="s">
        <v>150</v>
      </c>
      <c r="C151" s="124"/>
      <c r="D151" s="124"/>
      <c r="E151" s="124"/>
      <c r="F151" s="124"/>
      <c r="G151" s="124"/>
      <c r="H151" s="23">
        <f>I151/$I$116</f>
        <v>7.5801749271137029E-3</v>
      </c>
      <c r="I151" s="24">
        <f>($D$161/$E$162)*H161</f>
        <v>77.717295525739161</v>
      </c>
    </row>
    <row r="152" spans="1:12" ht="15" customHeight="1" x14ac:dyDescent="0.25">
      <c r="A152" s="17">
        <v>2</v>
      </c>
      <c r="B152" s="124" t="s">
        <v>151</v>
      </c>
      <c r="C152" s="124"/>
      <c r="D152" s="124"/>
      <c r="E152" s="124"/>
      <c r="F152" s="124"/>
      <c r="G152" s="124"/>
      <c r="H152" s="23">
        <f>I152/$I$116</f>
        <v>3.4985422740524783E-2</v>
      </c>
      <c r="I152" s="24">
        <f>($D$161/$E$162)*H162</f>
        <v>358.69521011879613</v>
      </c>
    </row>
    <row r="153" spans="1:12" ht="15" customHeight="1" x14ac:dyDescent="0.25">
      <c r="A153" s="17">
        <v>3</v>
      </c>
      <c r="B153" s="124" t="s">
        <v>20</v>
      </c>
      <c r="C153" s="124"/>
      <c r="D153" s="124"/>
      <c r="E153" s="124"/>
      <c r="F153" s="124"/>
      <c r="G153" s="124"/>
      <c r="H153" s="23">
        <f>I153/$I$116</f>
        <v>5.8309037900874647E-2</v>
      </c>
      <c r="I153" s="24">
        <f>($D$161/$E$162)*H163</f>
        <v>597.82535019799366</v>
      </c>
    </row>
    <row r="154" spans="1:12" ht="15" customHeight="1" x14ac:dyDescent="0.25">
      <c r="A154" s="17">
        <v>4</v>
      </c>
      <c r="B154" s="124" t="s">
        <v>152</v>
      </c>
      <c r="C154" s="124"/>
      <c r="D154" s="124"/>
      <c r="E154" s="124"/>
      <c r="F154" s="124"/>
      <c r="G154" s="124"/>
      <c r="H154" s="23">
        <f>I154/$I$116</f>
        <v>0</v>
      </c>
      <c r="I154" s="24">
        <f>($D$161/$E$162)*G164</f>
        <v>0</v>
      </c>
    </row>
    <row r="155" spans="1:12" ht="15" customHeight="1" x14ac:dyDescent="0.25">
      <c r="A155" s="17">
        <v>5</v>
      </c>
      <c r="B155" s="124" t="s">
        <v>153</v>
      </c>
      <c r="C155" s="124"/>
      <c r="D155" s="124"/>
      <c r="E155" s="124"/>
      <c r="F155" s="124"/>
      <c r="G155" s="124"/>
      <c r="H155" s="23">
        <f>I155/$I$116</f>
        <v>0</v>
      </c>
      <c r="I155" s="24">
        <f>($D$161/$E$162)*G165</f>
        <v>0</v>
      </c>
    </row>
    <row r="156" spans="1:12" ht="15" customHeight="1" x14ac:dyDescent="0.25">
      <c r="A156" s="145" t="s">
        <v>154</v>
      </c>
      <c r="B156" s="145"/>
      <c r="C156" s="145"/>
      <c r="D156" s="145"/>
      <c r="E156" s="145"/>
      <c r="F156" s="145"/>
      <c r="G156" s="145"/>
      <c r="H156" s="25">
        <f>H151+H152+H153+H154+H155</f>
        <v>0.10087463556851313</v>
      </c>
      <c r="I156" s="26">
        <f>SUM(I151:I155)</f>
        <v>1034.2378558425289</v>
      </c>
    </row>
    <row r="157" spans="1:12" ht="11.25" customHeight="1" x14ac:dyDescent="0.25">
      <c r="A157" s="29" t="s">
        <v>155</v>
      </c>
      <c r="B157" s="166" t="s">
        <v>156</v>
      </c>
      <c r="C157" s="166"/>
      <c r="D157" s="166"/>
      <c r="E157" s="166"/>
      <c r="F157" s="166"/>
      <c r="G157" s="166"/>
      <c r="H157" s="166"/>
      <c r="I157" s="166"/>
    </row>
    <row r="158" spans="1:12" ht="20.25" customHeight="1" x14ac:dyDescent="0.25">
      <c r="A158" s="29" t="s">
        <v>157</v>
      </c>
      <c r="B158" s="190" t="s">
        <v>158</v>
      </c>
      <c r="C158" s="190"/>
      <c r="D158" s="190"/>
      <c r="E158" s="190"/>
      <c r="F158" s="190"/>
      <c r="G158" s="190"/>
      <c r="H158" s="190"/>
      <c r="I158" s="190"/>
    </row>
    <row r="159" spans="1:12" ht="13.5" customHeight="1" x14ac:dyDescent="0.25">
      <c r="A159" s="172" t="s">
        <v>159</v>
      </c>
      <c r="B159" s="172"/>
      <c r="C159" s="172"/>
      <c r="D159" s="172"/>
      <c r="E159" s="172"/>
      <c r="F159" s="172"/>
      <c r="G159" s="172"/>
      <c r="H159" s="172"/>
      <c r="I159" s="172"/>
    </row>
    <row r="160" spans="1:12" ht="13.5" customHeight="1" x14ac:dyDescent="0.25">
      <c r="A160" s="125" t="s">
        <v>160</v>
      </c>
      <c r="B160" s="125"/>
      <c r="C160" s="17" t="s">
        <v>161</v>
      </c>
      <c r="D160" s="149" t="s">
        <v>162</v>
      </c>
      <c r="E160" s="149"/>
      <c r="F160" s="17" t="s">
        <v>163</v>
      </c>
      <c r="G160" s="116" t="s">
        <v>164</v>
      </c>
      <c r="H160" s="191" t="s">
        <v>165</v>
      </c>
      <c r="I160" s="191"/>
    </row>
    <row r="161" spans="1:10" ht="13.5" customHeight="1" x14ac:dyDescent="0.25">
      <c r="A161" s="192">
        <f>I116</f>
        <v>10252.704755895589</v>
      </c>
      <c r="B161" s="192"/>
      <c r="C161" s="24">
        <f>I147</f>
        <v>0</v>
      </c>
      <c r="D161" s="193">
        <f>A161+C161</f>
        <v>10252.704755895589</v>
      </c>
      <c r="E161" s="193"/>
      <c r="F161" s="17" t="s">
        <v>150</v>
      </c>
      <c r="G161" s="117">
        <v>1.6500000000000001E-2</v>
      </c>
      <c r="H161" s="187">
        <v>6.4999999999999997E-3</v>
      </c>
      <c r="I161" s="187"/>
      <c r="J161" s="34"/>
    </row>
    <row r="162" spans="1:10" ht="13.5" customHeight="1" x14ac:dyDescent="0.25">
      <c r="A162" s="186" t="s">
        <v>166</v>
      </c>
      <c r="B162" s="186"/>
      <c r="C162" s="116">
        <v>1</v>
      </c>
      <c r="D162" s="119">
        <f>G166/1</f>
        <v>0.14250000000000002</v>
      </c>
      <c r="E162" s="120">
        <f>C162-D162</f>
        <v>0.85749999999999993</v>
      </c>
      <c r="F162" s="17" t="s">
        <v>151</v>
      </c>
      <c r="G162" s="117">
        <v>7.5999999999999998E-2</v>
      </c>
      <c r="H162" s="187">
        <v>0.03</v>
      </c>
      <c r="I162" s="187"/>
    </row>
    <row r="163" spans="1:10" ht="13.5" customHeight="1" x14ac:dyDescent="0.25">
      <c r="A163" s="188" t="s">
        <v>167</v>
      </c>
      <c r="B163" s="188"/>
      <c r="C163" s="115">
        <v>1</v>
      </c>
      <c r="D163" s="121">
        <f>H166</f>
        <v>8.6499999999999994E-2</v>
      </c>
      <c r="E163" s="122">
        <f>C163-D163</f>
        <v>0.91349999999999998</v>
      </c>
      <c r="F163" s="17" t="s">
        <v>20</v>
      </c>
      <c r="G163" s="117">
        <f>I11</f>
        <v>0.05</v>
      </c>
      <c r="H163" s="187">
        <f>I11</f>
        <v>0.05</v>
      </c>
      <c r="I163" s="187"/>
    </row>
    <row r="164" spans="1:10" ht="13.5" customHeight="1" x14ac:dyDescent="0.25">
      <c r="A164" s="198" t="s">
        <v>168</v>
      </c>
      <c r="B164" s="198"/>
      <c r="C164" s="17">
        <v>1</v>
      </c>
      <c r="D164" s="63">
        <v>0.09</v>
      </c>
      <c r="E164" s="64">
        <f>C164-D164</f>
        <v>0.91</v>
      </c>
      <c r="F164" s="17" t="s">
        <v>169</v>
      </c>
      <c r="G164" s="117">
        <v>0</v>
      </c>
      <c r="H164" s="187">
        <v>0</v>
      </c>
      <c r="I164" s="187"/>
    </row>
    <row r="165" spans="1:10" ht="13.5" customHeight="1" x14ac:dyDescent="0.25">
      <c r="A165" s="195" t="s">
        <v>170</v>
      </c>
      <c r="B165" s="195" t="s">
        <v>171</v>
      </c>
      <c r="C165" s="195"/>
      <c r="D165" s="195"/>
      <c r="E165" s="195"/>
      <c r="F165" s="12" t="s">
        <v>172</v>
      </c>
      <c r="G165" s="117">
        <v>0</v>
      </c>
      <c r="H165" s="187">
        <v>0</v>
      </c>
      <c r="I165" s="187"/>
    </row>
    <row r="166" spans="1:10" ht="18" customHeight="1" x14ac:dyDescent="0.25">
      <c r="A166" s="195"/>
      <c r="B166" s="195"/>
      <c r="C166" s="195"/>
      <c r="D166" s="195"/>
      <c r="E166" s="195"/>
      <c r="F166" s="3" t="s">
        <v>173</v>
      </c>
      <c r="G166" s="118">
        <f>SUM(G161:G165)</f>
        <v>0.14250000000000002</v>
      </c>
      <c r="H166" s="196">
        <f>SUM(H161:I165)</f>
        <v>8.6499999999999994E-2</v>
      </c>
      <c r="I166" s="196"/>
    </row>
    <row r="167" spans="1:10" ht="18" customHeight="1" x14ac:dyDescent="0.25">
      <c r="A167" s="29" t="s">
        <v>174</v>
      </c>
      <c r="B167" s="190" t="s">
        <v>175</v>
      </c>
      <c r="C167" s="190"/>
      <c r="D167" s="190"/>
      <c r="E167" s="190"/>
      <c r="F167" s="190"/>
      <c r="G167" s="190"/>
      <c r="H167" s="190"/>
      <c r="I167" s="190"/>
    </row>
    <row r="168" spans="1:10" ht="4.5" customHeight="1" x14ac:dyDescent="0.25">
      <c r="A168" s="65"/>
      <c r="B168" s="197"/>
      <c r="C168" s="197"/>
      <c r="D168" s="197"/>
      <c r="E168" s="197"/>
      <c r="F168" s="197"/>
      <c r="G168" s="197"/>
      <c r="H168" s="197"/>
      <c r="I168" s="197"/>
    </row>
    <row r="169" spans="1:10" ht="12" customHeight="1" x14ac:dyDescent="0.25">
      <c r="A169" s="179" t="s">
        <v>176</v>
      </c>
      <c r="B169" s="179"/>
      <c r="C169" s="179"/>
      <c r="D169" s="179"/>
      <c r="E169" s="179"/>
      <c r="F169" s="179"/>
      <c r="G169" s="179"/>
      <c r="H169" s="47">
        <f>H156</f>
        <v>0.10087463556851313</v>
      </c>
      <c r="I169" s="48">
        <f>I156</f>
        <v>1034.2378558425289</v>
      </c>
    </row>
    <row r="170" spans="1:10" ht="4.5" customHeight="1" x14ac:dyDescent="0.25"/>
    <row r="171" spans="1:10" ht="11.25" customHeight="1" x14ac:dyDescent="0.25">
      <c r="A171" s="194" t="s">
        <v>177</v>
      </c>
      <c r="B171" s="194"/>
      <c r="C171" s="194"/>
      <c r="D171" s="194"/>
      <c r="E171" s="194"/>
      <c r="F171" s="194"/>
      <c r="G171" s="194"/>
      <c r="H171" s="194"/>
      <c r="I171" s="194"/>
    </row>
    <row r="172" spans="1:10" ht="11.25" customHeight="1" x14ac:dyDescent="0.25">
      <c r="A172" s="140" t="s">
        <v>42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25">
      <c r="A173" s="17">
        <v>1</v>
      </c>
      <c r="B173" s="124" t="s">
        <v>178</v>
      </c>
      <c r="C173" s="124"/>
      <c r="D173" s="124"/>
      <c r="E173" s="124"/>
      <c r="F173" s="124"/>
      <c r="G173" s="124"/>
      <c r="H173" s="23">
        <f>I173/$G$196</f>
        <v>0.50391369862031143</v>
      </c>
      <c r="I173" s="66">
        <f>I55</f>
        <v>5687.6449975961532</v>
      </c>
    </row>
    <row r="174" spans="1:10" ht="15" customHeight="1" x14ac:dyDescent="0.25">
      <c r="A174" s="17">
        <v>2</v>
      </c>
      <c r="B174" s="124" t="s">
        <v>179</v>
      </c>
      <c r="C174" s="124"/>
      <c r="D174" s="124"/>
      <c r="E174" s="124"/>
      <c r="F174" s="124"/>
      <c r="G174" s="124"/>
      <c r="H174" s="23">
        <f>I174/$G$196</f>
        <v>0.39704470133824177</v>
      </c>
      <c r="I174" s="66">
        <f>I66+I78+I85+I89</f>
        <v>4481.4207582994359</v>
      </c>
    </row>
    <row r="175" spans="1:10" ht="15" customHeight="1" x14ac:dyDescent="0.25">
      <c r="A175" s="17">
        <v>3</v>
      </c>
      <c r="B175" s="124" t="s">
        <v>180</v>
      </c>
      <c r="C175" s="124"/>
      <c r="D175" s="124"/>
      <c r="E175" s="124"/>
      <c r="F175" s="124"/>
      <c r="G175" s="124"/>
      <c r="H175" s="23">
        <f>I175/$G$196</f>
        <v>7.4102441092433356E-3</v>
      </c>
      <c r="I175" s="66">
        <f>I102</f>
        <v>83.638999999999982</v>
      </c>
    </row>
    <row r="176" spans="1:10" s="28" customFormat="1" ht="15" customHeight="1" x14ac:dyDescent="0.25">
      <c r="A176" s="179" t="s">
        <v>181</v>
      </c>
      <c r="B176" s="179"/>
      <c r="C176" s="179"/>
      <c r="D176" s="179"/>
      <c r="E176" s="179"/>
      <c r="F176" s="179"/>
      <c r="G176" s="179"/>
      <c r="H176" s="47">
        <f>H173+H174+H175</f>
        <v>0.90836864406779649</v>
      </c>
      <c r="I176" s="48">
        <f>SUM(I173:I175)</f>
        <v>10252.704755895589</v>
      </c>
      <c r="J176" s="35"/>
    </row>
    <row r="177" spans="1:11" ht="4.5" customHeight="1" x14ac:dyDescent="0.25"/>
    <row r="178" spans="1:11" ht="11.25" customHeight="1" x14ac:dyDescent="0.25">
      <c r="A178" s="140" t="s">
        <v>119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25">
      <c r="A179" s="17">
        <v>1</v>
      </c>
      <c r="B179" s="124" t="s">
        <v>182</v>
      </c>
      <c r="C179" s="124"/>
      <c r="D179" s="124"/>
      <c r="E179" s="124"/>
      <c r="F179" s="124"/>
      <c r="G179" s="124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4" t="s">
        <v>183</v>
      </c>
      <c r="C180" s="124"/>
      <c r="D180" s="124"/>
      <c r="E180" s="124"/>
      <c r="F180" s="124"/>
      <c r="G180" s="124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4" t="s">
        <v>184</v>
      </c>
      <c r="C181" s="124"/>
      <c r="D181" s="124"/>
      <c r="E181" s="124"/>
      <c r="F181" s="124"/>
      <c r="G181" s="124"/>
      <c r="H181" s="23">
        <f>I181/$G$196</f>
        <v>0</v>
      </c>
      <c r="I181" s="24">
        <f>I141</f>
        <v>0</v>
      </c>
    </row>
    <row r="182" spans="1:11" ht="15" customHeight="1" x14ac:dyDescent="0.25">
      <c r="A182" s="179" t="s">
        <v>185</v>
      </c>
      <c r="B182" s="179"/>
      <c r="C182" s="179"/>
      <c r="D182" s="179"/>
      <c r="E182" s="179"/>
      <c r="F182" s="179"/>
      <c r="G182" s="179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0" t="s">
        <v>148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25">
      <c r="A185" s="17">
        <v>1</v>
      </c>
      <c r="B185" s="124" t="s">
        <v>186</v>
      </c>
      <c r="C185" s="124"/>
      <c r="D185" s="124"/>
      <c r="E185" s="124"/>
      <c r="F185" s="124"/>
      <c r="G185" s="124"/>
      <c r="H185" s="23">
        <f>I185/$G$196</f>
        <v>9.1631355932203395E-2</v>
      </c>
      <c r="I185" s="24">
        <f>I156</f>
        <v>1034.2378558425289</v>
      </c>
    </row>
    <row r="186" spans="1:11" ht="15" customHeight="1" x14ac:dyDescent="0.25">
      <c r="A186" s="179" t="s">
        <v>187</v>
      </c>
      <c r="B186" s="179"/>
      <c r="C186" s="179"/>
      <c r="D186" s="179"/>
      <c r="E186" s="179"/>
      <c r="F186" s="179"/>
      <c r="G186" s="179"/>
      <c r="H186" s="47">
        <f>H185</f>
        <v>9.1631355932203395E-2</v>
      </c>
      <c r="I186" s="48">
        <f>I156</f>
        <v>1034.2378558425289</v>
      </c>
      <c r="K186" s="41"/>
    </row>
    <row r="187" spans="1:11" ht="4.5" customHeight="1" x14ac:dyDescent="0.25"/>
    <row r="188" spans="1:11" ht="11.25" customHeight="1" x14ac:dyDescent="0.25">
      <c r="A188" s="133" t="s">
        <v>188</v>
      </c>
      <c r="B188" s="133"/>
      <c r="C188" s="133"/>
      <c r="D188" s="133"/>
      <c r="E188" s="133"/>
      <c r="F188" s="133"/>
      <c r="G188" s="133"/>
      <c r="H188" s="133"/>
      <c r="I188" s="133"/>
    </row>
    <row r="189" spans="1:11" ht="4.9000000000000004" customHeight="1" x14ac:dyDescent="0.25">
      <c r="A189" s="132"/>
      <c r="B189" s="132"/>
      <c r="C189" s="132"/>
      <c r="D189" s="132"/>
      <c r="E189" s="132"/>
      <c r="F189" s="132"/>
      <c r="G189" s="132"/>
      <c r="H189" s="132"/>
      <c r="I189" s="132"/>
    </row>
    <row r="190" spans="1:11" ht="22.5" customHeight="1" x14ac:dyDescent="0.25">
      <c r="A190" s="126" t="s">
        <v>189</v>
      </c>
      <c r="B190" s="127"/>
      <c r="C190" s="127"/>
      <c r="D190" s="127"/>
      <c r="E190" s="127"/>
      <c r="F190" s="127"/>
      <c r="G190" s="127"/>
      <c r="H190" s="128"/>
      <c r="I190" s="92">
        <f>I123*H196</f>
        <v>0</v>
      </c>
    </row>
    <row r="191" spans="1:11" ht="6" customHeight="1" x14ac:dyDescent="0.25">
      <c r="A191" s="199"/>
      <c r="B191" s="200"/>
      <c r="C191" s="200"/>
      <c r="D191" s="200"/>
      <c r="E191" s="200"/>
      <c r="F191" s="200"/>
      <c r="G191" s="200"/>
      <c r="H191" s="200"/>
      <c r="I191" s="202"/>
    </row>
    <row r="192" spans="1:11" ht="57.6" customHeight="1" x14ac:dyDescent="0.25">
      <c r="A192" s="134" t="s">
        <v>190</v>
      </c>
      <c r="B192" s="135"/>
      <c r="C192" s="135"/>
      <c r="D192" s="135"/>
      <c r="E192" s="135"/>
      <c r="F192" s="136"/>
      <c r="G192" s="209" t="s">
        <v>191</v>
      </c>
      <c r="H192" s="210"/>
      <c r="I192" s="211"/>
    </row>
    <row r="193" spans="1:9" ht="11.25" customHeight="1" x14ac:dyDescent="0.25">
      <c r="A193" s="137"/>
      <c r="B193" s="138"/>
      <c r="C193" s="138"/>
      <c r="D193" s="138"/>
      <c r="E193" s="138"/>
      <c r="F193" s="139"/>
      <c r="G193" s="91"/>
      <c r="H193" s="92"/>
      <c r="I193" s="93">
        <f>((H70+H76+H77+H82+H83+H84)+((H70+H76+H77+H82+H83+H84)*H66))*I55*H196</f>
        <v>2189.8697717981058</v>
      </c>
    </row>
    <row r="194" spans="1:9" ht="6.6" customHeight="1" x14ac:dyDescent="0.25">
      <c r="A194" s="199"/>
      <c r="B194" s="200"/>
      <c r="C194" s="200"/>
      <c r="D194" s="200"/>
      <c r="E194" s="200"/>
      <c r="F194" s="200"/>
      <c r="G194" s="201"/>
      <c r="H194" s="201"/>
      <c r="I194" s="202"/>
    </row>
    <row r="195" spans="1:9" ht="45" customHeight="1" x14ac:dyDescent="0.25">
      <c r="A195" s="203" t="s">
        <v>192</v>
      </c>
      <c r="B195" s="204"/>
      <c r="C195" s="204"/>
      <c r="D195" s="204"/>
      <c r="E195" s="204"/>
      <c r="F195" s="205"/>
      <c r="G195" s="85" t="s">
        <v>193</v>
      </c>
      <c r="H195" s="85" t="s">
        <v>194</v>
      </c>
      <c r="I195" s="85" t="s">
        <v>195</v>
      </c>
    </row>
    <row r="196" spans="1:9" ht="13.15" customHeight="1" x14ac:dyDescent="0.25">
      <c r="A196" s="206"/>
      <c r="B196" s="207"/>
      <c r="C196" s="207"/>
      <c r="D196" s="207"/>
      <c r="E196" s="207"/>
      <c r="F196" s="208"/>
      <c r="G196" s="83">
        <f>I176+I182+I186</f>
        <v>11286.942611738119</v>
      </c>
      <c r="H196" s="74">
        <f>IF(D6="12x36",2,1)</f>
        <v>1</v>
      </c>
      <c r="I196" s="84">
        <f>G196*H196</f>
        <v>11286.942611738119</v>
      </c>
    </row>
  </sheetData>
  <mergeCells count="192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38:G38"/>
    <mergeCell ref="B39:G39"/>
    <mergeCell ref="B40:G40"/>
    <mergeCell ref="B41:G41"/>
    <mergeCell ref="B42:G42"/>
    <mergeCell ref="B43:G43"/>
    <mergeCell ref="A30:F32"/>
    <mergeCell ref="G30:G32"/>
    <mergeCell ref="A33:F34"/>
    <mergeCell ref="G33:G34"/>
    <mergeCell ref="A36:I36"/>
    <mergeCell ref="B37:G37"/>
    <mergeCell ref="B50:G50"/>
    <mergeCell ref="B51:G51"/>
    <mergeCell ref="B52:G52"/>
    <mergeCell ref="B53:G53"/>
    <mergeCell ref="B54:G54"/>
    <mergeCell ref="A55:G55"/>
    <mergeCell ref="B44:G44"/>
    <mergeCell ref="B45:G45"/>
    <mergeCell ref="B46:G46"/>
    <mergeCell ref="B47:G47"/>
    <mergeCell ref="B48:G48"/>
    <mergeCell ref="B49:G49"/>
    <mergeCell ref="B63:G63"/>
    <mergeCell ref="B64:G64"/>
    <mergeCell ref="B65:G65"/>
    <mergeCell ref="A66:G66"/>
    <mergeCell ref="A67:I67"/>
    <mergeCell ref="A68:I68"/>
    <mergeCell ref="B57:G57"/>
    <mergeCell ref="B58:G58"/>
    <mergeCell ref="B59:G59"/>
    <mergeCell ref="B60:G60"/>
    <mergeCell ref="B61:G61"/>
    <mergeCell ref="B62:G62"/>
    <mergeCell ref="B75:G75"/>
    <mergeCell ref="B76:G76"/>
    <mergeCell ref="B77:G77"/>
    <mergeCell ref="A78:G78"/>
    <mergeCell ref="B79:I79"/>
    <mergeCell ref="B80:I80"/>
    <mergeCell ref="B69:G69"/>
    <mergeCell ref="B70:G70"/>
    <mergeCell ref="B71:G71"/>
    <mergeCell ref="B72:G72"/>
    <mergeCell ref="B73:G73"/>
    <mergeCell ref="B74:G74"/>
    <mergeCell ref="B88:G88"/>
    <mergeCell ref="A89:G89"/>
    <mergeCell ref="A91:G91"/>
    <mergeCell ref="B93:G93"/>
    <mergeCell ref="B94:G94"/>
    <mergeCell ref="B95:G95"/>
    <mergeCell ref="B81:G81"/>
    <mergeCell ref="B82:G82"/>
    <mergeCell ref="B83:G83"/>
    <mergeCell ref="B84:G84"/>
    <mergeCell ref="A85:G85"/>
    <mergeCell ref="B87:G87"/>
    <mergeCell ref="A102:G102"/>
    <mergeCell ref="B103:G103"/>
    <mergeCell ref="A104:I104"/>
    <mergeCell ref="A105:B105"/>
    <mergeCell ref="A106:B106"/>
    <mergeCell ref="A108:I108"/>
    <mergeCell ref="B96:G96"/>
    <mergeCell ref="B97:G97"/>
    <mergeCell ref="B98:G98"/>
    <mergeCell ref="B99:G99"/>
    <mergeCell ref="B100:G100"/>
    <mergeCell ref="B101:G101"/>
    <mergeCell ref="A118:I118"/>
    <mergeCell ref="B119:G119"/>
    <mergeCell ref="B120:G120"/>
    <mergeCell ref="B121:G121"/>
    <mergeCell ref="B122:G122"/>
    <mergeCell ref="B123:G123"/>
    <mergeCell ref="A109:B109"/>
    <mergeCell ref="A110:B110"/>
    <mergeCell ref="A112:I112"/>
    <mergeCell ref="A113:B113"/>
    <mergeCell ref="A114:B114"/>
    <mergeCell ref="A116:G116"/>
    <mergeCell ref="A131:B131"/>
    <mergeCell ref="A132:B132"/>
    <mergeCell ref="B133:I133"/>
    <mergeCell ref="B134:G134"/>
    <mergeCell ref="B135:G135"/>
    <mergeCell ref="B136:G136"/>
    <mergeCell ref="B124:G124"/>
    <mergeCell ref="B125:G125"/>
    <mergeCell ref="B126:G126"/>
    <mergeCell ref="A127:G127"/>
    <mergeCell ref="B128:I128"/>
    <mergeCell ref="A130:E130"/>
    <mergeCell ref="A145:B145"/>
    <mergeCell ref="A147:G147"/>
    <mergeCell ref="A149:I149"/>
    <mergeCell ref="B150:G150"/>
    <mergeCell ref="B151:G151"/>
    <mergeCell ref="B152:G152"/>
    <mergeCell ref="A137:G137"/>
    <mergeCell ref="B139:G139"/>
    <mergeCell ref="B140:G140"/>
    <mergeCell ref="A141:G141"/>
    <mergeCell ref="A143:E143"/>
    <mergeCell ref="A144:B144"/>
    <mergeCell ref="A159:I159"/>
    <mergeCell ref="A160:B160"/>
    <mergeCell ref="D160:E160"/>
    <mergeCell ref="H160:I160"/>
    <mergeCell ref="A161:B161"/>
    <mergeCell ref="D161:E161"/>
    <mergeCell ref="H161:I161"/>
    <mergeCell ref="B153:G153"/>
    <mergeCell ref="B154:G154"/>
    <mergeCell ref="B155:G155"/>
    <mergeCell ref="A156:G156"/>
    <mergeCell ref="B157:I157"/>
    <mergeCell ref="B158:I158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91:I191"/>
    <mergeCell ref="A192:F193"/>
    <mergeCell ref="G192:I192"/>
    <mergeCell ref="A194:I194"/>
    <mergeCell ref="A195:F196"/>
    <mergeCell ref="A184:I184"/>
    <mergeCell ref="B185:G185"/>
    <mergeCell ref="A186:G186"/>
    <mergeCell ref="A188:I188"/>
    <mergeCell ref="A189:I189"/>
    <mergeCell ref="A190:H190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"/>
  <sheetViews>
    <sheetView view="pageBreakPreview" zoomScaleNormal="100" workbookViewId="0">
      <selection activeCell="A6" sqref="A6:K6"/>
    </sheetView>
  </sheetViews>
  <sheetFormatPr defaultColWidth="8.42578125" defaultRowHeight="15" x14ac:dyDescent="0.25"/>
  <cols>
    <col min="1" max="1" width="31.5703125" style="68" customWidth="1"/>
    <col min="2" max="2" width="24.42578125" style="68" customWidth="1"/>
    <col min="3" max="3" width="16.5703125" style="68" customWidth="1"/>
    <col min="4" max="4" width="17.42578125" style="68" customWidth="1"/>
    <col min="5" max="5" width="7.28515625" style="68" customWidth="1"/>
    <col min="6" max="6" width="16.140625" style="68" customWidth="1"/>
    <col min="7" max="7" width="12.85546875" style="68" customWidth="1"/>
    <col min="8" max="8" width="15.42578125" style="68" customWidth="1"/>
    <col min="9" max="9" width="14.85546875" style="68" customWidth="1"/>
    <col min="10" max="10" width="15.42578125" style="68" customWidth="1"/>
    <col min="11" max="11" width="15" style="68" customWidth="1"/>
    <col min="12" max="16384" width="8.42578125" style="68"/>
  </cols>
  <sheetData>
    <row r="1" spans="1:11" ht="76.5" customHeight="1" x14ac:dyDescent="0.25">
      <c r="A1" s="79" t="s">
        <v>220</v>
      </c>
      <c r="B1" s="79" t="s">
        <v>221</v>
      </c>
      <c r="C1" s="78" t="s">
        <v>222</v>
      </c>
      <c r="D1" s="78" t="s">
        <v>223</v>
      </c>
      <c r="E1" s="80" t="s">
        <v>224</v>
      </c>
      <c r="F1" s="80" t="s">
        <v>225</v>
      </c>
      <c r="G1" s="80" t="s">
        <v>226</v>
      </c>
      <c r="H1" s="81" t="s">
        <v>227</v>
      </c>
      <c r="I1" s="82" t="s">
        <v>228</v>
      </c>
      <c r="J1" s="82" t="s">
        <v>229</v>
      </c>
      <c r="K1" s="81" t="s">
        <v>230</v>
      </c>
    </row>
    <row r="2" spans="1:11" x14ac:dyDescent="0.25">
      <c r="A2" s="69" t="s">
        <v>8</v>
      </c>
      <c r="B2" s="69" t="s">
        <v>16</v>
      </c>
      <c r="C2" s="76" t="s">
        <v>231</v>
      </c>
      <c r="D2" s="76" t="s">
        <v>232</v>
      </c>
      <c r="E2" s="77">
        <v>8</v>
      </c>
      <c r="F2" s="102">
        <f t="shared" ref="F2:F5" ca="1" si="0">OFFSET(INDIRECT(SUBSTITUTE(_xlfn.FORMULATEXT(J2),"=","")), -6, 0)</f>
        <v>0</v>
      </c>
      <c r="G2" s="101">
        <f t="shared" ref="G2:G5" ca="1" si="1">F2*E2</f>
        <v>0</v>
      </c>
      <c r="H2" s="98">
        <f t="shared" ref="H2:H5" ca="1" si="2">OFFSET(INDIRECT(SUBSTITUTE(_xlfn.FORMULATEXT(J2),"=","")), -3, 0)</f>
        <v>2409.997760688073</v>
      </c>
      <c r="I2" s="98">
        <f ca="1">H2*E2</f>
        <v>19279.982085504584</v>
      </c>
      <c r="J2" s="99">
        <f>'Técnico diurno'!I196</f>
        <v>12330.056639198639</v>
      </c>
      <c r="K2" s="99">
        <f t="shared" ref="K2:K5" si="3">E2*J2</f>
        <v>98640.453113589116</v>
      </c>
    </row>
    <row r="3" spans="1:11" x14ac:dyDescent="0.25">
      <c r="A3" s="69" t="s">
        <v>8</v>
      </c>
      <c r="B3" s="69" t="s">
        <v>16</v>
      </c>
      <c r="C3" s="76" t="s">
        <v>231</v>
      </c>
      <c r="D3" s="76" t="s">
        <v>232</v>
      </c>
      <c r="E3" s="70">
        <v>5</v>
      </c>
      <c r="F3" s="102">
        <f t="shared" ca="1" si="0"/>
        <v>0</v>
      </c>
      <c r="G3" s="101">
        <f t="shared" ca="1" si="1"/>
        <v>0</v>
      </c>
      <c r="H3" s="98">
        <f t="shared" ca="1" si="2"/>
        <v>3041.8625006478383</v>
      </c>
      <c r="I3" s="98">
        <f t="shared" ref="I3:I5" ca="1" si="4">H3*E3</f>
        <v>15209.312503239191</v>
      </c>
      <c r="J3" s="100">
        <f>'Técnico noturno'!I196</f>
        <v>15560.221984056583</v>
      </c>
      <c r="K3" s="100">
        <f t="shared" si="3"/>
        <v>77801.109920282921</v>
      </c>
    </row>
    <row r="4" spans="1:11" x14ac:dyDescent="0.25">
      <c r="A4" s="69" t="s">
        <v>217</v>
      </c>
      <c r="B4" s="69" t="s">
        <v>16</v>
      </c>
      <c r="C4" s="76" t="s">
        <v>231</v>
      </c>
      <c r="D4" s="76" t="s">
        <v>232</v>
      </c>
      <c r="E4" s="70">
        <v>1</v>
      </c>
      <c r="F4" s="102">
        <f t="shared" ca="1" si="0"/>
        <v>0</v>
      </c>
      <c r="G4" s="101">
        <f t="shared" ca="1" si="1"/>
        <v>0</v>
      </c>
      <c r="H4" s="98">
        <f t="shared" ca="1" si="2"/>
        <v>1735.0584701855098</v>
      </c>
      <c r="I4" s="98">
        <f t="shared" ca="1" si="4"/>
        <v>1735.0584701855098</v>
      </c>
      <c r="J4" s="100">
        <f>'Maquinista diurno'!I196</f>
        <v>8961.8948412100654</v>
      </c>
      <c r="K4" s="100">
        <f t="shared" si="3"/>
        <v>8961.8948412100654</v>
      </c>
    </row>
    <row r="5" spans="1:11" x14ac:dyDescent="0.25">
      <c r="A5" s="69" t="s">
        <v>217</v>
      </c>
      <c r="B5" s="69" t="s">
        <v>16</v>
      </c>
      <c r="C5" s="76" t="s">
        <v>231</v>
      </c>
      <c r="D5" s="76" t="s">
        <v>232</v>
      </c>
      <c r="E5" s="70">
        <v>1</v>
      </c>
      <c r="F5" s="102">
        <f t="shared" ca="1" si="0"/>
        <v>0</v>
      </c>
      <c r="G5" s="101">
        <f t="shared" ca="1" si="1"/>
        <v>0</v>
      </c>
      <c r="H5" s="98">
        <f t="shared" ca="1" si="2"/>
        <v>2189.8697717981058</v>
      </c>
      <c r="I5" s="98">
        <f t="shared" ca="1" si="4"/>
        <v>2189.8697717981058</v>
      </c>
      <c r="J5" s="100">
        <f>'Maquinista noturno'!I196</f>
        <v>11286.942611738119</v>
      </c>
      <c r="K5" s="100">
        <f t="shared" si="3"/>
        <v>11286.942611738119</v>
      </c>
    </row>
    <row r="6" spans="1:11" ht="6" customHeight="1" x14ac:dyDescent="0.25">
      <c r="A6" s="233"/>
      <c r="B6" s="234"/>
      <c r="C6" s="234"/>
      <c r="D6" s="234"/>
      <c r="E6" s="234"/>
      <c r="F6" s="234"/>
      <c r="G6" s="234"/>
      <c r="H6" s="234"/>
      <c r="I6" s="234"/>
      <c r="J6" s="234"/>
      <c r="K6" s="235"/>
    </row>
    <row r="7" spans="1:11" ht="63" customHeight="1" x14ac:dyDescent="0.25">
      <c r="A7" s="236" t="s">
        <v>233</v>
      </c>
      <c r="B7" s="237"/>
      <c r="C7" s="237"/>
      <c r="D7" s="238"/>
      <c r="E7" s="103">
        <f>SUM(E2:E5)</f>
        <v>15</v>
      </c>
      <c r="F7" s="106" t="s">
        <v>234</v>
      </c>
      <c r="G7" s="107">
        <f ca="1">SUM(G2:G5)</f>
        <v>0</v>
      </c>
      <c r="H7" s="106" t="s">
        <v>235</v>
      </c>
      <c r="I7" s="107">
        <f ca="1">SUM(I2:I5)</f>
        <v>38414.222830727391</v>
      </c>
      <c r="J7" s="108" t="s">
        <v>236</v>
      </c>
      <c r="K7" s="109">
        <f ca="1">I7/K9</f>
        <v>0.19530298751565886</v>
      </c>
    </row>
    <row r="8" spans="1:11" ht="6" customHeight="1" x14ac:dyDescent="0.25">
      <c r="A8" s="230"/>
      <c r="B8" s="231"/>
      <c r="C8" s="231"/>
      <c r="D8" s="231"/>
      <c r="E8" s="231"/>
      <c r="F8" s="231"/>
      <c r="G8" s="231"/>
      <c r="H8" s="231"/>
      <c r="I8" s="231"/>
      <c r="J8" s="231"/>
      <c r="K8" s="232"/>
    </row>
    <row r="9" spans="1:11" ht="26.45" customHeight="1" x14ac:dyDescent="0.25">
      <c r="A9" s="239" t="s">
        <v>237</v>
      </c>
      <c r="B9" s="240"/>
      <c r="C9" s="240"/>
      <c r="D9" s="240"/>
      <c r="E9" s="240"/>
      <c r="F9" s="240"/>
      <c r="G9" s="240"/>
      <c r="H9" s="240"/>
      <c r="I9" s="240"/>
      <c r="J9" s="241"/>
      <c r="K9" s="86">
        <f>SUM(K2:K5)</f>
        <v>196690.40048682023</v>
      </c>
    </row>
    <row r="10" spans="1:11" ht="6" customHeight="1" x14ac:dyDescent="0.25">
      <c r="A10" s="233"/>
      <c r="B10" s="234"/>
      <c r="C10" s="234"/>
      <c r="D10" s="234"/>
      <c r="E10" s="234"/>
      <c r="F10" s="234"/>
      <c r="G10" s="234"/>
      <c r="H10" s="234"/>
      <c r="I10" s="234"/>
      <c r="J10" s="234"/>
      <c r="K10" s="235"/>
    </row>
  </sheetData>
  <mergeCells count="5">
    <mergeCell ref="A8:K8"/>
    <mergeCell ref="A6:K6"/>
    <mergeCell ref="A10:K10"/>
    <mergeCell ref="A7:D7"/>
    <mergeCell ref="A9:J9"/>
  </mergeCells>
  <pageMargins left="0.51180555555555596" right="0.51180555555555596" top="0.78749999999999998" bottom="0.78749999999999998" header="0.511811023622047" footer="0.511811023622047"/>
  <pageSetup paperSize="9" scale="5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Técnico diurno</vt:lpstr>
      <vt:lpstr>Técnico noturno</vt:lpstr>
      <vt:lpstr>Maquinista diurno</vt:lpstr>
      <vt:lpstr>Maquinista noturno</vt:lpstr>
      <vt:lpstr>Resumo</vt:lpstr>
      <vt:lpstr>'Maquinista diurno'!Area_de_impressao</vt:lpstr>
      <vt:lpstr>'Maquinista noturno'!Area_de_impressao</vt:lpstr>
      <vt:lpstr>'Técnico diurno'!Area_de_impressao</vt:lpstr>
      <vt:lpstr>'Técnico noturno'!Area_de_impressao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Mariana Bonelli</cp:lastModifiedBy>
  <cp:revision>2</cp:revision>
  <dcterms:created xsi:type="dcterms:W3CDTF">2019-04-12T20:03:09Z</dcterms:created>
  <dcterms:modified xsi:type="dcterms:W3CDTF">2026-03-10T18:29:13Z</dcterms:modified>
  <cp:category/>
  <cp:contentStatus/>
</cp:coreProperties>
</file>