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ftsppaefs01\DADOS\DAFI\1. DAFI\5. COMPRAS\2026\TDL 9021-2026 - EQUIPAMENTOS LUZ SEI 26-1166-9000323-9\"/>
    </mc:Choice>
  </mc:AlternateContent>
  <xr:revisionPtr revIDLastSave="0" documentId="13_ncr:1_{316206E8-0C82-4E9D-AFDB-FCFB21B7FB4B}" xr6:coauthVersionLast="47" xr6:coauthVersionMax="47" xr10:uidLastSave="{00000000-0000-0000-0000-000000000000}"/>
  <bookViews>
    <workbookView xWindow="-120" yWindow="-120" windowWidth="29040" windowHeight="15720" tabRatio="764" xr2:uid="{00000000-000D-0000-FFFF-FFFF00000000}"/>
  </bookViews>
  <sheets>
    <sheet name="ORÇAMENTO" sheetId="36" r:id="rId1"/>
    <sheet name="BDI analítico" sheetId="35" r:id="rId2"/>
    <sheet name="BDI diferenciado" sheetId="37" r:id="rId3"/>
    <sheet name="COMPOSIÇÕES UNITÁRIAS" sheetId="34" r:id="rId4"/>
  </sheets>
  <externalReferences>
    <externalReference r:id="rId5"/>
  </externalReferences>
  <definedNames>
    <definedName name="_xlnm._FilterDatabase" localSheetId="2" hidden="1">#REF!</definedName>
    <definedName name="_xlnm._FilterDatabase" localSheetId="3" hidden="1">'COMPOSIÇÕES UNITÁRIAS'!$A$5:$L$17</definedName>
    <definedName name="_xlnm._FilterDatabase" localSheetId="0" hidden="1">ORÇAMENTO!$A$6:$N$38</definedName>
    <definedName name="_xlnm._FilterDatabase" hidden="1">#REF!</definedName>
    <definedName name="_xlnm.Print_Area" localSheetId="1">'BDI analítico'!$A$1:$H$54</definedName>
    <definedName name="_xlnm.Print_Area" localSheetId="2">'BDI diferenciado'!$A$1:$H$52</definedName>
    <definedName name="_xlnm.Print_Area" localSheetId="3">'COMPOSIÇÕES UNITÁRIAS'!$A$4:$L$17</definedName>
    <definedName name="_xlnm.Print_Area" localSheetId="0">ORÇAMENTO!$A$1:$N$39</definedName>
    <definedName name="BDI" localSheetId="1">'BDI analítico'!$F$25</definedName>
    <definedName name="BDI" localSheetId="2">'BDI diferenciado'!$F$25</definedName>
    <definedName name="BDI">#REF!</definedName>
    <definedName name="bdidif" localSheetId="2">#REF!</definedName>
    <definedName name="bdidif">#REF!</definedName>
    <definedName name="BDIDIFERENCIADO">#REF!</definedName>
    <definedName name="esh" localSheetId="2">#REF!</definedName>
    <definedName name="esh" localSheetId="0">ORÇAMENTO!$M$1</definedName>
    <definedName name="esh">#REF!</definedName>
    <definedName name="SINAPI88262">'[1]MO SINAPI'!$E$23</definedName>
    <definedName name="SINAPI88316">'[1]MO SINAPI'!$E$69</definedName>
    <definedName name="_xlnm.Print_Titles" localSheetId="3">'COMPOSIÇÕES UNITÁRIAS'!$5:$5</definedName>
    <definedName name="_xlnm.Print_Titles" localSheetId="0">ORÇAMENTO!$1:$6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9" i="36" l="1"/>
  <c r="H34" i="36"/>
  <c r="J34" i="36" s="1"/>
  <c r="H32" i="36"/>
  <c r="J32" i="36" s="1"/>
  <c r="I10" i="36"/>
  <c r="H36" i="36"/>
  <c r="K36" i="36" s="1"/>
  <c r="H35" i="36"/>
  <c r="J35" i="36" s="1"/>
  <c r="H33" i="36"/>
  <c r="J33" i="36" s="1"/>
  <c r="H31" i="36"/>
  <c r="J31" i="36" s="1"/>
  <c r="H30" i="36"/>
  <c r="J30" i="36" s="1"/>
  <c r="H29" i="36"/>
  <c r="K29" i="36" s="1"/>
  <c r="H28" i="36"/>
  <c r="J28" i="36" s="1"/>
  <c r="H27" i="36"/>
  <c r="J27" i="36" s="1"/>
  <c r="H25" i="36"/>
  <c r="K25" i="36" s="1"/>
  <c r="H26" i="36"/>
  <c r="J26" i="36" s="1"/>
  <c r="H24" i="36"/>
  <c r="K24" i="36" s="1"/>
  <c r="H23" i="36"/>
  <c r="K23" i="36" s="1"/>
  <c r="H22" i="36"/>
  <c r="K22" i="36" s="1"/>
  <c r="H21" i="36"/>
  <c r="K21" i="36" s="1"/>
  <c r="H18" i="36"/>
  <c r="J18" i="36" s="1"/>
  <c r="L24" i="36"/>
  <c r="L23" i="36"/>
  <c r="L22" i="36"/>
  <c r="L21" i="36"/>
  <c r="L20" i="36"/>
  <c r="K20" i="36"/>
  <c r="L19" i="36"/>
  <c r="H20" i="36"/>
  <c r="J20" i="36" s="1"/>
  <c r="H19" i="36"/>
  <c r="J19" i="36" s="1"/>
  <c r="H17" i="36"/>
  <c r="J17" i="36" s="1"/>
  <c r="H16" i="36"/>
  <c r="J16" i="36" s="1"/>
  <c r="H15" i="36"/>
  <c r="J15" i="36" s="1"/>
  <c r="H14" i="36"/>
  <c r="K14" i="36" s="1"/>
  <c r="H13" i="36"/>
  <c r="K13" i="36" s="1"/>
  <c r="L32" i="36"/>
  <c r="L31" i="36"/>
  <c r="L30" i="36"/>
  <c r="L29" i="36"/>
  <c r="L28" i="36"/>
  <c r="L27" i="36"/>
  <c r="L26" i="36"/>
  <c r="L25" i="36"/>
  <c r="L36" i="36"/>
  <c r="J36" i="36"/>
  <c r="L35" i="36"/>
  <c r="L34" i="36"/>
  <c r="L33" i="36"/>
  <c r="I9" i="36"/>
  <c r="L18" i="36"/>
  <c r="L17" i="36"/>
  <c r="L16" i="36"/>
  <c r="L15" i="36"/>
  <c r="L14" i="36"/>
  <c r="I38" i="36"/>
  <c r="H11" i="36"/>
  <c r="I11" i="36"/>
  <c r="H8" i="36"/>
  <c r="G20" i="37"/>
  <c r="G19" i="37"/>
  <c r="G17" i="37"/>
  <c r="G16" i="37"/>
  <c r="G15" i="37"/>
  <c r="G13" i="37"/>
  <c r="G11" i="37"/>
  <c r="G9" i="37"/>
  <c r="G8" i="37"/>
  <c r="G7" i="37"/>
  <c r="G6" i="37"/>
  <c r="G5" i="37"/>
  <c r="M36" i="36" l="1"/>
  <c r="K33" i="36"/>
  <c r="M33" i="36" s="1"/>
  <c r="J29" i="36"/>
  <c r="K26" i="36"/>
  <c r="M26" i="36" s="1"/>
  <c r="J25" i="36"/>
  <c r="J24" i="36"/>
  <c r="J23" i="36"/>
  <c r="J22" i="36"/>
  <c r="J21" i="36"/>
  <c r="M29" i="36"/>
  <c r="M23" i="36"/>
  <c r="M20" i="36"/>
  <c r="M22" i="36"/>
  <c r="K32" i="36"/>
  <c r="K28" i="36"/>
  <c r="M28" i="36" s="1"/>
  <c r="K19" i="36"/>
  <c r="M19" i="36" s="1"/>
  <c r="M21" i="36"/>
  <c r="M24" i="36"/>
  <c r="M25" i="36"/>
  <c r="K30" i="36"/>
  <c r="M30" i="36" s="1"/>
  <c r="K27" i="36"/>
  <c r="M27" i="36" s="1"/>
  <c r="K31" i="36"/>
  <c r="M31" i="36" s="1"/>
  <c r="K34" i="36"/>
  <c r="M34" i="36" s="1"/>
  <c r="K35" i="36"/>
  <c r="M35" i="36" s="1"/>
  <c r="K18" i="36"/>
  <c r="M18" i="36" s="1"/>
  <c r="K17" i="36"/>
  <c r="M17" i="36" s="1"/>
  <c r="K16" i="36"/>
  <c r="M16" i="36" s="1"/>
  <c r="K15" i="36"/>
  <c r="M15" i="36" s="1"/>
  <c r="F22" i="37"/>
  <c r="F25" i="37" s="1"/>
  <c r="M32" i="36" l="1"/>
  <c r="K12" i="36"/>
  <c r="K19" i="34"/>
  <c r="K18" i="34" s="1"/>
  <c r="L38" i="36" s="1"/>
  <c r="L37" i="36" s="1"/>
  <c r="J18" i="34"/>
  <c r="L18" i="34" s="1"/>
  <c r="K13" i="34"/>
  <c r="K12" i="34" s="1"/>
  <c r="K10" i="34"/>
  <c r="K9" i="34" s="1"/>
  <c r="L11" i="36"/>
  <c r="K11" i="36"/>
  <c r="J11" i="36"/>
  <c r="L10" i="36"/>
  <c r="K10" i="36"/>
  <c r="J10" i="36"/>
  <c r="L9" i="36"/>
  <c r="J9" i="36"/>
  <c r="K8" i="36"/>
  <c r="J14" i="36"/>
  <c r="G15" i="35"/>
  <c r="G20" i="35"/>
  <c r="G19" i="35"/>
  <c r="G17" i="35"/>
  <c r="G16" i="35"/>
  <c r="G13" i="35"/>
  <c r="G11" i="35"/>
  <c r="G9" i="35"/>
  <c r="G8" i="35"/>
  <c r="G7" i="35"/>
  <c r="L10" i="34" l="1"/>
  <c r="L13" i="34"/>
  <c r="L19" i="34"/>
  <c r="K9" i="36"/>
  <c r="M9" i="36" s="1"/>
  <c r="M10" i="36"/>
  <c r="M11" i="36"/>
  <c r="J38" i="36"/>
  <c r="K38" i="36"/>
  <c r="K37" i="36" s="1"/>
  <c r="M37" i="36" s="1"/>
  <c r="M14" i="36"/>
  <c r="K7" i="36" l="1"/>
  <c r="M38" i="36"/>
  <c r="L13" i="36" l="1"/>
  <c r="L12" i="36" s="1"/>
  <c r="K16" i="34"/>
  <c r="K15" i="34" s="1"/>
  <c r="J16" i="34"/>
  <c r="J12" i="34"/>
  <c r="L12" i="34" s="1"/>
  <c r="K7" i="34"/>
  <c r="J9" i="34"/>
  <c r="L9" i="34" s="1"/>
  <c r="J6" i="34"/>
  <c r="J15" i="34" l="1"/>
  <c r="L15" i="34" s="1"/>
  <c r="L16" i="34"/>
  <c r="K6" i="34"/>
  <c r="L6" i="34" s="1"/>
  <c r="L7" i="34"/>
  <c r="L8" i="36" l="1"/>
  <c r="J8" i="36"/>
  <c r="J13" i="36"/>
  <c r="H39" i="36"/>
  <c r="L7" i="36" l="1"/>
  <c r="K39" i="36" s="1"/>
  <c r="M8" i="36"/>
  <c r="M7" i="36" s="1"/>
  <c r="M13" i="36"/>
  <c r="M12" i="36"/>
  <c r="G5" i="35" l="1"/>
  <c r="F22" i="35" s="1"/>
  <c r="F25" i="35" s="1"/>
  <c r="G6" i="35"/>
</calcChain>
</file>

<file path=xl/sharedStrings.xml><?xml version="1.0" encoding="utf-8"?>
<sst xmlns="http://schemas.openxmlformats.org/spreadsheetml/2006/main" count="316" uniqueCount="155">
  <si>
    <t>Discriminação</t>
  </si>
  <si>
    <t>PLANILHA ORÇAMENTÁRIA DISCRIMINADA</t>
  </si>
  <si>
    <t>Item</t>
  </si>
  <si>
    <t>Unid</t>
  </si>
  <si>
    <t>Quant</t>
  </si>
  <si>
    <t>Mão-de-Obra</t>
  </si>
  <si>
    <t>Material</t>
  </si>
  <si>
    <t>1.</t>
  </si>
  <si>
    <t>un</t>
  </si>
  <si>
    <t>m²</t>
  </si>
  <si>
    <t>PLANILHA DE COMPOSIÇÃO DO BDI</t>
  </si>
  <si>
    <t>Despesas Indiretas</t>
  </si>
  <si>
    <t xml:space="preserve">  Administração Central</t>
  </si>
  <si>
    <t xml:space="preserve">  Seguros</t>
  </si>
  <si>
    <t xml:space="preserve">  Garantias</t>
  </si>
  <si>
    <t xml:space="preserve">  Riscos</t>
  </si>
  <si>
    <t>Despesas Financeiras</t>
  </si>
  <si>
    <t>Lucro</t>
  </si>
  <si>
    <t>Tributos</t>
  </si>
  <si>
    <t xml:space="preserve">  PIS</t>
  </si>
  <si>
    <t xml:space="preserve">  COFINS</t>
  </si>
  <si>
    <t xml:space="preserve">  ISS</t>
  </si>
  <si>
    <t xml:space="preserve">  CONTRIBUIÇÃO PREVIDENCIÁRIA</t>
  </si>
  <si>
    <t xml:space="preserve">         Cálculo do BDI =</t>
  </si>
  <si>
    <t xml:space="preserve"> -1 =</t>
  </si>
  <si>
    <t>BDI =</t>
  </si>
  <si>
    <t>MÃO DE OBRA</t>
  </si>
  <si>
    <t>MAT/EQUIP.</t>
  </si>
  <si>
    <t>TOTAL GERAL C/BDI</t>
  </si>
  <si>
    <t>SERVIÇOS INICIAIS</t>
  </si>
  <si>
    <t>3.</t>
  </si>
  <si>
    <t>Fonte</t>
  </si>
  <si>
    <t>Código</t>
  </si>
  <si>
    <t>DATA BASE:</t>
  </si>
  <si>
    <t>OBRA:</t>
  </si>
  <si>
    <t>ENDEREÇO:</t>
  </si>
  <si>
    <t>COMPOSIÇÃO</t>
  </si>
  <si>
    <t>Placa de obra</t>
  </si>
  <si>
    <t>h</t>
  </si>
  <si>
    <t>CLASSE/TIPO</t>
  </si>
  <si>
    <t>DESCRIÇÃO</t>
  </si>
  <si>
    <t>UNIDADE</t>
  </si>
  <si>
    <t>COEFICIENTE</t>
  </si>
  <si>
    <t>VALOR /R$</t>
  </si>
  <si>
    <t>TOTAL MAT/R$</t>
  </si>
  <si>
    <t>TOTAL MO/R$</t>
  </si>
  <si>
    <t>TOTAL/R$</t>
  </si>
  <si>
    <t/>
  </si>
  <si>
    <t>COMPOSICAO</t>
  </si>
  <si>
    <t>H</t>
  </si>
  <si>
    <t>MERCADO</t>
  </si>
  <si>
    <t>SERVENTE COM ENCARGOS COMPLEMENTARES</t>
  </si>
  <si>
    <t>M²</t>
  </si>
  <si>
    <t>SINAPI</t>
  </si>
  <si>
    <t>Total</t>
  </si>
  <si>
    <t>FONTE</t>
  </si>
  <si>
    <t>CÓDIGO</t>
  </si>
  <si>
    <t>BDI %</t>
  </si>
  <si>
    <t>Preço Unitário (R$) com BDI</t>
  </si>
  <si>
    <t>TOTAL</t>
  </si>
  <si>
    <t>Data de Ref.</t>
  </si>
  <si>
    <t>MÊS</t>
  </si>
  <si>
    <t>Declarações:</t>
  </si>
  <si>
    <t>1. A fórmula de cálculo do BDI é a prevista no Acórdão TCU nº 2.622/2013.</t>
  </si>
  <si>
    <t>2. Os tributos  IRPJ e CSLL não devem ser incluídos como despesas indiretas, pois são tributos incidentes sobre o lucro.</t>
  </si>
  <si>
    <t>3. Para o ISS foi adotada a alíquota do município de Porto Algre (4,0%).  Como a base de cálculo é o preço do serviço excluídos os materiais fornecidos, foi considerado no cálculo do BDI uma alíquota equivalente.</t>
  </si>
  <si>
    <r>
      <t xml:space="preserve">(1 + ( </t>
    </r>
    <r>
      <rPr>
        <b/>
        <sz val="10"/>
        <rFont val="Arial"/>
        <family val="2"/>
      </rPr>
      <t>AC</t>
    </r>
    <r>
      <rPr>
        <sz val="10"/>
        <color indexed="8"/>
        <rFont val="Arial"/>
        <family val="2"/>
      </rPr>
      <t xml:space="preserve"> + </t>
    </r>
    <r>
      <rPr>
        <b/>
        <sz val="10"/>
        <rFont val="Arial"/>
        <family val="2"/>
      </rPr>
      <t>S</t>
    </r>
    <r>
      <rPr>
        <sz val="10"/>
        <color indexed="8"/>
        <rFont val="Arial"/>
        <family val="2"/>
      </rPr>
      <t xml:space="preserve"> +</t>
    </r>
    <r>
      <rPr>
        <b/>
        <sz val="10"/>
        <color indexed="8"/>
        <rFont val="Arial"/>
        <family val="2"/>
      </rPr>
      <t xml:space="preserve"> G</t>
    </r>
    <r>
      <rPr>
        <sz val="10"/>
        <color indexed="8"/>
        <rFont val="Arial"/>
        <family val="2"/>
      </rPr>
      <t xml:space="preserve"> + </t>
    </r>
    <r>
      <rPr>
        <b/>
        <sz val="10"/>
        <color indexed="8"/>
        <rFont val="Arial"/>
        <family val="2"/>
      </rPr>
      <t xml:space="preserve">R </t>
    </r>
    <r>
      <rPr>
        <sz val="10"/>
        <color indexed="8"/>
        <rFont val="Arial"/>
        <family val="2"/>
      </rPr>
      <t xml:space="preserve">) )  x  ( 1 + </t>
    </r>
    <r>
      <rPr>
        <b/>
        <sz val="10"/>
        <rFont val="Arial"/>
        <family val="2"/>
      </rPr>
      <t>DF</t>
    </r>
    <r>
      <rPr>
        <sz val="10"/>
        <color indexed="8"/>
        <rFont val="Arial"/>
        <family val="2"/>
      </rPr>
      <t xml:space="preserve"> )  x  ( 1 +</t>
    </r>
    <r>
      <rPr>
        <b/>
        <sz val="10"/>
        <rFont val="Arial"/>
        <family val="2"/>
      </rPr>
      <t xml:space="preserve"> L</t>
    </r>
    <r>
      <rPr>
        <sz val="10"/>
        <color indexed="8"/>
        <rFont val="Arial"/>
        <family val="2"/>
      </rPr>
      <t xml:space="preserve"> ) </t>
    </r>
  </si>
  <si>
    <r>
      <t xml:space="preserve">(  1 - </t>
    </r>
    <r>
      <rPr>
        <b/>
        <sz val="10"/>
        <rFont val="Arial"/>
        <family val="2"/>
      </rPr>
      <t>I</t>
    </r>
    <r>
      <rPr>
        <sz val="10"/>
        <color indexed="8"/>
        <rFont val="Arial"/>
        <family val="2"/>
      </rPr>
      <t xml:space="preserve">  )</t>
    </r>
  </si>
  <si>
    <r>
      <t>AC</t>
    </r>
    <r>
      <rPr>
        <sz val="11"/>
        <color indexed="8"/>
        <rFont val="Arial"/>
        <family val="2"/>
      </rPr>
      <t xml:space="preserve"> - taxa de rateio da administração central </t>
    </r>
  </si>
  <si>
    <r>
      <t>S</t>
    </r>
    <r>
      <rPr>
        <sz val="11"/>
        <color indexed="8"/>
        <rFont val="Arial"/>
        <family val="2"/>
      </rPr>
      <t xml:space="preserve">   -  taxa representativa de Seguros </t>
    </r>
  </si>
  <si>
    <r>
      <t>G</t>
    </r>
    <r>
      <rPr>
        <sz val="11"/>
        <color indexed="8"/>
        <rFont val="Arial"/>
        <family val="2"/>
      </rPr>
      <t xml:space="preserve">  -  taxa que representa o ônus das garantias exigidas </t>
    </r>
  </si>
  <si>
    <r>
      <t>R</t>
    </r>
    <r>
      <rPr>
        <sz val="11"/>
        <color indexed="8"/>
        <rFont val="Arial"/>
        <family val="2"/>
      </rPr>
      <t xml:space="preserve">   - taxa de riscos e imprevistos </t>
    </r>
  </si>
  <si>
    <r>
      <t>DF</t>
    </r>
    <r>
      <rPr>
        <sz val="11"/>
        <color indexed="8"/>
        <rFont val="Arial"/>
        <family val="2"/>
      </rPr>
      <t xml:space="preserve"> - taxa representativa das despesas financeiras </t>
    </r>
  </si>
  <si>
    <r>
      <t>L</t>
    </r>
    <r>
      <rPr>
        <sz val="11"/>
        <color indexed="8"/>
        <rFont val="Arial"/>
        <family val="2"/>
      </rPr>
      <t xml:space="preserve">  -  taxa de lucro bruto</t>
    </r>
  </si>
  <si>
    <r>
      <t>I</t>
    </r>
    <r>
      <rPr>
        <sz val="11"/>
        <color indexed="8"/>
        <rFont val="Arial"/>
        <family val="2"/>
      </rPr>
      <t xml:space="preserve">  -   taxa representativa dos tributos (PIS, COFINS, ISS e CONTRIB. PREVIDENCIÁRIA)</t>
    </r>
  </si>
  <si>
    <r>
      <t xml:space="preserve">BDI - </t>
    </r>
    <r>
      <rPr>
        <sz val="11"/>
        <rFont val="Arial"/>
        <family val="2"/>
      </rPr>
      <t xml:space="preserve">Bonificações e Despesas Indiretas </t>
    </r>
  </si>
  <si>
    <t>Limpeza final para entrega da obra</t>
  </si>
  <si>
    <t>5. Mais adequado ao Estado modalidade: ONERADO.</t>
  </si>
  <si>
    <t>4. Os Encargos Sociais utilizados no valor da mão-de-obra do orçamento são 137,11%, de acordo com encargos s.ociais editados e praticados pelo RS conforme governo do Estado do Rio Grande do Sul.</t>
  </si>
  <si>
    <t>15,26</t>
  </si>
  <si>
    <t>4,78</t>
  </si>
  <si>
    <t>unit MAT/R$</t>
  </si>
  <si>
    <t>unit MO/R$</t>
  </si>
  <si>
    <t>1.3</t>
  </si>
  <si>
    <t>1.2</t>
  </si>
  <si>
    <t>FORNECIMENTO E INSTALAÇÃO DE PLACA DE OBRA COM CHAPA GALVANIZADA E ESTRUTURA DE MADEIRA. AF_03/2022_PS</t>
  </si>
  <si>
    <t>2.1</t>
  </si>
  <si>
    <t>2.2</t>
  </si>
  <si>
    <t>2.3</t>
  </si>
  <si>
    <t>2.4</t>
  </si>
  <si>
    <r>
      <t>Preço Total  (R$)</t>
    </r>
    <r>
      <rPr>
        <b/>
        <sz val="10"/>
        <color rgb="FFFF0000"/>
        <rFont val="Arial Narrow"/>
        <family val="2"/>
      </rPr>
      <t xml:space="preserve"> com</t>
    </r>
    <r>
      <rPr>
        <b/>
        <sz val="10"/>
        <rFont val="Arial Narrow"/>
        <family val="2"/>
      </rPr>
      <t xml:space="preserve"> BDI</t>
    </r>
  </si>
  <si>
    <t>3.1</t>
  </si>
  <si>
    <t>LIMPEZA FINAL</t>
  </si>
  <si>
    <t>PRAÇA MARECHAL DEODORO, S/ Nº</t>
  </si>
  <si>
    <t>Montagem e desmontagem de andaime tubular tipo "torre"</t>
  </si>
  <si>
    <t>2.</t>
  </si>
  <si>
    <t>MONTAGEM E DESMONTAGEM DE ANDAIME TUBULAR TIPO "TORRE" (EXCLUSIVE ANDAIME E LIMPEZA). AF_03/2024</t>
  </si>
  <si>
    <t>1.1</t>
  </si>
  <si>
    <t>1.4</t>
  </si>
  <si>
    <t>PLANILHA DE COMPOSIÇÃO DO BDI DIFERENCIADO</t>
  </si>
  <si>
    <t>2.5</t>
  </si>
  <si>
    <t>2.6</t>
  </si>
  <si>
    <t>2.7</t>
  </si>
  <si>
    <t>2.8</t>
  </si>
  <si>
    <t>PROJETO DE CORTINAMENTO - TEATRO SÃO PEDRO</t>
  </si>
  <si>
    <t>2.9</t>
  </si>
  <si>
    <t>2.10</t>
  </si>
  <si>
    <t>Cotação</t>
  </si>
  <si>
    <t xml:space="preserve">SINAPI MAIO/2026, COTAÇÕES JUNHO/2026. </t>
  </si>
  <si>
    <t>PROJETO DE ILUMINAÇÃO CÊNICA - TEATRO SÃO PEDRO</t>
  </si>
  <si>
    <t>Engenheiro Eletricista</t>
  </si>
  <si>
    <t>ENGENHEIRO CIVIL DE OBRA SENIOR (HORISTA)</t>
  </si>
  <si>
    <t>AJUDANTE DE ELETRICISTA (HORISTA)</t>
  </si>
  <si>
    <t>Ajudante de Eletricista</t>
  </si>
  <si>
    <t>000247</t>
  </si>
  <si>
    <t>ILUMINAÇÃO CÊNCIA</t>
  </si>
  <si>
    <t>Splitter DMX 4 Entradas 16 Saídas</t>
  </si>
  <si>
    <t>Rack Dimmer Digital DMX - 12/RDM Canais 48KW</t>
  </si>
  <si>
    <t>Pro Power 12 canais 4KW por canal</t>
  </si>
  <si>
    <t>Sistema Main Power com case | 24 Canais - 100A</t>
  </si>
  <si>
    <t>Refletor Parled Outdoor 18x18w Rgbwa+uv 6n1 Prova D'água/ ST-OP1806. 45°</t>
  </si>
  <si>
    <t>Ribalta Led Rgbw 24 Leds 12w Quadriled Pixel 4n1 Dmx Efeitos/ SOG-01A</t>
  </si>
  <si>
    <t>Moving Wash Beam Aura Led Zoom 19x15w – BRIWAX</t>
  </si>
  <si>
    <t>m</t>
  </si>
  <si>
    <t xml:space="preserve">Multicabo flex 12 X 2,5 mm² </t>
  </si>
  <si>
    <t>Cabo DMX para Iluminação 120 Ohms Preto</t>
  </si>
  <si>
    <t>Multicabo flex 06 X 2,5 mm²</t>
  </si>
  <si>
    <t>Plug macho , 10A, 3 pinos , preto.</t>
  </si>
  <si>
    <t>Plug macho , 20A, 3 pinos , preto.</t>
  </si>
  <si>
    <t>Tomadas 3 pinos, 20A, redonda, interna.</t>
  </si>
  <si>
    <t>Refletor Elipsoidal 10° com lampada HPL 750W, porta gobo, iris, garra e cabo de segurança e plug 2P+T 20A</t>
  </si>
  <si>
    <t>Refletor Elipsoidal 19° com lampada HPL 750W, porta gobo, iris, garra e cabo de segurança e plug 2P+T 20A</t>
  </si>
  <si>
    <t>Refletor Elipsoidal 26° com lampada HPL 750W, porta gobo, iris, garra e cabo de segurança e plug 2P+T 20A</t>
  </si>
  <si>
    <t>Refletor Elipsoidal 36° com lampada HPL 750W, porta gobo, iris, garra e cabo de segurança e plug 2P+T 20A</t>
  </si>
  <si>
    <t>Refletor Elipsoidal 50° com lampada HPL 750W, porta gobo, iris, garra e cabo de segurança e plug 2P+T 20A</t>
  </si>
  <si>
    <t>Refletor Elipsoidal 70° com lampada HPL 750W, porta gobo, iris, garra e cabo de segurança e plug 2P+T 20A</t>
  </si>
  <si>
    <t>Refletor Plano Convexo LL CB200WA-Z PRO COBE 200W ZOOM</t>
  </si>
  <si>
    <t>Refletor Fresnel LED 300W LED LIGHT LL 300FRS-Z</t>
  </si>
  <si>
    <t>Moving Head Frame LED 800 FLY</t>
  </si>
  <si>
    <t>Máquina de Fumaça 3000W com timer DMX</t>
  </si>
  <si>
    <t>Máquina de Fumaça haze à base d'água 3000W com timer DMX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</si>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</sst>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"/>
    <numFmt numFmtId="167" formatCode="0.00000"/>
    <numFmt numFmtId="168" formatCode="_-* #,##0.00000_-;\-* #,##0.00000_-;_-* &quot;-&quot;??_-;_-@_-"/>
    <numFmt numFmtId="169" formatCode="#,##0.0000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name val="MS Sans Serif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i/>
      <sz val="12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0"/>
      <color rgb="FFFF000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8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8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24">
    <xf numFmtId="0" fontId="0" fillId="0" borderId="0"/>
    <xf numFmtId="0" fontId="6" fillId="0" borderId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" fillId="0" borderId="0"/>
    <xf numFmtId="0" fontId="3" fillId="0" borderId="0"/>
    <xf numFmtId="0" fontId="14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1" fillId="0" borderId="0"/>
    <xf numFmtId="0" fontId="2" fillId="0" borderId="0"/>
    <xf numFmtId="43" fontId="11" fillId="0" borderId="0" applyFont="0" applyFill="0" applyBorder="0" applyAlignment="0" applyProtection="0"/>
    <xf numFmtId="0" fontId="4" fillId="0" borderId="0"/>
    <xf numFmtId="0" fontId="1" fillId="0" borderId="0"/>
    <xf numFmtId="44" fontId="4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</cellStyleXfs>
  <cellXfs count="164">
    <xf numFmtId="0" fontId="0" fillId="0" borderId="0" xfId="0"/>
    <xf numFmtId="0" fontId="0" fillId="0" borderId="0" xfId="0" applyAlignment="1">
      <alignment vertical="center"/>
    </xf>
    <xf numFmtId="0" fontId="12" fillId="0" borderId="0" xfId="0" applyFont="1"/>
    <xf numFmtId="0" fontId="7" fillId="0" borderId="0" xfId="0" applyFont="1"/>
    <xf numFmtId="0" fontId="7" fillId="2" borderId="5" xfId="0" applyFont="1" applyFill="1" applyBorder="1"/>
    <xf numFmtId="10" fontId="5" fillId="0" borderId="0" xfId="3" applyNumberFormat="1" applyFont="1" applyFill="1" applyBorder="1"/>
    <xf numFmtId="0" fontId="15" fillId="0" borderId="0" xfId="11" applyFont="1"/>
    <xf numFmtId="0" fontId="4" fillId="0" borderId="0" xfId="0" applyFont="1"/>
    <xf numFmtId="10" fontId="7" fillId="2" borderId="21" xfId="2" applyNumberFormat="1" applyFont="1" applyFill="1" applyBorder="1"/>
    <xf numFmtId="0" fontId="18" fillId="0" borderId="0" xfId="0" applyFont="1"/>
    <xf numFmtId="0" fontId="4" fillId="0" borderId="16" xfId="0" applyFont="1" applyBorder="1"/>
    <xf numFmtId="0" fontId="4" fillId="0" borderId="12" xfId="0" applyFont="1" applyBorder="1"/>
    <xf numFmtId="0" fontId="4" fillId="0" borderId="1" xfId="0" applyFont="1" applyBorder="1"/>
    <xf numFmtId="0" fontId="4" fillId="0" borderId="17" xfId="0" applyFont="1" applyBorder="1"/>
    <xf numFmtId="0" fontId="4" fillId="0" borderId="10" xfId="0" applyFont="1" applyBorder="1"/>
    <xf numFmtId="0" fontId="8" fillId="0" borderId="0" xfId="0" applyFont="1"/>
    <xf numFmtId="10" fontId="8" fillId="0" borderId="0" xfId="0" applyNumberFormat="1" applyFont="1"/>
    <xf numFmtId="167" fontId="4" fillId="0" borderId="0" xfId="3" applyNumberFormat="1" applyFont="1" applyBorder="1"/>
    <xf numFmtId="0" fontId="7" fillId="0" borderId="16" xfId="0" applyFont="1" applyBorder="1"/>
    <xf numFmtId="0" fontId="7" fillId="0" borderId="12" xfId="0" applyFont="1" applyBorder="1"/>
    <xf numFmtId="10" fontId="7" fillId="0" borderId="1" xfId="0" applyNumberFormat="1" applyFont="1" applyBorder="1"/>
    <xf numFmtId="0" fontId="8" fillId="0" borderId="17" xfId="0" applyFont="1" applyBorder="1"/>
    <xf numFmtId="10" fontId="18" fillId="0" borderId="10" xfId="15" applyNumberFormat="1" applyFont="1" applyBorder="1" applyProtection="1">
      <protection locked="0"/>
    </xf>
    <xf numFmtId="0" fontId="8" fillId="0" borderId="18" xfId="0" applyFont="1" applyBorder="1"/>
    <xf numFmtId="0" fontId="8" fillId="0" borderId="13" xfId="0" applyFont="1" applyBorder="1"/>
    <xf numFmtId="10" fontId="18" fillId="0" borderId="2" xfId="15" applyNumberFormat="1" applyFont="1" applyBorder="1" applyProtection="1">
      <protection locked="0"/>
    </xf>
    <xf numFmtId="0" fontId="7" fillId="0" borderId="5" xfId="0" applyFont="1" applyBorder="1"/>
    <xf numFmtId="0" fontId="7" fillId="0" borderId="19" xfId="0" applyFont="1" applyBorder="1"/>
    <xf numFmtId="10" fontId="7" fillId="0" borderId="21" xfId="15" applyNumberFormat="1" applyFont="1" applyBorder="1" applyProtection="1">
      <protection locked="0"/>
    </xf>
    <xf numFmtId="10" fontId="18" fillId="0" borderId="10" xfId="3" applyNumberFormat="1" applyFont="1" applyFill="1" applyBorder="1" applyProtection="1">
      <protection locked="0"/>
    </xf>
    <xf numFmtId="10" fontId="18" fillId="0" borderId="2" xfId="3" applyNumberFormat="1" applyFont="1" applyFill="1" applyBorder="1" applyProtection="1">
      <protection locked="0"/>
    </xf>
    <xf numFmtId="167" fontId="4" fillId="0" borderId="0" xfId="0" applyNumberFormat="1" applyFont="1"/>
    <xf numFmtId="0" fontId="4" fillId="0" borderId="20" xfId="0" applyFont="1" applyBorder="1" applyAlignment="1">
      <alignment horizontal="center"/>
    </xf>
    <xf numFmtId="2" fontId="4" fillId="0" borderId="0" xfId="0" applyNumberFormat="1" applyFont="1"/>
    <xf numFmtId="0" fontId="4" fillId="0" borderId="13" xfId="0" applyFont="1" applyBorder="1" applyAlignment="1">
      <alignment horizontal="center" vertical="top"/>
    </xf>
    <xf numFmtId="0" fontId="9" fillId="0" borderId="0" xfId="0" applyFont="1"/>
    <xf numFmtId="0" fontId="4" fillId="0" borderId="18" xfId="0" applyFont="1" applyBorder="1"/>
    <xf numFmtId="0" fontId="4" fillId="0" borderId="13" xfId="0" applyFont="1" applyBorder="1"/>
    <xf numFmtId="0" fontId="4" fillId="0" borderId="2" xfId="0" applyFont="1" applyBorder="1"/>
    <xf numFmtId="0" fontId="18" fillId="3" borderId="0" xfId="11" applyFont="1" applyFill="1"/>
    <xf numFmtId="0" fontId="0" fillId="9" borderId="0" xfId="0" applyFill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4" fontId="21" fillId="0" borderId="0" xfId="0" applyNumberFormat="1" applyFont="1" applyAlignment="1">
      <alignment horizontal="center" vertical="center"/>
    </xf>
    <xf numFmtId="169" fontId="21" fillId="0" borderId="13" xfId="5" applyNumberFormat="1" applyFont="1" applyFill="1" applyBorder="1" applyAlignment="1">
      <alignment vertical="center"/>
    </xf>
    <xf numFmtId="4" fontId="30" fillId="0" borderId="14" xfId="5" applyNumberFormat="1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7" fillId="0" borderId="3" xfId="0" applyFont="1" applyBorder="1" applyAlignment="1">
      <alignment horizontal="center" vertical="center"/>
    </xf>
    <xf numFmtId="17" fontId="27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vertical="center" wrapText="1"/>
    </xf>
    <xf numFmtId="165" fontId="21" fillId="0" borderId="3" xfId="5" applyFont="1" applyFill="1" applyBorder="1" applyAlignment="1">
      <alignment horizontal="center" vertical="center" wrapText="1"/>
    </xf>
    <xf numFmtId="165" fontId="21" fillId="0" borderId="3" xfId="5" applyFont="1" applyFill="1" applyBorder="1" applyAlignment="1">
      <alignment horizontal="center" vertical="center"/>
    </xf>
    <xf numFmtId="166" fontId="21" fillId="0" borderId="3" xfId="5" applyNumberFormat="1" applyFont="1" applyFill="1" applyBorder="1" applyAlignment="1">
      <alignment vertical="center"/>
    </xf>
    <xf numFmtId="10" fontId="21" fillId="0" borderId="15" xfId="2" applyNumberFormat="1" applyFont="1" applyFill="1" applyBorder="1" applyAlignment="1">
      <alignment vertical="center"/>
    </xf>
    <xf numFmtId="165" fontId="21" fillId="0" borderId="3" xfId="4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top" wrapText="1"/>
    </xf>
    <xf numFmtId="0" fontId="21" fillId="0" borderId="3" xfId="0" applyFont="1" applyBorder="1" applyAlignment="1">
      <alignment vertical="top" wrapText="1"/>
    </xf>
    <xf numFmtId="0" fontId="21" fillId="0" borderId="3" xfId="0" applyFont="1" applyBorder="1" applyAlignment="1">
      <alignment horizontal="center" vertical="top"/>
    </xf>
    <xf numFmtId="0" fontId="31" fillId="7" borderId="5" xfId="0" applyFont="1" applyFill="1" applyBorder="1" applyAlignment="1">
      <alignment vertical="top"/>
    </xf>
    <xf numFmtId="0" fontId="31" fillId="7" borderId="19" xfId="0" applyFont="1" applyFill="1" applyBorder="1" applyAlignment="1">
      <alignment horizontal="center" vertical="center"/>
    </xf>
    <xf numFmtId="0" fontId="31" fillId="7" borderId="19" xfId="0" quotePrefix="1" applyFont="1" applyFill="1" applyBorder="1" applyAlignment="1">
      <alignment horizontal="center" vertical="center"/>
    </xf>
    <xf numFmtId="0" fontId="32" fillId="7" borderId="6" xfId="0" applyFont="1" applyFill="1" applyBorder="1" applyAlignment="1">
      <alignment vertical="center"/>
    </xf>
    <xf numFmtId="164" fontId="24" fillId="7" borderId="9" xfId="0" applyNumberFormat="1" applyFont="1" applyFill="1" applyBorder="1" applyAlignment="1">
      <alignment vertical="center" wrapText="1"/>
    </xf>
    <xf numFmtId="164" fontId="24" fillId="7" borderId="9" xfId="0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vertical="center" wrapText="1"/>
    </xf>
    <xf numFmtId="4" fontId="21" fillId="0" borderId="12" xfId="0" applyNumberFormat="1" applyFont="1" applyBorder="1" applyAlignment="1">
      <alignment horizontal="center" vertical="center"/>
    </xf>
    <xf numFmtId="4" fontId="21" fillId="0" borderId="12" xfId="0" applyNumberFormat="1" applyFont="1" applyBorder="1" applyAlignment="1">
      <alignment vertical="center"/>
    </xf>
    <xf numFmtId="4" fontId="21" fillId="0" borderId="0" xfId="0" applyNumberFormat="1" applyFont="1" applyAlignment="1">
      <alignment vertical="center"/>
    </xf>
    <xf numFmtId="166" fontId="21" fillId="0" borderId="0" xfId="0" applyNumberFormat="1" applyFont="1" applyAlignment="1">
      <alignment vertical="center"/>
    </xf>
    <xf numFmtId="0" fontId="22" fillId="10" borderId="3" xfId="0" applyFont="1" applyFill="1" applyBorder="1" applyAlignment="1">
      <alignment horizontal="center" vertical="center"/>
    </xf>
    <xf numFmtId="0" fontId="26" fillId="8" borderId="4" xfId="0" applyFont="1" applyFill="1" applyBorder="1" applyAlignment="1">
      <alignment horizontal="left" vertical="center"/>
    </xf>
    <xf numFmtId="0" fontId="22" fillId="8" borderId="3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vertical="center" wrapText="1"/>
    </xf>
    <xf numFmtId="165" fontId="28" fillId="8" borderId="3" xfId="5" applyFont="1" applyFill="1" applyBorder="1" applyAlignment="1">
      <alignment vertical="center"/>
    </xf>
    <xf numFmtId="165" fontId="28" fillId="8" borderId="3" xfId="5" applyFont="1" applyFill="1" applyBorder="1" applyAlignment="1">
      <alignment horizontal="center" vertical="center"/>
    </xf>
    <xf numFmtId="4" fontId="21" fillId="8" borderId="3" xfId="5" applyNumberFormat="1" applyFont="1" applyFill="1" applyBorder="1" applyAlignment="1">
      <alignment horizontal="center" vertical="center"/>
    </xf>
    <xf numFmtId="166" fontId="21" fillId="8" borderId="3" xfId="5" applyNumberFormat="1" applyFont="1" applyFill="1" applyBorder="1" applyAlignment="1">
      <alignment vertical="center"/>
    </xf>
    <xf numFmtId="166" fontId="24" fillId="8" borderId="3" xfId="5" applyNumberFormat="1" applyFont="1" applyFill="1" applyBorder="1" applyAlignment="1">
      <alignment vertical="center"/>
    </xf>
    <xf numFmtId="166" fontId="21" fillId="8" borderId="22" xfId="5" applyNumberFormat="1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0" fontId="22" fillId="0" borderId="0" xfId="0" applyNumberFormat="1" applyFont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4" fillId="0" borderId="12" xfId="0" applyFont="1" applyBorder="1" applyAlignment="1">
      <alignment vertical="center" wrapText="1"/>
    </xf>
    <xf numFmtId="4" fontId="24" fillId="0" borderId="12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vertical="center"/>
    </xf>
    <xf numFmtId="10" fontId="22" fillId="0" borderId="12" xfId="2" applyNumberFormat="1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27" xfId="0" applyFont="1" applyBorder="1" applyAlignment="1">
      <alignment vertical="center"/>
    </xf>
    <xf numFmtId="0" fontId="22" fillId="0" borderId="10" xfId="0" applyFont="1" applyBorder="1" applyAlignment="1">
      <alignment horizontal="right" vertical="center"/>
    </xf>
    <xf numFmtId="0" fontId="22" fillId="0" borderId="18" xfId="0" applyFont="1" applyBorder="1" applyAlignment="1">
      <alignment vertical="center"/>
    </xf>
    <xf numFmtId="0" fontId="26" fillId="0" borderId="13" xfId="0" applyFont="1" applyBorder="1" applyAlignment="1">
      <alignment vertical="center" wrapText="1"/>
    </xf>
    <xf numFmtId="0" fontId="22" fillId="0" borderId="13" xfId="0" applyFont="1" applyBorder="1" applyAlignment="1">
      <alignment vertical="center"/>
    </xf>
    <xf numFmtId="0" fontId="22" fillId="0" borderId="13" xfId="0" applyFont="1" applyBorder="1" applyAlignment="1">
      <alignment horizontal="right" vertical="center"/>
    </xf>
    <xf numFmtId="0" fontId="33" fillId="3" borderId="0" xfId="11" applyFont="1" applyFill="1"/>
    <xf numFmtId="0" fontId="33" fillId="8" borderId="0" xfId="11" applyFont="1" applyFill="1"/>
    <xf numFmtId="0" fontId="34" fillId="0" borderId="3" xfId="12" applyFont="1" applyBorder="1" applyAlignment="1">
      <alignment horizontal="center" vertical="center" wrapText="1"/>
    </xf>
    <xf numFmtId="0" fontId="34" fillId="6" borderId="3" xfId="12" applyFont="1" applyFill="1" applyBorder="1" applyAlignment="1">
      <alignment horizontal="center" vertical="center" wrapText="1"/>
    </xf>
    <xf numFmtId="0" fontId="34" fillId="6" borderId="3" xfId="12" applyFont="1" applyFill="1" applyBorder="1" applyAlignment="1">
      <alignment horizontal="left" vertical="center" wrapText="1"/>
    </xf>
    <xf numFmtId="4" fontId="34" fillId="4" borderId="3" xfId="12" applyNumberFormat="1" applyFont="1" applyFill="1" applyBorder="1" applyAlignment="1">
      <alignment horizontal="center" vertical="center" wrapText="1"/>
    </xf>
    <xf numFmtId="4" fontId="35" fillId="8" borderId="3" xfId="12" applyNumberFormat="1" applyFont="1" applyFill="1" applyBorder="1" applyAlignment="1">
      <alignment horizontal="center" vertical="center" wrapText="1"/>
    </xf>
    <xf numFmtId="0" fontId="35" fillId="0" borderId="3" xfId="12" applyFont="1" applyBorder="1" applyAlignment="1">
      <alignment horizontal="center" vertical="center" wrapText="1"/>
    </xf>
    <xf numFmtId="0" fontId="35" fillId="5" borderId="3" xfId="12" applyFont="1" applyFill="1" applyBorder="1" applyAlignment="1">
      <alignment horizontal="center" vertical="center" wrapText="1"/>
    </xf>
    <xf numFmtId="0" fontId="35" fillId="0" borderId="3" xfId="12" applyFont="1" applyBorder="1" applyAlignment="1">
      <alignment horizontal="left" vertical="center" wrapText="1"/>
    </xf>
    <xf numFmtId="4" fontId="35" fillId="0" borderId="3" xfId="12" applyNumberFormat="1" applyFont="1" applyBorder="1" applyAlignment="1">
      <alignment horizontal="center" vertical="center" wrapText="1"/>
    </xf>
    <xf numFmtId="4" fontId="35" fillId="0" borderId="3" xfId="13" applyNumberFormat="1" applyFont="1" applyFill="1" applyBorder="1" applyAlignment="1">
      <alignment horizontal="center" wrapText="1"/>
    </xf>
    <xf numFmtId="0" fontId="34" fillId="4" borderId="3" xfId="12" applyFont="1" applyFill="1" applyBorder="1" applyAlignment="1">
      <alignment horizontal="center" vertical="center" wrapText="1"/>
    </xf>
    <xf numFmtId="4" fontId="27" fillId="0" borderId="3" xfId="13" applyNumberFormat="1" applyFont="1" applyFill="1" applyBorder="1" applyAlignment="1">
      <alignment horizontal="center" vertical="center" wrapText="1"/>
    </xf>
    <xf numFmtId="4" fontId="35" fillId="5" borderId="3" xfId="12" applyNumberFormat="1" applyFont="1" applyFill="1" applyBorder="1" applyAlignment="1">
      <alignment horizontal="center" vertical="center" wrapText="1"/>
    </xf>
    <xf numFmtId="4" fontId="27" fillId="0" borderId="3" xfId="12" applyNumberFormat="1" applyFont="1" applyBorder="1" applyAlignment="1">
      <alignment horizontal="center" vertical="center" wrapText="1"/>
    </xf>
    <xf numFmtId="4" fontId="36" fillId="0" borderId="3" xfId="12" applyNumberFormat="1" applyFont="1" applyBorder="1" applyAlignment="1">
      <alignment horizontal="center" vertical="center" wrapText="1"/>
    </xf>
    <xf numFmtId="4" fontId="36" fillId="0" borderId="3" xfId="13" applyNumberFormat="1" applyFont="1" applyFill="1" applyBorder="1" applyAlignment="1">
      <alignment horizontal="center" wrapText="1"/>
    </xf>
    <xf numFmtId="0" fontId="35" fillId="5" borderId="3" xfId="12" applyFont="1" applyFill="1" applyBorder="1" applyAlignment="1">
      <alignment horizontal="left" vertical="center" wrapText="1"/>
    </xf>
    <xf numFmtId="0" fontId="34" fillId="4" borderId="3" xfId="12" applyFont="1" applyFill="1" applyBorder="1" applyAlignment="1">
      <alignment horizontal="left" vertical="center" wrapText="1"/>
    </xf>
    <xf numFmtId="0" fontId="33" fillId="0" borderId="0" xfId="11" applyFont="1"/>
    <xf numFmtId="0" fontId="22" fillId="0" borderId="1" xfId="0" applyFont="1" applyBorder="1" applyAlignment="1">
      <alignment vertical="center"/>
    </xf>
    <xf numFmtId="0" fontId="22" fillId="11" borderId="3" xfId="12" applyFont="1" applyFill="1" applyBorder="1" applyAlignment="1">
      <alignment horizontal="center" vertical="center" wrapText="1"/>
    </xf>
    <xf numFmtId="2" fontId="22" fillId="11" borderId="3" xfId="12" applyNumberFormat="1" applyFont="1" applyFill="1" applyBorder="1" applyAlignment="1">
      <alignment horizontal="center" vertical="center" wrapText="1"/>
    </xf>
    <xf numFmtId="4" fontId="22" fillId="11" borderId="3" xfId="12" applyNumberFormat="1" applyFont="1" applyFill="1" applyBorder="1" applyAlignment="1">
      <alignment horizontal="center" vertical="center" wrapText="1"/>
    </xf>
    <xf numFmtId="165" fontId="28" fillId="8" borderId="3" xfId="4" applyFont="1" applyFill="1" applyBorder="1" applyAlignment="1">
      <alignment horizontal="center" vertical="center"/>
    </xf>
    <xf numFmtId="166" fontId="21" fillId="8" borderId="15" xfId="5" applyNumberFormat="1" applyFont="1" applyFill="1" applyBorder="1" applyAlignment="1">
      <alignment vertical="center"/>
    </xf>
    <xf numFmtId="165" fontId="21" fillId="8" borderId="3" xfId="5" applyFont="1" applyFill="1" applyBorder="1" applyAlignment="1">
      <alignment horizontal="center" vertical="top"/>
    </xf>
    <xf numFmtId="49" fontId="35" fillId="5" borderId="3" xfId="12" applyNumberFormat="1" applyFont="1" applyFill="1" applyBorder="1" applyAlignment="1">
      <alignment horizontal="center" vertical="center" wrapText="1"/>
    </xf>
    <xf numFmtId="49" fontId="34" fillId="4" borderId="3" xfId="12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2" xfId="0" applyFont="1" applyBorder="1" applyAlignment="1">
      <alignment horizontal="right"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164" fontId="24" fillId="7" borderId="9" xfId="0" applyNumberFormat="1" applyFont="1" applyFill="1" applyBorder="1" applyAlignment="1">
      <alignment horizontal="center" vertical="center"/>
    </xf>
    <xf numFmtId="164" fontId="24" fillId="7" borderId="25" xfId="0" applyNumberFormat="1" applyFont="1" applyFill="1" applyBorder="1" applyAlignment="1">
      <alignment horizontal="center" vertical="center"/>
    </xf>
    <xf numFmtId="164" fontId="24" fillId="7" borderId="21" xfId="0" applyNumberFormat="1" applyFont="1" applyFill="1" applyBorder="1" applyAlignment="1">
      <alignment horizontal="center" vertical="center"/>
    </xf>
    <xf numFmtId="4" fontId="24" fillId="0" borderId="7" xfId="5" applyNumberFormat="1" applyFont="1" applyFill="1" applyBorder="1" applyAlignment="1">
      <alignment horizontal="center" vertical="center"/>
    </xf>
    <xf numFmtId="165" fontId="24" fillId="0" borderId="7" xfId="5" applyFont="1" applyFill="1" applyBorder="1" applyAlignment="1">
      <alignment horizontal="center" vertical="center" wrapText="1"/>
    </xf>
    <xf numFmtId="165" fontId="24" fillId="0" borderId="26" xfId="5" applyFont="1" applyFill="1" applyBorder="1" applyAlignment="1">
      <alignment horizontal="center" vertical="center" wrapText="1"/>
    </xf>
    <xf numFmtId="165" fontId="24" fillId="0" borderId="24" xfId="5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left" wrapText="1"/>
    </xf>
    <xf numFmtId="0" fontId="7" fillId="0" borderId="16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168" fontId="5" fillId="0" borderId="1" xfId="4" applyNumberFormat="1" applyFont="1" applyFill="1" applyBorder="1" applyAlignment="1">
      <alignment horizontal="center" vertical="center"/>
    </xf>
    <xf numFmtId="168" fontId="5" fillId="0" borderId="2" xfId="4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43" fontId="21" fillId="0" borderId="0" xfId="0" applyNumberFormat="1" applyFont="1" applyAlignment="1">
      <alignment vertical="center"/>
    </xf>
    <xf numFmtId="0" fontId="21" fillId="3" borderId="4" xfId="0" applyFont="1" applyFill="1" applyBorder="1" applyAlignment="1">
      <alignment horizontal="left" vertical="center"/>
    </xf>
    <xf numFmtId="0" fontId="27" fillId="3" borderId="3" xfId="0" applyFont="1" applyFill="1" applyBorder="1" applyAlignment="1">
      <alignment horizontal="center" vertical="center"/>
    </xf>
    <xf numFmtId="17" fontId="27" fillId="3" borderId="3" xfId="0" applyNumberFormat="1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vertical="center" wrapText="1"/>
    </xf>
    <xf numFmtId="165" fontId="21" fillId="3" borderId="3" xfId="4" applyFont="1" applyFill="1" applyBorder="1" applyAlignment="1">
      <alignment horizontal="center" vertical="center"/>
    </xf>
    <xf numFmtId="165" fontId="21" fillId="3" borderId="3" xfId="5" applyFont="1" applyFill="1" applyBorder="1" applyAlignment="1">
      <alignment horizontal="center" vertical="center"/>
    </xf>
    <xf numFmtId="166" fontId="21" fillId="3" borderId="3" xfId="5" applyNumberFormat="1" applyFont="1" applyFill="1" applyBorder="1" applyAlignment="1">
      <alignment vertical="center"/>
    </xf>
    <xf numFmtId="10" fontId="21" fillId="3" borderId="15" xfId="2" applyNumberFormat="1" applyFont="1" applyFill="1" applyBorder="1" applyAlignment="1">
      <alignment vertical="center"/>
    </xf>
  </cellXfs>
  <cellStyles count="24">
    <cellStyle name="Moeda 2" xfId="21" xr:uid="{00000000-0005-0000-0000-000000000000}"/>
    <cellStyle name="Normal" xfId="0" builtinId="0"/>
    <cellStyle name="Normal 10" xfId="22" xr:uid="{00000000-0005-0000-0000-000002000000}"/>
    <cellStyle name="Normal 11 3" xfId="15" xr:uid="{00000000-0005-0000-0000-000003000000}"/>
    <cellStyle name="Normal 2" xfId="1" xr:uid="{00000000-0005-0000-0000-000004000000}"/>
    <cellStyle name="Normal 2 2" xfId="10" xr:uid="{00000000-0005-0000-0000-000005000000}"/>
    <cellStyle name="Normal 3" xfId="11" xr:uid="{00000000-0005-0000-0000-000006000000}"/>
    <cellStyle name="Normal 3 2 2" xfId="19" xr:uid="{00000000-0005-0000-0000-000007000000}"/>
    <cellStyle name="Normal 4" xfId="16" xr:uid="{00000000-0005-0000-0000-000008000000}"/>
    <cellStyle name="Normal 5" xfId="17" xr:uid="{00000000-0005-0000-0000-000009000000}"/>
    <cellStyle name="Normal 6" xfId="20" xr:uid="{00000000-0005-0000-0000-00000A000000}"/>
    <cellStyle name="Normal_Pesquisa no referencial 10 de maio de 2013" xfId="12" xr:uid="{00000000-0005-0000-0000-00000B000000}"/>
    <cellStyle name="Porcentagem" xfId="2" builtinId="5"/>
    <cellStyle name="Porcentagem 2" xfId="3" xr:uid="{00000000-0005-0000-0000-00000D000000}"/>
    <cellStyle name="Porcentagem 2 2" xfId="7" xr:uid="{00000000-0005-0000-0000-00000E000000}"/>
    <cellStyle name="Porcentagem 3" xfId="6" xr:uid="{00000000-0005-0000-0000-00000F000000}"/>
    <cellStyle name="Separador de milhares 2" xfId="4" xr:uid="{00000000-0005-0000-0000-000011000000}"/>
    <cellStyle name="Separador de milhares 2 2" xfId="8" xr:uid="{00000000-0005-0000-0000-000012000000}"/>
    <cellStyle name="Vírgula" xfId="5" builtinId="3"/>
    <cellStyle name="Vírgula 2" xfId="9" xr:uid="{00000000-0005-0000-0000-000013000000}"/>
    <cellStyle name="Vírgula 3" xfId="13" xr:uid="{00000000-0005-0000-0000-000014000000}"/>
    <cellStyle name="Vírgula 3 2" xfId="18" xr:uid="{00000000-0005-0000-0000-000015000000}"/>
    <cellStyle name="Vírgula 4" xfId="14" xr:uid="{00000000-0005-0000-0000-000016000000}"/>
    <cellStyle name="Vírgula 6" xfId="23" xr:uid="{00000000-0005-0000-0000-000017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tsppaefs01\Users\cacab\Documents\A%20Multiprojetos\Multiplaco%20Teatro%20Italiano%20+%20Extras\Or&#231;amento_MULTIPALCO%20int%20v0c%20itens%20fora%20escopo%20licita&#231;&#227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ORÇAMENTO"/>
      <sheetName val="ORÇ 26"/>
      <sheetName val="ORÇ 20"/>
      <sheetName val="ORÇ 19"/>
      <sheetName val="ORÇ 15"/>
      <sheetName val="ORÇ 12"/>
      <sheetName val="ORÇ 9"/>
      <sheetName val="ORÇ 6"/>
      <sheetName val="CRONO"/>
      <sheetName val="SERVIÇOS"/>
      <sheetName val="resumo itens conclusão"/>
      <sheetName val="BDI Analítico"/>
      <sheetName val="BDI Diferenciado"/>
      <sheetName val="CPUs "/>
      <sheetName val="MO SINAPI"/>
      <sheetName val="ES E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23">
          <cell r="E23">
            <v>21.676877880184332</v>
          </cell>
        </row>
        <row r="69">
          <cell r="E69">
            <v>18.180238643844636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A42"/>
  <sheetViews>
    <sheetView tabSelected="1" zoomScale="115" zoomScaleNormal="115" workbookViewId="0">
      <selection activeCell="H11" sqref="H11"/>
    </sheetView>
  </sheetViews>
  <sheetFormatPr defaultColWidth="9.85546875" defaultRowHeight="18.95" customHeight="1" x14ac:dyDescent="0.2"/>
  <cols>
    <col min="1" max="1" width="5.7109375" style="65" customWidth="1"/>
    <col min="2" max="2" width="12" style="41" customWidth="1"/>
    <col min="3" max="3" width="8.42578125" style="41" customWidth="1"/>
    <col min="4" max="4" width="9.140625" style="41" customWidth="1"/>
    <col min="5" max="5" width="46.140625" style="42" customWidth="1"/>
    <col min="6" max="6" width="7.5703125" style="41" customWidth="1"/>
    <col min="7" max="7" width="11.140625" style="41" customWidth="1"/>
    <col min="8" max="8" width="12.85546875" style="43" customWidth="1"/>
    <col min="9" max="9" width="14.28515625" style="43" customWidth="1"/>
    <col min="10" max="10" width="15" style="65" customWidth="1"/>
    <col min="11" max="11" width="16.5703125" style="65" customWidth="1"/>
    <col min="12" max="12" width="15.85546875" style="65" customWidth="1"/>
    <col min="13" max="13" width="17.85546875" style="65" customWidth="1"/>
    <col min="14" max="14" width="11.85546875" style="65" customWidth="1"/>
    <col min="15" max="16384" width="9.85546875" style="1"/>
  </cols>
  <sheetData>
    <row r="1" spans="1:469" ht="18.95" customHeight="1" x14ac:dyDescent="0.2">
      <c r="A1" s="87" t="s">
        <v>1</v>
      </c>
      <c r="B1" s="88"/>
      <c r="C1" s="89"/>
      <c r="D1" s="89"/>
      <c r="E1" s="90"/>
      <c r="F1" s="88"/>
      <c r="G1" s="88"/>
      <c r="H1" s="91"/>
      <c r="I1" s="91"/>
      <c r="J1" s="91"/>
      <c r="K1" s="92"/>
      <c r="L1" s="92"/>
      <c r="M1" s="93"/>
      <c r="N1" s="94"/>
    </row>
    <row r="2" spans="1:469" ht="15" customHeight="1" x14ac:dyDescent="0.2">
      <c r="A2" s="95" t="s">
        <v>34</v>
      </c>
      <c r="B2" s="131" t="s">
        <v>109</v>
      </c>
      <c r="C2" s="131"/>
      <c r="D2" s="131"/>
      <c r="E2" s="131"/>
      <c r="F2" s="131"/>
      <c r="G2" s="131"/>
      <c r="H2" s="131"/>
      <c r="I2" s="131"/>
      <c r="J2" s="131"/>
      <c r="K2" s="85"/>
      <c r="L2" s="85"/>
      <c r="M2" s="86"/>
      <c r="N2" s="96" t="s">
        <v>33</v>
      </c>
    </row>
    <row r="3" spans="1:469" ht="15" customHeight="1" thickBot="1" x14ac:dyDescent="0.25">
      <c r="A3" s="97" t="s">
        <v>35</v>
      </c>
      <c r="B3" s="132" t="s">
        <v>93</v>
      </c>
      <c r="C3" s="132"/>
      <c r="D3" s="132"/>
      <c r="E3" s="132"/>
      <c r="F3" s="98"/>
      <c r="G3" s="99"/>
      <c r="H3" s="100"/>
      <c r="I3" s="98"/>
      <c r="J3" s="133" t="s">
        <v>108</v>
      </c>
      <c r="K3" s="133"/>
      <c r="L3" s="133"/>
      <c r="M3" s="133"/>
      <c r="N3" s="134"/>
    </row>
    <row r="4" spans="1:469" ht="11.45" customHeight="1" thickBot="1" x14ac:dyDescent="0.25">
      <c r="E4" s="83"/>
      <c r="G4" s="84"/>
      <c r="L4" s="82"/>
      <c r="M4" s="44"/>
      <c r="N4" s="82"/>
    </row>
    <row r="5" spans="1:469" ht="28.35" customHeight="1" thickBot="1" x14ac:dyDescent="0.25">
      <c r="A5" s="135" t="s">
        <v>2</v>
      </c>
      <c r="B5" s="136" t="s">
        <v>31</v>
      </c>
      <c r="C5" s="136" t="s">
        <v>32</v>
      </c>
      <c r="D5" s="137" t="s">
        <v>60</v>
      </c>
      <c r="E5" s="139" t="s">
        <v>0</v>
      </c>
      <c r="F5" s="136" t="s">
        <v>3</v>
      </c>
      <c r="G5" s="136" t="s">
        <v>4</v>
      </c>
      <c r="H5" s="143" t="s">
        <v>58</v>
      </c>
      <c r="I5" s="143"/>
      <c r="J5" s="143"/>
      <c r="K5" s="144" t="s">
        <v>90</v>
      </c>
      <c r="L5" s="144"/>
      <c r="M5" s="144"/>
      <c r="N5" s="145" t="s">
        <v>57</v>
      </c>
    </row>
    <row r="6" spans="1:469" ht="24" customHeight="1" thickBot="1" x14ac:dyDescent="0.25">
      <c r="A6" s="135"/>
      <c r="B6" s="136"/>
      <c r="C6" s="136"/>
      <c r="D6" s="138"/>
      <c r="E6" s="139"/>
      <c r="F6" s="136"/>
      <c r="G6" s="136"/>
      <c r="H6" s="45" t="s">
        <v>6</v>
      </c>
      <c r="I6" s="45" t="s">
        <v>5</v>
      </c>
      <c r="J6" s="46" t="s">
        <v>54</v>
      </c>
      <c r="K6" s="45" t="s">
        <v>6</v>
      </c>
      <c r="L6" s="45" t="s">
        <v>5</v>
      </c>
      <c r="M6" s="46" t="s">
        <v>54</v>
      </c>
      <c r="N6" s="146"/>
    </row>
    <row r="7" spans="1:469" ht="15.75" x14ac:dyDescent="0.2">
      <c r="A7" s="73" t="s">
        <v>7</v>
      </c>
      <c r="B7" s="74"/>
      <c r="C7" s="74"/>
      <c r="D7" s="74"/>
      <c r="E7" s="75" t="s">
        <v>29</v>
      </c>
      <c r="F7" s="76"/>
      <c r="G7" s="77"/>
      <c r="H7" s="78"/>
      <c r="I7" s="78"/>
      <c r="J7" s="79"/>
      <c r="K7" s="80">
        <f>SUM(K8:K11)</f>
        <v>1620.6750040000002</v>
      </c>
      <c r="L7" s="80">
        <f>SUM(L8:L11)</f>
        <v>8956.4186399999999</v>
      </c>
      <c r="M7" s="80">
        <f>SUM(M8:M11)</f>
        <v>10577.093644</v>
      </c>
      <c r="N7" s="81"/>
    </row>
    <row r="8" spans="1:469" s="40" customFormat="1" ht="12.75" x14ac:dyDescent="0.2">
      <c r="A8" s="47" t="s">
        <v>97</v>
      </c>
      <c r="B8" s="48" t="s">
        <v>53</v>
      </c>
      <c r="C8" s="48">
        <v>103689</v>
      </c>
      <c r="D8" s="49">
        <v>46143</v>
      </c>
      <c r="E8" s="50" t="s">
        <v>37</v>
      </c>
      <c r="F8" s="51" t="s">
        <v>9</v>
      </c>
      <c r="G8" s="52">
        <v>2</v>
      </c>
      <c r="H8" s="53">
        <f>494.87*1.1986</f>
        <v>593.15118200000006</v>
      </c>
      <c r="I8" s="53">
        <v>0</v>
      </c>
      <c r="J8" s="53">
        <f>H8+I8</f>
        <v>593.15118200000006</v>
      </c>
      <c r="K8" s="53">
        <f>G8*H8</f>
        <v>1186.3023640000001</v>
      </c>
      <c r="L8" s="53">
        <f>G8*I8</f>
        <v>0</v>
      </c>
      <c r="M8" s="53">
        <f>K8+L8</f>
        <v>1186.3023640000001</v>
      </c>
      <c r="N8" s="54">
        <v>0.1986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</row>
    <row r="9" spans="1:469" s="40" customFormat="1" ht="12.75" x14ac:dyDescent="0.2">
      <c r="A9" s="47" t="s">
        <v>84</v>
      </c>
      <c r="B9" s="48" t="s">
        <v>53</v>
      </c>
      <c r="C9" s="48">
        <v>2708</v>
      </c>
      <c r="D9" s="49">
        <v>46143</v>
      </c>
      <c r="E9" s="50" t="s">
        <v>110</v>
      </c>
      <c r="F9" s="51" t="s">
        <v>38</v>
      </c>
      <c r="G9" s="52">
        <v>40</v>
      </c>
      <c r="H9" s="53">
        <v>0</v>
      </c>
      <c r="I9" s="53">
        <f>153.98*1.1986</f>
        <v>184.560428</v>
      </c>
      <c r="J9" s="53">
        <f>H9+I9</f>
        <v>184.560428</v>
      </c>
      <c r="K9" s="53">
        <f t="shared" ref="K9:K11" si="0">H9*G9</f>
        <v>0</v>
      </c>
      <c r="L9" s="53">
        <f t="shared" ref="L9:L11" si="1">I9*G9</f>
        <v>7382.4171200000001</v>
      </c>
      <c r="M9" s="53">
        <f t="shared" ref="M9:M11" si="2">K9+L9</f>
        <v>7382.4171200000001</v>
      </c>
      <c r="N9" s="54">
        <v>0.1986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</row>
    <row r="10" spans="1:469" s="40" customFormat="1" ht="14.45" customHeight="1" x14ac:dyDescent="0.2">
      <c r="A10" s="47" t="s">
        <v>83</v>
      </c>
      <c r="B10" s="48" t="s">
        <v>53</v>
      </c>
      <c r="C10" s="48">
        <v>247</v>
      </c>
      <c r="D10" s="49">
        <v>46143</v>
      </c>
      <c r="E10" s="50" t="s">
        <v>113</v>
      </c>
      <c r="F10" s="51" t="s">
        <v>38</v>
      </c>
      <c r="G10" s="52">
        <v>40</v>
      </c>
      <c r="H10" s="53">
        <v>0</v>
      </c>
      <c r="I10" s="53">
        <f>19.24*1.1986</f>
        <v>23.061064000000002</v>
      </c>
      <c r="J10" s="53">
        <f>H10+I10</f>
        <v>23.061064000000002</v>
      </c>
      <c r="K10" s="53">
        <f t="shared" si="0"/>
        <v>0</v>
      </c>
      <c r="L10" s="53">
        <f t="shared" si="1"/>
        <v>922.44256000000007</v>
      </c>
      <c r="M10" s="53">
        <f t="shared" si="2"/>
        <v>922.44256000000007</v>
      </c>
      <c r="N10" s="54">
        <v>0.1986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</row>
    <row r="11" spans="1:469" s="40" customFormat="1" ht="12.75" x14ac:dyDescent="0.2">
      <c r="A11" s="47" t="s">
        <v>98</v>
      </c>
      <c r="B11" s="48" t="s">
        <v>53</v>
      </c>
      <c r="C11" s="48">
        <v>97064</v>
      </c>
      <c r="D11" s="49">
        <v>46143</v>
      </c>
      <c r="E11" s="50" t="s">
        <v>94</v>
      </c>
      <c r="F11" s="51" t="s">
        <v>9</v>
      </c>
      <c r="G11" s="52">
        <v>30</v>
      </c>
      <c r="H11" s="53">
        <f>12.08*1.1986</f>
        <v>14.479088000000001</v>
      </c>
      <c r="I11" s="53">
        <f>18.12*1.1986</f>
        <v>21.718632000000003</v>
      </c>
      <c r="J11" s="53">
        <f>H11+I11</f>
        <v>36.197720000000004</v>
      </c>
      <c r="K11" s="53">
        <f t="shared" si="0"/>
        <v>434.37264000000005</v>
      </c>
      <c r="L11" s="53">
        <f t="shared" si="1"/>
        <v>651.55896000000007</v>
      </c>
      <c r="M11" s="53">
        <f t="shared" si="2"/>
        <v>1085.9316000000001</v>
      </c>
      <c r="N11" s="54">
        <v>0.1986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</row>
    <row r="12" spans="1:469" ht="15.75" x14ac:dyDescent="0.2">
      <c r="A12" s="73" t="s">
        <v>95</v>
      </c>
      <c r="B12" s="74"/>
      <c r="C12" s="74"/>
      <c r="D12" s="74"/>
      <c r="E12" s="75" t="s">
        <v>115</v>
      </c>
      <c r="F12" s="126"/>
      <c r="G12" s="126"/>
      <c r="H12" s="126"/>
      <c r="I12" s="126"/>
      <c r="J12" s="79"/>
      <c r="K12" s="80">
        <f>SUM(K13:K36)</f>
        <v>1802410.7467639998</v>
      </c>
      <c r="L12" s="80">
        <f>SUM(L13:L36)</f>
        <v>0</v>
      </c>
      <c r="M12" s="80">
        <f t="shared" ref="M12:M28" si="3">K12+L12</f>
        <v>1802410.7467639998</v>
      </c>
      <c r="N12" s="127"/>
    </row>
    <row r="13" spans="1:469" s="40" customFormat="1" ht="25.5" x14ac:dyDescent="0.2">
      <c r="A13" s="156" t="s">
        <v>86</v>
      </c>
      <c r="B13" s="157" t="s">
        <v>50</v>
      </c>
      <c r="C13" s="157" t="s">
        <v>107</v>
      </c>
      <c r="D13" s="158">
        <v>46174</v>
      </c>
      <c r="E13" s="159" t="s">
        <v>130</v>
      </c>
      <c r="F13" s="160" t="s">
        <v>8</v>
      </c>
      <c r="G13" s="161">
        <v>6</v>
      </c>
      <c r="H13" s="162">
        <f>17827.56*1.1542</f>
        <v>20576.569751999999</v>
      </c>
      <c r="I13" s="162">
        <v>0</v>
      </c>
      <c r="J13" s="162">
        <f>H13+I13</f>
        <v>20576.569751999999</v>
      </c>
      <c r="K13" s="162">
        <f t="shared" ref="K13:K14" si="4">H13*G13</f>
        <v>123459.418512</v>
      </c>
      <c r="L13" s="162">
        <f>I13*G13</f>
        <v>0</v>
      </c>
      <c r="M13" s="162">
        <f t="shared" si="3"/>
        <v>123459.418512</v>
      </c>
      <c r="N13" s="163">
        <v>0.1542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</row>
    <row r="14" spans="1:469" s="40" customFormat="1" ht="25.5" x14ac:dyDescent="0.2">
      <c r="A14" s="156" t="s">
        <v>87</v>
      </c>
      <c r="B14" s="157" t="s">
        <v>50</v>
      </c>
      <c r="C14" s="157" t="s">
        <v>107</v>
      </c>
      <c r="D14" s="158">
        <v>46174</v>
      </c>
      <c r="E14" s="159" t="s">
        <v>131</v>
      </c>
      <c r="F14" s="160" t="s">
        <v>8</v>
      </c>
      <c r="G14" s="161">
        <v>6</v>
      </c>
      <c r="H14" s="162">
        <f>15477.43*1.1542</f>
        <v>17864.049705999998</v>
      </c>
      <c r="I14" s="162">
        <v>0</v>
      </c>
      <c r="J14" s="162">
        <f>H14+I14</f>
        <v>17864.049705999998</v>
      </c>
      <c r="K14" s="162">
        <f t="shared" si="4"/>
        <v>107184.29823599999</v>
      </c>
      <c r="L14" s="162">
        <f t="shared" ref="L14:L28" si="5">I14*G14</f>
        <v>0</v>
      </c>
      <c r="M14" s="162">
        <f t="shared" si="3"/>
        <v>107184.29823599999</v>
      </c>
      <c r="N14" s="163">
        <v>0.1542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</row>
    <row r="15" spans="1:469" s="40" customFormat="1" ht="25.5" x14ac:dyDescent="0.2">
      <c r="A15" s="156" t="s">
        <v>88</v>
      </c>
      <c r="B15" s="157" t="s">
        <v>50</v>
      </c>
      <c r="C15" s="157" t="s">
        <v>107</v>
      </c>
      <c r="D15" s="158">
        <v>46174</v>
      </c>
      <c r="E15" s="159" t="s">
        <v>132</v>
      </c>
      <c r="F15" s="160" t="s">
        <v>8</v>
      </c>
      <c r="G15" s="161">
        <v>6</v>
      </c>
      <c r="H15" s="162">
        <f>9616.63*1.1542</f>
        <v>11099.514345999998</v>
      </c>
      <c r="I15" s="162">
        <v>0</v>
      </c>
      <c r="J15" s="162">
        <f t="shared" ref="J15:J28" si="6">H15+I15</f>
        <v>11099.514345999998</v>
      </c>
      <c r="K15" s="162">
        <f t="shared" ref="K15:K28" si="7">H15*G15</f>
        <v>66597.086075999992</v>
      </c>
      <c r="L15" s="162">
        <f t="shared" si="5"/>
        <v>0</v>
      </c>
      <c r="M15" s="162">
        <f t="shared" si="3"/>
        <v>66597.086075999992</v>
      </c>
      <c r="N15" s="163">
        <v>0.1542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</row>
    <row r="16" spans="1:469" s="40" customFormat="1" ht="25.5" x14ac:dyDescent="0.2">
      <c r="A16" s="156" t="s">
        <v>89</v>
      </c>
      <c r="B16" s="157" t="s">
        <v>50</v>
      </c>
      <c r="C16" s="157" t="s">
        <v>107</v>
      </c>
      <c r="D16" s="158">
        <v>46174</v>
      </c>
      <c r="E16" s="159" t="s">
        <v>133</v>
      </c>
      <c r="F16" s="160" t="s">
        <v>8</v>
      </c>
      <c r="G16" s="161">
        <v>6</v>
      </c>
      <c r="H16" s="162">
        <f>9616.63*1.1542</f>
        <v>11099.514345999998</v>
      </c>
      <c r="I16" s="162">
        <v>0</v>
      </c>
      <c r="J16" s="162">
        <f t="shared" si="6"/>
        <v>11099.514345999998</v>
      </c>
      <c r="K16" s="162">
        <f t="shared" si="7"/>
        <v>66597.086075999992</v>
      </c>
      <c r="L16" s="162">
        <f t="shared" si="5"/>
        <v>0</v>
      </c>
      <c r="M16" s="162">
        <f t="shared" si="3"/>
        <v>66597.086075999992</v>
      </c>
      <c r="N16" s="163">
        <v>0.1542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</row>
    <row r="17" spans="1:469" s="40" customFormat="1" ht="25.5" x14ac:dyDescent="0.2">
      <c r="A17" s="156" t="s">
        <v>100</v>
      </c>
      <c r="B17" s="157" t="s">
        <v>50</v>
      </c>
      <c r="C17" s="157" t="s">
        <v>107</v>
      </c>
      <c r="D17" s="158">
        <v>46174</v>
      </c>
      <c r="E17" s="159" t="s">
        <v>134</v>
      </c>
      <c r="F17" s="160" t="s">
        <v>8</v>
      </c>
      <c r="G17" s="161">
        <v>24</v>
      </c>
      <c r="H17" s="162">
        <f>9581.78*1.1542</f>
        <v>11059.290476</v>
      </c>
      <c r="I17" s="162">
        <v>0</v>
      </c>
      <c r="J17" s="162">
        <f t="shared" si="6"/>
        <v>11059.290476</v>
      </c>
      <c r="K17" s="162">
        <f t="shared" si="7"/>
        <v>265422.97142399999</v>
      </c>
      <c r="L17" s="162">
        <f t="shared" si="5"/>
        <v>0</v>
      </c>
      <c r="M17" s="162">
        <f t="shared" si="3"/>
        <v>265422.97142399999</v>
      </c>
      <c r="N17" s="163">
        <v>0.1542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</row>
    <row r="18" spans="1:469" s="40" customFormat="1" ht="25.5" x14ac:dyDescent="0.2">
      <c r="A18" s="156" t="s">
        <v>101</v>
      </c>
      <c r="B18" s="157" t="s">
        <v>50</v>
      </c>
      <c r="C18" s="157" t="s">
        <v>107</v>
      </c>
      <c r="D18" s="158">
        <v>46174</v>
      </c>
      <c r="E18" s="159" t="s">
        <v>135</v>
      </c>
      <c r="F18" s="160" t="s">
        <v>8</v>
      </c>
      <c r="G18" s="161">
        <v>4</v>
      </c>
      <c r="H18" s="162">
        <f>14250.5*1.1542</f>
        <v>16447.927099999997</v>
      </c>
      <c r="I18" s="162">
        <v>0</v>
      </c>
      <c r="J18" s="162">
        <f t="shared" si="6"/>
        <v>16447.927099999997</v>
      </c>
      <c r="K18" s="162">
        <f t="shared" si="7"/>
        <v>65791.708399999989</v>
      </c>
      <c r="L18" s="162">
        <f t="shared" si="5"/>
        <v>0</v>
      </c>
      <c r="M18" s="162">
        <f t="shared" si="3"/>
        <v>65791.708399999989</v>
      </c>
      <c r="N18" s="163">
        <v>0.1542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</row>
    <row r="19" spans="1:469" s="40" customFormat="1" ht="25.5" x14ac:dyDescent="0.2">
      <c r="A19" s="156" t="s">
        <v>102</v>
      </c>
      <c r="B19" s="157" t="s">
        <v>50</v>
      </c>
      <c r="C19" s="157" t="s">
        <v>107</v>
      </c>
      <c r="D19" s="158">
        <v>46174</v>
      </c>
      <c r="E19" s="159" t="s">
        <v>136</v>
      </c>
      <c r="F19" s="160" t="s">
        <v>8</v>
      </c>
      <c r="G19" s="161">
        <v>20</v>
      </c>
      <c r="H19" s="162">
        <f>5440.2*1.1542</f>
        <v>6279.0788399999992</v>
      </c>
      <c r="I19" s="162">
        <v>0</v>
      </c>
      <c r="J19" s="162">
        <f t="shared" ref="J19:J20" si="8">H19+I19</f>
        <v>6279.0788399999992</v>
      </c>
      <c r="K19" s="162">
        <f t="shared" si="7"/>
        <v>125581.57679999998</v>
      </c>
      <c r="L19" s="162">
        <f t="shared" si="5"/>
        <v>0</v>
      </c>
      <c r="M19" s="162">
        <f t="shared" ref="M19:M24" si="9">K19+L19</f>
        <v>125581.57679999998</v>
      </c>
      <c r="N19" s="163">
        <v>0.1542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</row>
    <row r="20" spans="1:469" s="40" customFormat="1" ht="12.75" x14ac:dyDescent="0.2">
      <c r="A20" s="156" t="s">
        <v>103</v>
      </c>
      <c r="B20" s="157" t="s">
        <v>50</v>
      </c>
      <c r="C20" s="157" t="s">
        <v>107</v>
      </c>
      <c r="D20" s="158">
        <v>46174</v>
      </c>
      <c r="E20" s="159" t="s">
        <v>137</v>
      </c>
      <c r="F20" s="160" t="s">
        <v>8</v>
      </c>
      <c r="G20" s="161">
        <v>20</v>
      </c>
      <c r="H20" s="162">
        <f>9588.12*1.1542</f>
        <v>11066.608103999999</v>
      </c>
      <c r="I20" s="162">
        <v>0</v>
      </c>
      <c r="J20" s="162">
        <f t="shared" si="8"/>
        <v>11066.608103999999</v>
      </c>
      <c r="K20" s="162">
        <f t="shared" si="7"/>
        <v>221332.16207999998</v>
      </c>
      <c r="L20" s="162">
        <f t="shared" si="5"/>
        <v>0</v>
      </c>
      <c r="M20" s="162">
        <f t="shared" si="9"/>
        <v>221332.16207999998</v>
      </c>
      <c r="N20" s="163">
        <v>0.1542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</row>
    <row r="21" spans="1:469" s="40" customFormat="1" ht="25.5" x14ac:dyDescent="0.2">
      <c r="A21" s="156" t="s">
        <v>105</v>
      </c>
      <c r="B21" s="157" t="s">
        <v>50</v>
      </c>
      <c r="C21" s="157" t="s">
        <v>107</v>
      </c>
      <c r="D21" s="158">
        <v>46174</v>
      </c>
      <c r="E21" s="159" t="s">
        <v>120</v>
      </c>
      <c r="F21" s="160" t="s">
        <v>8</v>
      </c>
      <c r="G21" s="161">
        <v>30</v>
      </c>
      <c r="H21" s="162">
        <f>1322.58*1.1542</f>
        <v>1526.5218359999997</v>
      </c>
      <c r="I21" s="162">
        <v>0</v>
      </c>
      <c r="J21" s="162">
        <f t="shared" ref="J21:J24" si="10">H21+I21</f>
        <v>1526.5218359999997</v>
      </c>
      <c r="K21" s="162">
        <f t="shared" si="7"/>
        <v>45795.65507999999</v>
      </c>
      <c r="L21" s="162">
        <f t="shared" si="5"/>
        <v>0</v>
      </c>
      <c r="M21" s="162">
        <f t="shared" si="9"/>
        <v>45795.65507999999</v>
      </c>
      <c r="N21" s="163">
        <v>0.1542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</row>
    <row r="22" spans="1:469" s="40" customFormat="1" ht="25.5" x14ac:dyDescent="0.2">
      <c r="A22" s="156" t="s">
        <v>106</v>
      </c>
      <c r="B22" s="157" t="s">
        <v>50</v>
      </c>
      <c r="C22" s="157" t="s">
        <v>107</v>
      </c>
      <c r="D22" s="158">
        <v>46174</v>
      </c>
      <c r="E22" s="159" t="s">
        <v>121</v>
      </c>
      <c r="F22" s="160" t="s">
        <v>8</v>
      </c>
      <c r="G22" s="161">
        <v>20</v>
      </c>
      <c r="H22" s="162">
        <f>1447.58*1.1542</f>
        <v>1670.7968359999998</v>
      </c>
      <c r="I22" s="162">
        <v>0</v>
      </c>
      <c r="J22" s="162">
        <f t="shared" si="10"/>
        <v>1670.7968359999998</v>
      </c>
      <c r="K22" s="162">
        <f t="shared" si="7"/>
        <v>33415.936719999998</v>
      </c>
      <c r="L22" s="162">
        <f t="shared" si="5"/>
        <v>0</v>
      </c>
      <c r="M22" s="162">
        <f t="shared" si="9"/>
        <v>33415.936719999998</v>
      </c>
      <c r="N22" s="163">
        <v>0.1542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</row>
    <row r="23" spans="1:469" s="40" customFormat="1" ht="12.75" x14ac:dyDescent="0.2">
      <c r="A23" s="156" t="s">
        <v>141</v>
      </c>
      <c r="B23" s="157" t="s">
        <v>50</v>
      </c>
      <c r="C23" s="157" t="s">
        <v>107</v>
      </c>
      <c r="D23" s="158">
        <v>46174</v>
      </c>
      <c r="E23" s="159" t="s">
        <v>122</v>
      </c>
      <c r="F23" s="160" t="s">
        <v>8</v>
      </c>
      <c r="G23" s="161">
        <v>20</v>
      </c>
      <c r="H23" s="162">
        <f>2580.83*1.1542</f>
        <v>2978.7939859999997</v>
      </c>
      <c r="I23" s="162">
        <v>0</v>
      </c>
      <c r="J23" s="162">
        <f t="shared" si="10"/>
        <v>2978.7939859999997</v>
      </c>
      <c r="K23" s="162">
        <f t="shared" si="7"/>
        <v>59575.879719999997</v>
      </c>
      <c r="L23" s="162">
        <f t="shared" si="5"/>
        <v>0</v>
      </c>
      <c r="M23" s="162">
        <f t="shared" si="9"/>
        <v>59575.879719999997</v>
      </c>
      <c r="N23" s="163">
        <v>0.1542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</row>
    <row r="24" spans="1:469" s="40" customFormat="1" ht="12.75" x14ac:dyDescent="0.2">
      <c r="A24" s="156" t="s">
        <v>142</v>
      </c>
      <c r="B24" s="157" t="s">
        <v>50</v>
      </c>
      <c r="C24" s="157" t="s">
        <v>107</v>
      </c>
      <c r="D24" s="158">
        <v>46174</v>
      </c>
      <c r="E24" s="159" t="s">
        <v>138</v>
      </c>
      <c r="F24" s="160" t="s">
        <v>8</v>
      </c>
      <c r="G24" s="161">
        <v>12</v>
      </c>
      <c r="H24" s="162">
        <f>24860.73*1.1542</f>
        <v>28694.254565999996</v>
      </c>
      <c r="I24" s="162">
        <v>0</v>
      </c>
      <c r="J24" s="162">
        <f t="shared" si="10"/>
        <v>28694.254565999996</v>
      </c>
      <c r="K24" s="162">
        <f t="shared" si="7"/>
        <v>344331.05479199998</v>
      </c>
      <c r="L24" s="162">
        <f t="shared" si="5"/>
        <v>0</v>
      </c>
      <c r="M24" s="162">
        <f t="shared" si="9"/>
        <v>344331.05479199998</v>
      </c>
      <c r="N24" s="163">
        <v>0.1542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</row>
    <row r="25" spans="1:469" s="40" customFormat="1" ht="12.75" x14ac:dyDescent="0.2">
      <c r="A25" s="156" t="s">
        <v>143</v>
      </c>
      <c r="B25" s="157" t="s">
        <v>50</v>
      </c>
      <c r="C25" s="157" t="s">
        <v>107</v>
      </c>
      <c r="D25" s="158">
        <v>46174</v>
      </c>
      <c r="E25" s="159" t="s">
        <v>139</v>
      </c>
      <c r="F25" s="160" t="s">
        <v>8</v>
      </c>
      <c r="G25" s="161">
        <v>2</v>
      </c>
      <c r="H25" s="162">
        <f>4822.72*1.1542</f>
        <v>5566.3834239999996</v>
      </c>
      <c r="I25" s="162">
        <v>0</v>
      </c>
      <c r="J25" s="162">
        <f t="shared" si="6"/>
        <v>5566.3834239999996</v>
      </c>
      <c r="K25" s="162">
        <f t="shared" si="7"/>
        <v>11132.766847999999</v>
      </c>
      <c r="L25" s="162">
        <f t="shared" si="5"/>
        <v>0</v>
      </c>
      <c r="M25" s="162">
        <f t="shared" si="3"/>
        <v>11132.766847999999</v>
      </c>
      <c r="N25" s="163">
        <v>0.1542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</row>
    <row r="26" spans="1:469" s="40" customFormat="1" ht="12.75" x14ac:dyDescent="0.2">
      <c r="A26" s="156" t="s">
        <v>144</v>
      </c>
      <c r="B26" s="157" t="s">
        <v>50</v>
      </c>
      <c r="C26" s="157" t="s">
        <v>107</v>
      </c>
      <c r="D26" s="158">
        <v>46174</v>
      </c>
      <c r="E26" s="159" t="s">
        <v>140</v>
      </c>
      <c r="F26" s="160" t="s">
        <v>8</v>
      </c>
      <c r="G26" s="161">
        <v>2</v>
      </c>
      <c r="H26" s="162">
        <f>11457.06*1.1542</f>
        <v>13223.738651999998</v>
      </c>
      <c r="I26" s="162">
        <v>0</v>
      </c>
      <c r="J26" s="162">
        <f t="shared" si="6"/>
        <v>13223.738651999998</v>
      </c>
      <c r="K26" s="162">
        <f t="shared" si="7"/>
        <v>26447.477303999996</v>
      </c>
      <c r="L26" s="162">
        <f t="shared" si="5"/>
        <v>0</v>
      </c>
      <c r="M26" s="162">
        <f t="shared" si="3"/>
        <v>26447.477303999996</v>
      </c>
      <c r="N26" s="163">
        <v>0.1542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</row>
    <row r="27" spans="1:469" s="40" customFormat="1" ht="12.75" x14ac:dyDescent="0.2">
      <c r="A27" s="156" t="s">
        <v>145</v>
      </c>
      <c r="B27" s="157" t="s">
        <v>50</v>
      </c>
      <c r="C27" s="157" t="s">
        <v>107</v>
      </c>
      <c r="D27" s="158">
        <v>46174</v>
      </c>
      <c r="E27" s="159" t="s">
        <v>116</v>
      </c>
      <c r="F27" s="160" t="s">
        <v>8</v>
      </c>
      <c r="G27" s="161">
        <v>4</v>
      </c>
      <c r="H27" s="162">
        <f>3169.83*1.1542</f>
        <v>3658.6177859999998</v>
      </c>
      <c r="I27" s="162">
        <v>0</v>
      </c>
      <c r="J27" s="162">
        <f t="shared" si="6"/>
        <v>3658.6177859999998</v>
      </c>
      <c r="K27" s="162">
        <f t="shared" si="7"/>
        <v>14634.471143999999</v>
      </c>
      <c r="L27" s="162">
        <f t="shared" si="5"/>
        <v>0</v>
      </c>
      <c r="M27" s="162">
        <f t="shared" si="3"/>
        <v>14634.471143999999</v>
      </c>
      <c r="N27" s="163">
        <v>0.1542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</row>
    <row r="28" spans="1:469" s="40" customFormat="1" ht="12.75" x14ac:dyDescent="0.2">
      <c r="A28" s="156" t="s">
        <v>146</v>
      </c>
      <c r="B28" s="157" t="s">
        <v>50</v>
      </c>
      <c r="C28" s="157" t="s">
        <v>107</v>
      </c>
      <c r="D28" s="158">
        <v>46174</v>
      </c>
      <c r="E28" s="159" t="s">
        <v>117</v>
      </c>
      <c r="F28" s="160" t="s">
        <v>8</v>
      </c>
      <c r="G28" s="161">
        <v>10</v>
      </c>
      <c r="H28" s="162">
        <f>11852.07*1.1542</f>
        <v>13679.659193999998</v>
      </c>
      <c r="I28" s="162">
        <v>0</v>
      </c>
      <c r="J28" s="162">
        <f t="shared" si="6"/>
        <v>13679.659193999998</v>
      </c>
      <c r="K28" s="162">
        <f t="shared" si="7"/>
        <v>136796.59193999998</v>
      </c>
      <c r="L28" s="162">
        <f t="shared" si="5"/>
        <v>0</v>
      </c>
      <c r="M28" s="162">
        <f t="shared" si="3"/>
        <v>136796.59193999998</v>
      </c>
      <c r="N28" s="163">
        <v>0.1542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</row>
    <row r="29" spans="1:469" s="40" customFormat="1" ht="12.75" x14ac:dyDescent="0.2">
      <c r="A29" s="156" t="s">
        <v>147</v>
      </c>
      <c r="B29" s="157" t="s">
        <v>50</v>
      </c>
      <c r="C29" s="157" t="s">
        <v>107</v>
      </c>
      <c r="D29" s="158">
        <v>46174</v>
      </c>
      <c r="E29" s="159" t="s">
        <v>118</v>
      </c>
      <c r="F29" s="160" t="s">
        <v>8</v>
      </c>
      <c r="G29" s="161">
        <v>3</v>
      </c>
      <c r="H29" s="162">
        <f>3797.73*1.1542</f>
        <v>4383.3399659999995</v>
      </c>
      <c r="I29" s="162">
        <v>0</v>
      </c>
      <c r="J29" s="162">
        <f t="shared" ref="J29:J32" si="11">H29+I29</f>
        <v>4383.3399659999995</v>
      </c>
      <c r="K29" s="162">
        <f t="shared" ref="K29:K32" si="12">H29*G29</f>
        <v>13150.019897999999</v>
      </c>
      <c r="L29" s="162">
        <f t="shared" ref="L29:L32" si="13">I29*G29</f>
        <v>0</v>
      </c>
      <c r="M29" s="162">
        <f t="shared" ref="M29:M32" si="14">K29+L29</f>
        <v>13150.019897999999</v>
      </c>
      <c r="N29" s="163">
        <v>0.1542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</row>
    <row r="30" spans="1:469" s="40" customFormat="1" ht="12.75" x14ac:dyDescent="0.2">
      <c r="A30" s="156" t="s">
        <v>148</v>
      </c>
      <c r="B30" s="157" t="s">
        <v>50</v>
      </c>
      <c r="C30" s="157" t="s">
        <v>107</v>
      </c>
      <c r="D30" s="158">
        <v>46174</v>
      </c>
      <c r="E30" s="159" t="s">
        <v>119</v>
      </c>
      <c r="F30" s="160" t="s">
        <v>8</v>
      </c>
      <c r="G30" s="161">
        <v>1</v>
      </c>
      <c r="H30" s="162">
        <f>18054.35*1.1542</f>
        <v>20838.330769999997</v>
      </c>
      <c r="I30" s="162">
        <v>0</v>
      </c>
      <c r="J30" s="162">
        <f t="shared" si="11"/>
        <v>20838.330769999997</v>
      </c>
      <c r="K30" s="162">
        <f t="shared" si="12"/>
        <v>20838.330769999997</v>
      </c>
      <c r="L30" s="162">
        <f t="shared" si="13"/>
        <v>0</v>
      </c>
      <c r="M30" s="162">
        <f t="shared" si="14"/>
        <v>20838.330769999997</v>
      </c>
      <c r="N30" s="163">
        <v>0.1542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</row>
    <row r="31" spans="1:469" s="40" customFormat="1" ht="12.75" x14ac:dyDescent="0.2">
      <c r="A31" s="47" t="s">
        <v>149</v>
      </c>
      <c r="B31" s="48" t="s">
        <v>50</v>
      </c>
      <c r="C31" s="48" t="s">
        <v>107</v>
      </c>
      <c r="D31" s="49">
        <v>46174</v>
      </c>
      <c r="E31" s="50" t="s">
        <v>124</v>
      </c>
      <c r="F31" s="55" t="s">
        <v>123</v>
      </c>
      <c r="G31" s="52">
        <v>312</v>
      </c>
      <c r="H31" s="53">
        <f>106.26*1.1542</f>
        <v>122.645292</v>
      </c>
      <c r="I31" s="53">
        <v>0</v>
      </c>
      <c r="J31" s="53">
        <f t="shared" si="11"/>
        <v>122.645292</v>
      </c>
      <c r="K31" s="53">
        <f t="shared" si="12"/>
        <v>38265.331103999997</v>
      </c>
      <c r="L31" s="53">
        <f t="shared" si="13"/>
        <v>0</v>
      </c>
      <c r="M31" s="53">
        <f t="shared" si="14"/>
        <v>38265.331103999997</v>
      </c>
      <c r="N31" s="54">
        <v>0.1542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</row>
    <row r="32" spans="1:469" s="40" customFormat="1" ht="12.75" x14ac:dyDescent="0.2">
      <c r="A32" s="47" t="s">
        <v>150</v>
      </c>
      <c r="B32" s="48" t="s">
        <v>50</v>
      </c>
      <c r="C32" s="48" t="s">
        <v>107</v>
      </c>
      <c r="D32" s="49">
        <v>46174</v>
      </c>
      <c r="E32" s="50" t="s">
        <v>125</v>
      </c>
      <c r="F32" s="55" t="s">
        <v>123</v>
      </c>
      <c r="G32" s="52">
        <v>880</v>
      </c>
      <c r="H32" s="53">
        <f>5.88*1.1542</f>
        <v>6.7866959999999992</v>
      </c>
      <c r="I32" s="53">
        <v>0</v>
      </c>
      <c r="J32" s="53">
        <f t="shared" si="11"/>
        <v>6.7866959999999992</v>
      </c>
      <c r="K32" s="53">
        <f t="shared" si="12"/>
        <v>5972.2924799999992</v>
      </c>
      <c r="L32" s="53">
        <f t="shared" si="13"/>
        <v>0</v>
      </c>
      <c r="M32" s="53">
        <f t="shared" si="14"/>
        <v>5972.2924799999992</v>
      </c>
      <c r="N32" s="54">
        <v>0.1542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</row>
    <row r="33" spans="1:469" s="40" customFormat="1" ht="12.75" x14ac:dyDescent="0.2">
      <c r="A33" s="47" t="s">
        <v>151</v>
      </c>
      <c r="B33" s="48" t="s">
        <v>50</v>
      </c>
      <c r="C33" s="48" t="s">
        <v>107</v>
      </c>
      <c r="D33" s="49">
        <v>46174</v>
      </c>
      <c r="E33" s="50" t="s">
        <v>126</v>
      </c>
      <c r="F33" s="55" t="s">
        <v>123</v>
      </c>
      <c r="G33" s="52">
        <v>260</v>
      </c>
      <c r="H33" s="53">
        <f>5.88*1.1542</f>
        <v>6.7866959999999992</v>
      </c>
      <c r="I33" s="53">
        <v>0</v>
      </c>
      <c r="J33" s="53">
        <f t="shared" ref="J33:J36" si="15">H33+I33</f>
        <v>6.7866959999999992</v>
      </c>
      <c r="K33" s="53">
        <f t="shared" ref="K33:K36" si="16">H33*G33</f>
        <v>1764.5409599999998</v>
      </c>
      <c r="L33" s="53">
        <f t="shared" ref="L33:L36" si="17">I33*G33</f>
        <v>0</v>
      </c>
      <c r="M33" s="53">
        <f t="shared" ref="M33:M36" si="18">K33+L33</f>
        <v>1764.5409599999998</v>
      </c>
      <c r="N33" s="54">
        <v>0.1542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</row>
    <row r="34" spans="1:469" s="40" customFormat="1" ht="12.75" x14ac:dyDescent="0.2">
      <c r="A34" s="47" t="s">
        <v>152</v>
      </c>
      <c r="B34" s="48" t="s">
        <v>50</v>
      </c>
      <c r="C34" s="48" t="s">
        <v>107</v>
      </c>
      <c r="D34" s="49">
        <v>46174</v>
      </c>
      <c r="E34" s="50" t="s">
        <v>129</v>
      </c>
      <c r="F34" s="55" t="s">
        <v>8</v>
      </c>
      <c r="G34" s="52">
        <v>100</v>
      </c>
      <c r="H34" s="53">
        <f>17.2*1.1542</f>
        <v>19.852239999999998</v>
      </c>
      <c r="I34" s="53">
        <v>0</v>
      </c>
      <c r="J34" s="53">
        <f t="shared" si="15"/>
        <v>19.852239999999998</v>
      </c>
      <c r="K34" s="53">
        <f t="shared" si="16"/>
        <v>1985.2239999999999</v>
      </c>
      <c r="L34" s="53">
        <f t="shared" si="17"/>
        <v>0</v>
      </c>
      <c r="M34" s="53">
        <f t="shared" si="18"/>
        <v>1985.2239999999999</v>
      </c>
      <c r="N34" s="54">
        <v>0.1542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</row>
    <row r="35" spans="1:469" s="40" customFormat="1" ht="12.75" x14ac:dyDescent="0.2">
      <c r="A35" s="47" t="s">
        <v>153</v>
      </c>
      <c r="B35" s="48" t="s">
        <v>50</v>
      </c>
      <c r="C35" s="48" t="s">
        <v>107</v>
      </c>
      <c r="D35" s="49">
        <v>46174</v>
      </c>
      <c r="E35" s="50" t="s">
        <v>128</v>
      </c>
      <c r="F35" s="55" t="s">
        <v>8</v>
      </c>
      <c r="G35" s="52">
        <v>250</v>
      </c>
      <c r="H35" s="53">
        <f>18.8*1.1542</f>
        <v>21.69896</v>
      </c>
      <c r="I35" s="53">
        <v>0</v>
      </c>
      <c r="J35" s="53">
        <f t="shared" si="15"/>
        <v>21.69896</v>
      </c>
      <c r="K35" s="53">
        <f t="shared" si="16"/>
        <v>5424.74</v>
      </c>
      <c r="L35" s="53">
        <f t="shared" si="17"/>
        <v>0</v>
      </c>
      <c r="M35" s="53">
        <f t="shared" si="18"/>
        <v>5424.74</v>
      </c>
      <c r="N35" s="54">
        <v>0.1542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</row>
    <row r="36" spans="1:469" s="40" customFormat="1" ht="12.75" x14ac:dyDescent="0.2">
      <c r="A36" s="47" t="s">
        <v>154</v>
      </c>
      <c r="B36" s="48" t="s">
        <v>50</v>
      </c>
      <c r="C36" s="48" t="s">
        <v>107</v>
      </c>
      <c r="D36" s="49">
        <v>46174</v>
      </c>
      <c r="E36" s="50" t="s">
        <v>127</v>
      </c>
      <c r="F36" s="55" t="s">
        <v>8</v>
      </c>
      <c r="G36" s="52">
        <v>50</v>
      </c>
      <c r="H36" s="53">
        <f>15.84*1.1542</f>
        <v>18.282527999999999</v>
      </c>
      <c r="I36" s="53">
        <v>0</v>
      </c>
      <c r="J36" s="53">
        <f t="shared" si="15"/>
        <v>18.282527999999999</v>
      </c>
      <c r="K36" s="53">
        <f t="shared" si="16"/>
        <v>914.12639999999999</v>
      </c>
      <c r="L36" s="53">
        <f t="shared" si="17"/>
        <v>0</v>
      </c>
      <c r="M36" s="53">
        <f t="shared" si="18"/>
        <v>914.12639999999999</v>
      </c>
      <c r="N36" s="54">
        <v>0.1542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</row>
    <row r="37" spans="1:469" ht="15.75" x14ac:dyDescent="0.2">
      <c r="A37" s="73" t="s">
        <v>30</v>
      </c>
      <c r="B37" s="74"/>
      <c r="C37" s="74"/>
      <c r="D37" s="74"/>
      <c r="E37" s="75" t="s">
        <v>92</v>
      </c>
      <c r="F37" s="128"/>
      <c r="G37" s="128"/>
      <c r="H37" s="128"/>
      <c r="I37" s="128"/>
      <c r="J37" s="79"/>
      <c r="K37" s="80">
        <f>SUM(K38:K38)</f>
        <v>0</v>
      </c>
      <c r="L37" s="80">
        <f>SUM(L38:L38)</f>
        <v>591.14952000000005</v>
      </c>
      <c r="M37" s="80">
        <f>K37+L37</f>
        <v>591.14952000000005</v>
      </c>
      <c r="N37" s="127"/>
    </row>
    <row r="38" spans="1:469" s="40" customFormat="1" ht="13.5" thickBot="1" x14ac:dyDescent="0.25">
      <c r="A38" s="56" t="s">
        <v>91</v>
      </c>
      <c r="B38" s="48" t="s">
        <v>53</v>
      </c>
      <c r="C38" s="48">
        <v>88252</v>
      </c>
      <c r="D38" s="49">
        <v>46143</v>
      </c>
      <c r="E38" s="57" t="s">
        <v>76</v>
      </c>
      <c r="F38" s="58" t="s">
        <v>38</v>
      </c>
      <c r="G38" s="52">
        <v>20</v>
      </c>
      <c r="H38" s="53">
        <v>0</v>
      </c>
      <c r="I38" s="53">
        <f>24.66*1.1986</f>
        <v>29.557476000000001</v>
      </c>
      <c r="J38" s="53">
        <f t="shared" ref="J38" si="19">H38+I38</f>
        <v>29.557476000000001</v>
      </c>
      <c r="K38" s="53">
        <f t="shared" ref="K38" si="20">H38*G38</f>
        <v>0</v>
      </c>
      <c r="L38" s="53">
        <f t="shared" ref="L38" si="21">I38*G38</f>
        <v>591.14952000000005</v>
      </c>
      <c r="M38" s="53">
        <f t="shared" ref="M38" si="22">K38+L38</f>
        <v>591.14952000000005</v>
      </c>
      <c r="N38" s="54">
        <v>0.1986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</row>
    <row r="39" spans="1:469" ht="23.85" customHeight="1" thickBot="1" x14ac:dyDescent="0.25">
      <c r="A39" s="59"/>
      <c r="B39" s="60"/>
      <c r="C39" s="61"/>
      <c r="D39" s="61"/>
      <c r="E39" s="62" t="s">
        <v>28</v>
      </c>
      <c r="F39" s="140" t="s">
        <v>27</v>
      </c>
      <c r="G39" s="140"/>
      <c r="H39" s="140">
        <f>K7+K12+K37</f>
        <v>1804031.4217679999</v>
      </c>
      <c r="I39" s="140"/>
      <c r="J39" s="63" t="s">
        <v>26</v>
      </c>
      <c r="K39" s="64">
        <f>L7+L12+L37</f>
        <v>9547.5681600000007</v>
      </c>
      <c r="L39" s="64" t="s">
        <v>59</v>
      </c>
      <c r="M39" s="141">
        <f>H39+K39</f>
        <v>1813578.9899279999</v>
      </c>
      <c r="N39" s="142"/>
    </row>
    <row r="40" spans="1:469" ht="18.95" customHeight="1" x14ac:dyDescent="0.2">
      <c r="D40" s="66"/>
      <c r="E40" s="67"/>
      <c r="F40" s="66"/>
      <c r="G40" s="66"/>
      <c r="H40" s="68"/>
      <c r="I40" s="68"/>
      <c r="J40" s="69"/>
      <c r="K40" s="70"/>
      <c r="M40" s="71"/>
    </row>
    <row r="41" spans="1:469" ht="18.95" customHeight="1" x14ac:dyDescent="0.2">
      <c r="J41" s="71"/>
    </row>
    <row r="42" spans="1:469" ht="18.95" customHeight="1" x14ac:dyDescent="0.2">
      <c r="N42" s="155"/>
    </row>
  </sheetData>
  <mergeCells count="16">
    <mergeCell ref="F39:G39"/>
    <mergeCell ref="H39:I39"/>
    <mergeCell ref="M39:N39"/>
    <mergeCell ref="B2:J2"/>
    <mergeCell ref="B3:E3"/>
    <mergeCell ref="F5:F6"/>
    <mergeCell ref="G5:G6"/>
    <mergeCell ref="J3:N3"/>
    <mergeCell ref="H5:J5"/>
    <mergeCell ref="K5:M5"/>
    <mergeCell ref="N5:N6"/>
    <mergeCell ref="A5:A6"/>
    <mergeCell ref="B5:B6"/>
    <mergeCell ref="C5:C6"/>
    <mergeCell ref="D5:D6"/>
    <mergeCell ref="E5:E6"/>
  </mergeCells>
  <phoneticPr fontId="10" type="noConversion"/>
  <printOptions horizontalCentered="1"/>
  <pageMargins left="0.19685039370078741" right="0.19685039370078741" top="0.78740157480314965" bottom="0.78740157480314965" header="0.11811023622047245" footer="0.19685039370078741"/>
  <pageSetup paperSize="9" scale="72" fitToHeight="0" orientation="landscape" r:id="rId1"/>
  <headerFooter alignWithMargins="0">
    <oddHeader xml:space="preserve">&amp;R&amp;8FOLHA &amp;P/ &amp;N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H55"/>
  <sheetViews>
    <sheetView workbookViewId="0">
      <selection activeCell="D66" sqref="D66"/>
    </sheetView>
  </sheetViews>
  <sheetFormatPr defaultColWidth="9" defaultRowHeight="12.75" x14ac:dyDescent="0.2"/>
  <cols>
    <col min="1" max="2" width="2.140625" style="7" customWidth="1"/>
    <col min="3" max="3" width="23" style="7" customWidth="1"/>
    <col min="4" max="4" width="44.140625" style="7" bestFit="1" customWidth="1"/>
    <col min="5" max="5" width="7.140625" style="7" bestFit="1" customWidth="1"/>
    <col min="6" max="6" width="10.140625" style="7" bestFit="1" customWidth="1"/>
    <col min="7" max="7" width="0" style="7" hidden="1" customWidth="1"/>
    <col min="8" max="8" width="3.85546875" style="7" customWidth="1"/>
    <col min="9" max="16384" width="9" style="7"/>
  </cols>
  <sheetData>
    <row r="1" spans="2:8" ht="13.5" thickBot="1" x14ac:dyDescent="0.25"/>
    <row r="2" spans="2:8" x14ac:dyDescent="0.2">
      <c r="B2" s="10"/>
      <c r="C2" s="11"/>
      <c r="D2" s="11"/>
      <c r="E2" s="11"/>
      <c r="F2" s="11"/>
      <c r="G2" s="11"/>
      <c r="H2" s="12"/>
    </row>
    <row r="3" spans="2:8" ht="20.25" x14ac:dyDescent="0.3">
      <c r="B3" s="13"/>
      <c r="C3" s="2" t="s">
        <v>10</v>
      </c>
      <c r="D3" s="3"/>
      <c r="E3" s="3"/>
      <c r="H3" s="14"/>
    </row>
    <row r="4" spans="2:8" ht="15.75" thickBot="1" x14ac:dyDescent="0.25">
      <c r="B4" s="13"/>
      <c r="C4" s="15"/>
      <c r="D4" s="15"/>
      <c r="E4" s="15"/>
      <c r="F4" s="16"/>
      <c r="G4" s="17"/>
      <c r="H4" s="14"/>
    </row>
    <row r="5" spans="2:8" ht="15.75" x14ac:dyDescent="0.25">
      <c r="B5" s="13"/>
      <c r="C5" s="18" t="s">
        <v>11</v>
      </c>
      <c r="D5" s="19"/>
      <c r="E5" s="19"/>
      <c r="F5" s="20">
        <v>6.2700000000000006E-2</v>
      </c>
      <c r="G5" s="17">
        <f t="shared" ref="G5:G20" si="0">F5</f>
        <v>6.2700000000000006E-2</v>
      </c>
      <c r="H5" s="14"/>
    </row>
    <row r="6" spans="2:8" ht="15.75" x14ac:dyDescent="0.25">
      <c r="B6" s="13"/>
      <c r="C6" s="21" t="s">
        <v>12</v>
      </c>
      <c r="D6" s="3"/>
      <c r="E6" s="3"/>
      <c r="F6" s="22">
        <v>4.2500000000000003E-2</v>
      </c>
      <c r="G6" s="17">
        <f>F6</f>
        <v>4.2500000000000003E-2</v>
      </c>
      <c r="H6" s="14"/>
    </row>
    <row r="7" spans="2:8" ht="15" x14ac:dyDescent="0.2">
      <c r="B7" s="13"/>
      <c r="C7" s="21" t="s">
        <v>13</v>
      </c>
      <c r="D7" s="15"/>
      <c r="E7" s="15"/>
      <c r="F7" s="22">
        <v>6.0000000000000001E-3</v>
      </c>
      <c r="G7" s="17">
        <f t="shared" si="0"/>
        <v>6.0000000000000001E-3</v>
      </c>
      <c r="H7" s="14"/>
    </row>
    <row r="8" spans="2:8" ht="15" x14ac:dyDescent="0.2">
      <c r="B8" s="13"/>
      <c r="C8" s="21" t="s">
        <v>14</v>
      </c>
      <c r="D8" s="15"/>
      <c r="E8" s="15"/>
      <c r="F8" s="22">
        <v>3.0000000000000001E-3</v>
      </c>
      <c r="G8" s="17">
        <f t="shared" si="0"/>
        <v>3.0000000000000001E-3</v>
      </c>
      <c r="H8" s="14"/>
    </row>
    <row r="9" spans="2:8" ht="15.75" thickBot="1" x14ac:dyDescent="0.25">
      <c r="B9" s="13"/>
      <c r="C9" s="23" t="s">
        <v>15</v>
      </c>
      <c r="D9" s="24"/>
      <c r="E9" s="24"/>
      <c r="F9" s="25">
        <v>1.12E-2</v>
      </c>
      <c r="G9" s="17">
        <f t="shared" si="0"/>
        <v>1.12E-2</v>
      </c>
      <c r="H9" s="14"/>
    </row>
    <row r="10" spans="2:8" ht="15.75" thickBot="1" x14ac:dyDescent="0.25">
      <c r="B10" s="13"/>
      <c r="C10" s="15"/>
      <c r="D10" s="15"/>
      <c r="E10" s="15"/>
      <c r="F10" s="16"/>
      <c r="G10" s="17"/>
      <c r="H10" s="14"/>
    </row>
    <row r="11" spans="2:8" ht="16.5" thickBot="1" x14ac:dyDescent="0.3">
      <c r="B11" s="13"/>
      <c r="C11" s="26" t="s">
        <v>16</v>
      </c>
      <c r="D11" s="27"/>
      <c r="E11" s="27"/>
      <c r="F11" s="28">
        <v>0.01</v>
      </c>
      <c r="G11" s="17">
        <f t="shared" si="0"/>
        <v>0.01</v>
      </c>
      <c r="H11" s="14"/>
    </row>
    <row r="12" spans="2:8" ht="15.75" thickBot="1" x14ac:dyDescent="0.25">
      <c r="B12" s="13"/>
      <c r="C12" s="15"/>
      <c r="D12" s="15"/>
      <c r="E12" s="15"/>
      <c r="F12" s="16"/>
      <c r="G12" s="17"/>
      <c r="H12" s="14"/>
    </row>
    <row r="13" spans="2:8" ht="16.5" thickBot="1" x14ac:dyDescent="0.3">
      <c r="B13" s="13"/>
      <c r="C13" s="26" t="s">
        <v>17</v>
      </c>
      <c r="D13" s="27"/>
      <c r="E13" s="27"/>
      <c r="F13" s="28">
        <v>7.0000000000000007E-2</v>
      </c>
      <c r="G13" s="17">
        <f>F13</f>
        <v>7.0000000000000007E-2</v>
      </c>
      <c r="H13" s="14"/>
    </row>
    <row r="14" spans="2:8" ht="15.75" thickBot="1" x14ac:dyDescent="0.25">
      <c r="B14" s="13"/>
      <c r="C14" s="15"/>
      <c r="D14" s="15"/>
      <c r="E14" s="15"/>
      <c r="F14" s="16"/>
      <c r="G14" s="17"/>
      <c r="H14" s="14"/>
    </row>
    <row r="15" spans="2:8" ht="15.75" x14ac:dyDescent="0.25">
      <c r="B15" s="13"/>
      <c r="C15" s="18" t="s">
        <v>18</v>
      </c>
      <c r="D15" s="19"/>
      <c r="E15" s="19"/>
      <c r="F15" s="20">
        <v>4.1799999999999997E-2</v>
      </c>
      <c r="G15" s="17">
        <f t="shared" si="0"/>
        <v>4.1799999999999997E-2</v>
      </c>
      <c r="H15" s="14"/>
    </row>
    <row r="16" spans="2:8" ht="15" x14ac:dyDescent="0.2">
      <c r="B16" s="13"/>
      <c r="C16" s="21" t="s">
        <v>19</v>
      </c>
      <c r="D16" s="15"/>
      <c r="E16" s="15"/>
      <c r="F16" s="29">
        <v>6.4999999999999997E-3</v>
      </c>
      <c r="G16" s="17">
        <f t="shared" si="0"/>
        <v>6.4999999999999997E-3</v>
      </c>
      <c r="H16" s="14"/>
    </row>
    <row r="17" spans="2:8" ht="15" x14ac:dyDescent="0.2">
      <c r="B17" s="13"/>
      <c r="C17" s="21" t="s">
        <v>20</v>
      </c>
      <c r="D17" s="15"/>
      <c r="E17" s="15"/>
      <c r="F17" s="29">
        <v>0.03</v>
      </c>
      <c r="G17" s="17">
        <f t="shared" si="0"/>
        <v>0.03</v>
      </c>
      <c r="H17" s="14"/>
    </row>
    <row r="18" spans="2:8" ht="15" x14ac:dyDescent="0.2">
      <c r="B18" s="13"/>
      <c r="C18" s="21" t="s">
        <v>21</v>
      </c>
      <c r="D18" s="15"/>
      <c r="E18" s="15"/>
      <c r="F18" s="29">
        <v>5.3E-3</v>
      </c>
      <c r="G18" s="17"/>
      <c r="H18" s="14"/>
    </row>
    <row r="19" spans="2:8" ht="15.75" thickBot="1" x14ac:dyDescent="0.25">
      <c r="B19" s="13"/>
      <c r="C19" s="23" t="s">
        <v>22</v>
      </c>
      <c r="D19" s="24"/>
      <c r="E19" s="24"/>
      <c r="F19" s="30">
        <v>0</v>
      </c>
      <c r="G19" s="17">
        <f t="shared" si="0"/>
        <v>0</v>
      </c>
      <c r="H19" s="14"/>
    </row>
    <row r="20" spans="2:8" ht="15" x14ac:dyDescent="0.2">
      <c r="B20" s="13"/>
      <c r="C20" s="15"/>
      <c r="D20" s="15"/>
      <c r="E20" s="15"/>
      <c r="F20" s="15"/>
      <c r="G20" s="17">
        <f t="shared" si="0"/>
        <v>0</v>
      </c>
      <c r="H20" s="14"/>
    </row>
    <row r="21" spans="2:8" ht="13.5" thickBot="1" x14ac:dyDescent="0.25">
      <c r="B21" s="13"/>
      <c r="G21" s="31"/>
      <c r="H21" s="14"/>
    </row>
    <row r="22" spans="2:8" x14ac:dyDescent="0.2">
      <c r="B22" s="13"/>
      <c r="C22" s="148" t="s">
        <v>23</v>
      </c>
      <c r="D22" s="32" t="s">
        <v>66</v>
      </c>
      <c r="E22" s="150" t="s">
        <v>24</v>
      </c>
      <c r="F22" s="152">
        <f>(((1+G5)*(1+G11)*(1+G13))/(1-G15))-1</f>
        <v>0.19855968482571495</v>
      </c>
      <c r="G22" s="33"/>
      <c r="H22" s="14"/>
    </row>
    <row r="23" spans="2:8" ht="13.5" thickBot="1" x14ac:dyDescent="0.25">
      <c r="B23" s="13"/>
      <c r="C23" s="149"/>
      <c r="D23" s="34" t="s">
        <v>67</v>
      </c>
      <c r="E23" s="151"/>
      <c r="F23" s="153"/>
      <c r="G23" s="33"/>
      <c r="H23" s="14"/>
    </row>
    <row r="24" spans="2:8" ht="13.5" thickBot="1" x14ac:dyDescent="0.25">
      <c r="B24" s="13"/>
      <c r="G24" s="33"/>
      <c r="H24" s="14"/>
    </row>
    <row r="25" spans="2:8" ht="16.5" thickBot="1" x14ac:dyDescent="0.3">
      <c r="B25" s="13"/>
      <c r="E25" s="4" t="s">
        <v>25</v>
      </c>
      <c r="F25" s="8">
        <f>+F22</f>
        <v>0.19855968482571495</v>
      </c>
      <c r="H25" s="14"/>
    </row>
    <row r="26" spans="2:8" x14ac:dyDescent="0.2">
      <c r="B26" s="13"/>
      <c r="F26" s="5"/>
      <c r="H26" s="14"/>
    </row>
    <row r="27" spans="2:8" x14ac:dyDescent="0.2">
      <c r="B27" s="13"/>
      <c r="H27" s="14"/>
    </row>
    <row r="28" spans="2:8" ht="15" x14ac:dyDescent="0.25">
      <c r="B28" s="13"/>
      <c r="C28" s="35" t="s">
        <v>68</v>
      </c>
      <c r="D28" s="35"/>
      <c r="E28" s="35"/>
      <c r="H28" s="14"/>
    </row>
    <row r="29" spans="2:8" ht="15" x14ac:dyDescent="0.25">
      <c r="B29" s="13"/>
      <c r="C29" s="35" t="s">
        <v>69</v>
      </c>
      <c r="D29" s="35"/>
      <c r="E29" s="35"/>
      <c r="H29" s="14"/>
    </row>
    <row r="30" spans="2:8" ht="15" x14ac:dyDescent="0.25">
      <c r="B30" s="13"/>
      <c r="C30" s="35" t="s">
        <v>70</v>
      </c>
      <c r="D30" s="35"/>
      <c r="E30" s="35"/>
      <c r="H30" s="14"/>
    </row>
    <row r="31" spans="2:8" ht="15" x14ac:dyDescent="0.25">
      <c r="B31" s="13"/>
      <c r="C31" s="35" t="s">
        <v>71</v>
      </c>
      <c r="D31" s="35"/>
      <c r="E31" s="35"/>
      <c r="H31" s="14"/>
    </row>
    <row r="32" spans="2:8" ht="15" x14ac:dyDescent="0.25">
      <c r="B32" s="13"/>
      <c r="C32" s="35" t="s">
        <v>72</v>
      </c>
      <c r="D32" s="35"/>
      <c r="E32" s="35"/>
      <c r="H32" s="14"/>
    </row>
    <row r="33" spans="2:8" ht="15" x14ac:dyDescent="0.25">
      <c r="B33" s="13"/>
      <c r="C33" s="35" t="s">
        <v>73</v>
      </c>
      <c r="D33" s="35"/>
      <c r="E33" s="35"/>
      <c r="H33" s="14"/>
    </row>
    <row r="34" spans="2:8" ht="15" x14ac:dyDescent="0.25">
      <c r="B34" s="13"/>
      <c r="C34" s="35" t="s">
        <v>74</v>
      </c>
      <c r="D34" s="35"/>
      <c r="E34" s="35"/>
      <c r="H34" s="14"/>
    </row>
    <row r="35" spans="2:8" ht="15" x14ac:dyDescent="0.25">
      <c r="B35" s="13"/>
      <c r="C35" s="35" t="s">
        <v>75</v>
      </c>
      <c r="H35" s="14"/>
    </row>
    <row r="36" spans="2:8" ht="9.6" customHeight="1" thickBot="1" x14ac:dyDescent="0.25">
      <c r="B36" s="36"/>
      <c r="C36" s="37"/>
      <c r="D36" s="37"/>
      <c r="E36" s="37"/>
      <c r="F36" s="37"/>
      <c r="G36" s="37"/>
      <c r="H36" s="38"/>
    </row>
    <row r="37" spans="2:8" ht="22.35" customHeight="1" x14ac:dyDescent="0.2"/>
    <row r="38" spans="2:8" ht="15" x14ac:dyDescent="0.25">
      <c r="C38" s="35" t="s">
        <v>62</v>
      </c>
    </row>
    <row r="39" spans="2:8" ht="9.6" customHeight="1" x14ac:dyDescent="0.2"/>
    <row r="40" spans="2:8" ht="14.25" x14ac:dyDescent="0.2">
      <c r="C40" s="9" t="s">
        <v>63</v>
      </c>
    </row>
    <row r="41" spans="2:8" ht="27" customHeight="1" x14ac:dyDescent="0.2">
      <c r="C41" s="154" t="s">
        <v>64</v>
      </c>
      <c r="D41" s="154"/>
      <c r="E41" s="154"/>
      <c r="F41" s="154"/>
    </row>
    <row r="42" spans="2:8" ht="43.5" customHeight="1" x14ac:dyDescent="0.2">
      <c r="C42" s="147" t="s">
        <v>65</v>
      </c>
      <c r="D42" s="147"/>
      <c r="E42" s="147"/>
      <c r="F42" s="147"/>
    </row>
    <row r="43" spans="2:8" ht="41.25" customHeight="1" x14ac:dyDescent="0.2">
      <c r="C43" s="147" t="s">
        <v>78</v>
      </c>
      <c r="D43" s="147"/>
      <c r="E43" s="147"/>
      <c r="F43" s="147">
        <v>1.0829</v>
      </c>
    </row>
    <row r="44" spans="2:8" ht="14.25" x14ac:dyDescent="0.2">
      <c r="C44" s="147" t="s">
        <v>77</v>
      </c>
      <c r="D44" s="147"/>
      <c r="E44" s="147"/>
      <c r="F44" s="147"/>
    </row>
    <row r="45" spans="2:8" s="9" customFormat="1" ht="14.25" x14ac:dyDescent="0.2"/>
    <row r="46" spans="2:8" s="9" customFormat="1" ht="14.25" x14ac:dyDescent="0.2"/>
    <row r="47" spans="2:8" s="9" customFormat="1" ht="14.25" x14ac:dyDescent="0.2"/>
    <row r="48" spans="2:8" s="9" customFormat="1" ht="14.25" x14ac:dyDescent="0.2">
      <c r="D48" s="7"/>
    </row>
    <row r="49" spans="1:6" s="9" customFormat="1" ht="14.25" x14ac:dyDescent="0.2">
      <c r="A49" s="7"/>
      <c r="D49" s="7"/>
      <c r="E49" s="7"/>
    </row>
    <row r="50" spans="1:6" s="9" customFormat="1" ht="14.25" x14ac:dyDescent="0.2">
      <c r="B50" s="7"/>
      <c r="C50" s="7"/>
      <c r="D50" s="7"/>
      <c r="E50" s="7"/>
    </row>
    <row r="51" spans="1:6" s="9" customFormat="1" ht="14.25" x14ac:dyDescent="0.2">
      <c r="C51" s="7"/>
      <c r="D51" s="7"/>
      <c r="E51" s="7"/>
    </row>
    <row r="52" spans="1:6" s="9" customFormat="1" ht="14.25" x14ac:dyDescent="0.2"/>
    <row r="53" spans="1:6" s="9" customFormat="1" ht="14.25" x14ac:dyDescent="0.2"/>
    <row r="55" spans="1:6" ht="14.25" x14ac:dyDescent="0.2">
      <c r="D55" s="9"/>
      <c r="E55" s="9"/>
      <c r="F55" s="9"/>
    </row>
  </sheetData>
  <mergeCells count="7">
    <mergeCell ref="C44:F44"/>
    <mergeCell ref="C22:C23"/>
    <mergeCell ref="E22:E23"/>
    <mergeCell ref="F22:F23"/>
    <mergeCell ref="C41:F41"/>
    <mergeCell ref="C42:F42"/>
    <mergeCell ref="C43:F43"/>
  </mergeCells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>
    <oddHeader xml:space="preserve">&amp;RFOLHA &amp;P/ &amp;N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H53"/>
  <sheetViews>
    <sheetView workbookViewId="0">
      <selection activeCell="I51" sqref="I51"/>
    </sheetView>
  </sheetViews>
  <sheetFormatPr defaultColWidth="9" defaultRowHeight="12.75" x14ac:dyDescent="0.2"/>
  <cols>
    <col min="1" max="2" width="2.140625" style="7" customWidth="1"/>
    <col min="3" max="3" width="23" style="7" customWidth="1"/>
    <col min="4" max="4" width="44.140625" style="7" bestFit="1" customWidth="1"/>
    <col min="5" max="5" width="7.140625" style="7" bestFit="1" customWidth="1"/>
    <col min="6" max="6" width="10.140625" style="7" bestFit="1" customWidth="1"/>
    <col min="7" max="7" width="0" style="7" hidden="1" customWidth="1"/>
    <col min="8" max="8" width="3.85546875" style="7" customWidth="1"/>
    <col min="9" max="16384" width="9" style="7"/>
  </cols>
  <sheetData>
    <row r="1" spans="2:8" ht="13.5" thickBot="1" x14ac:dyDescent="0.25"/>
    <row r="2" spans="2:8" x14ac:dyDescent="0.2">
      <c r="B2" s="10"/>
      <c r="C2" s="11"/>
      <c r="D2" s="11"/>
      <c r="E2" s="11"/>
      <c r="F2" s="11"/>
      <c r="G2" s="11"/>
      <c r="H2" s="12"/>
    </row>
    <row r="3" spans="2:8" ht="20.25" x14ac:dyDescent="0.3">
      <c r="B3" s="13"/>
      <c r="C3" s="2" t="s">
        <v>99</v>
      </c>
      <c r="D3" s="3"/>
      <c r="E3" s="3"/>
      <c r="H3" s="14"/>
    </row>
    <row r="4" spans="2:8" ht="15.75" thickBot="1" x14ac:dyDescent="0.25">
      <c r="B4" s="13"/>
      <c r="C4" s="15"/>
      <c r="D4" s="15"/>
      <c r="E4" s="15"/>
      <c r="F4" s="16"/>
      <c r="G4" s="17"/>
      <c r="H4" s="14"/>
    </row>
    <row r="5" spans="2:8" ht="15.75" x14ac:dyDescent="0.25">
      <c r="B5" s="13"/>
      <c r="C5" s="18" t="s">
        <v>11</v>
      </c>
      <c r="D5" s="19"/>
      <c r="E5" s="19"/>
      <c r="F5" s="20">
        <v>4.2900000000000001E-2</v>
      </c>
      <c r="G5" s="17">
        <f t="shared" ref="G5:G20" si="0">F5</f>
        <v>4.2900000000000001E-2</v>
      </c>
      <c r="H5" s="14"/>
    </row>
    <row r="6" spans="2:8" ht="15.75" x14ac:dyDescent="0.25">
      <c r="B6" s="13"/>
      <c r="C6" s="21" t="s">
        <v>12</v>
      </c>
      <c r="D6" s="3"/>
      <c r="E6" s="3"/>
      <c r="F6" s="22">
        <v>0.03</v>
      </c>
      <c r="G6" s="17">
        <f>F6</f>
        <v>0.03</v>
      </c>
      <c r="H6" s="14"/>
    </row>
    <row r="7" spans="2:8" ht="15" x14ac:dyDescent="0.2">
      <c r="B7" s="13"/>
      <c r="C7" s="21" t="s">
        <v>13</v>
      </c>
      <c r="D7" s="15"/>
      <c r="E7" s="15"/>
      <c r="F7" s="22">
        <v>3.5999999999999999E-3</v>
      </c>
      <c r="G7" s="17">
        <f t="shared" si="0"/>
        <v>3.5999999999999999E-3</v>
      </c>
      <c r="H7" s="14"/>
    </row>
    <row r="8" spans="2:8" ht="15" x14ac:dyDescent="0.2">
      <c r="B8" s="13"/>
      <c r="C8" s="21" t="s">
        <v>14</v>
      </c>
      <c r="D8" s="15"/>
      <c r="E8" s="15"/>
      <c r="F8" s="22">
        <v>2E-3</v>
      </c>
      <c r="G8" s="17">
        <f t="shared" si="0"/>
        <v>2E-3</v>
      </c>
      <c r="H8" s="14"/>
    </row>
    <row r="9" spans="2:8" ht="15.75" thickBot="1" x14ac:dyDescent="0.25">
      <c r="B9" s="13"/>
      <c r="C9" s="23" t="s">
        <v>15</v>
      </c>
      <c r="D9" s="24"/>
      <c r="E9" s="24"/>
      <c r="F9" s="25">
        <v>7.3000000000000001E-3</v>
      </c>
      <c r="G9" s="17">
        <f t="shared" si="0"/>
        <v>7.3000000000000001E-3</v>
      </c>
      <c r="H9" s="14"/>
    </row>
    <row r="10" spans="2:8" ht="15.75" thickBot="1" x14ac:dyDescent="0.25">
      <c r="B10" s="13"/>
      <c r="C10" s="15"/>
      <c r="D10" s="15"/>
      <c r="E10" s="15"/>
      <c r="F10" s="16"/>
      <c r="G10" s="17"/>
      <c r="H10" s="14"/>
    </row>
    <row r="11" spans="2:8" ht="16.5" thickBot="1" x14ac:dyDescent="0.3">
      <c r="B11" s="13"/>
      <c r="C11" s="26" t="s">
        <v>16</v>
      </c>
      <c r="D11" s="27"/>
      <c r="E11" s="27"/>
      <c r="F11" s="28">
        <v>0.01</v>
      </c>
      <c r="G11" s="17">
        <f t="shared" si="0"/>
        <v>0.01</v>
      </c>
      <c r="H11" s="14"/>
    </row>
    <row r="12" spans="2:8" ht="15.75" thickBot="1" x14ac:dyDescent="0.25">
      <c r="B12" s="13"/>
      <c r="C12" s="15"/>
      <c r="D12" s="15"/>
      <c r="E12" s="15"/>
      <c r="F12" s="16"/>
      <c r="G12" s="17"/>
      <c r="H12" s="14"/>
    </row>
    <row r="13" spans="2:8" ht="16.5" thickBot="1" x14ac:dyDescent="0.3">
      <c r="B13" s="13"/>
      <c r="C13" s="26" t="s">
        <v>17</v>
      </c>
      <c r="D13" s="27"/>
      <c r="E13" s="27"/>
      <c r="F13" s="28">
        <v>0.05</v>
      </c>
      <c r="G13" s="17">
        <f>F13</f>
        <v>0.05</v>
      </c>
      <c r="H13" s="14"/>
    </row>
    <row r="14" spans="2:8" ht="15.75" thickBot="1" x14ac:dyDescent="0.25">
      <c r="B14" s="13"/>
      <c r="C14" s="15"/>
      <c r="D14" s="15"/>
      <c r="E14" s="15"/>
      <c r="F14" s="16"/>
      <c r="G14" s="17"/>
      <c r="H14" s="14"/>
    </row>
    <row r="15" spans="2:8" ht="15.75" x14ac:dyDescent="0.25">
      <c r="B15" s="13"/>
      <c r="C15" s="18" t="s">
        <v>18</v>
      </c>
      <c r="D15" s="19"/>
      <c r="E15" s="19"/>
      <c r="F15" s="20">
        <v>4.1799999999999997E-2</v>
      </c>
      <c r="G15" s="17">
        <f t="shared" si="0"/>
        <v>4.1799999999999997E-2</v>
      </c>
      <c r="H15" s="14"/>
    </row>
    <row r="16" spans="2:8" ht="15" x14ac:dyDescent="0.2">
      <c r="B16" s="13"/>
      <c r="C16" s="21" t="s">
        <v>19</v>
      </c>
      <c r="D16" s="15"/>
      <c r="E16" s="15"/>
      <c r="F16" s="29">
        <v>6.4999999999999997E-3</v>
      </c>
      <c r="G16" s="17">
        <f t="shared" si="0"/>
        <v>6.4999999999999997E-3</v>
      </c>
      <c r="H16" s="14"/>
    </row>
    <row r="17" spans="2:8" ht="15" x14ac:dyDescent="0.2">
      <c r="B17" s="13"/>
      <c r="C17" s="21" t="s">
        <v>20</v>
      </c>
      <c r="D17" s="15"/>
      <c r="E17" s="15"/>
      <c r="F17" s="29">
        <v>0.03</v>
      </c>
      <c r="G17" s="17">
        <f t="shared" si="0"/>
        <v>0.03</v>
      </c>
      <c r="H17" s="14"/>
    </row>
    <row r="18" spans="2:8" ht="15" x14ac:dyDescent="0.2">
      <c r="B18" s="13"/>
      <c r="C18" s="21" t="s">
        <v>21</v>
      </c>
      <c r="D18" s="15"/>
      <c r="E18" s="15"/>
      <c r="F18" s="29">
        <v>5.3E-3</v>
      </c>
      <c r="G18" s="17"/>
      <c r="H18" s="14"/>
    </row>
    <row r="19" spans="2:8" ht="15.75" thickBot="1" x14ac:dyDescent="0.25">
      <c r="B19" s="13"/>
      <c r="C19" s="23" t="s">
        <v>22</v>
      </c>
      <c r="D19" s="24"/>
      <c r="E19" s="24"/>
      <c r="F19" s="30">
        <v>0</v>
      </c>
      <c r="G19" s="17">
        <f t="shared" si="0"/>
        <v>0</v>
      </c>
      <c r="H19" s="14"/>
    </row>
    <row r="20" spans="2:8" ht="15" x14ac:dyDescent="0.2">
      <c r="B20" s="13"/>
      <c r="C20" s="15"/>
      <c r="D20" s="15"/>
      <c r="E20" s="15"/>
      <c r="F20" s="15"/>
      <c r="G20" s="17">
        <f t="shared" si="0"/>
        <v>0</v>
      </c>
      <c r="H20" s="14"/>
    </row>
    <row r="21" spans="2:8" ht="13.5" thickBot="1" x14ac:dyDescent="0.25">
      <c r="B21" s="13"/>
      <c r="G21" s="31"/>
      <c r="H21" s="14"/>
    </row>
    <row r="22" spans="2:8" x14ac:dyDescent="0.2">
      <c r="B22" s="13"/>
      <c r="C22" s="148" t="s">
        <v>23</v>
      </c>
      <c r="D22" s="32" t="s">
        <v>66</v>
      </c>
      <c r="E22" s="150" t="s">
        <v>24</v>
      </c>
      <c r="F22" s="152">
        <f>(((1+G5)*(1+G11)*(1+G13))/(1-G15))-1</f>
        <v>0.15424279899812143</v>
      </c>
      <c r="G22" s="33"/>
      <c r="H22" s="14"/>
    </row>
    <row r="23" spans="2:8" ht="13.5" thickBot="1" x14ac:dyDescent="0.25">
      <c r="B23" s="13"/>
      <c r="C23" s="149"/>
      <c r="D23" s="34" t="s">
        <v>67</v>
      </c>
      <c r="E23" s="151"/>
      <c r="F23" s="153"/>
      <c r="G23" s="33"/>
      <c r="H23" s="14"/>
    </row>
    <row r="24" spans="2:8" ht="13.5" thickBot="1" x14ac:dyDescent="0.25">
      <c r="B24" s="13"/>
      <c r="G24" s="33"/>
      <c r="H24" s="14"/>
    </row>
    <row r="25" spans="2:8" ht="16.5" thickBot="1" x14ac:dyDescent="0.3">
      <c r="B25" s="13"/>
      <c r="E25" s="4" t="s">
        <v>25</v>
      </c>
      <c r="F25" s="8">
        <f>+F22</f>
        <v>0.15424279899812143</v>
      </c>
      <c r="H25" s="14"/>
    </row>
    <row r="26" spans="2:8" x14ac:dyDescent="0.2">
      <c r="B26" s="13"/>
      <c r="F26" s="5"/>
      <c r="H26" s="14"/>
    </row>
    <row r="27" spans="2:8" x14ac:dyDescent="0.2">
      <c r="B27" s="13"/>
      <c r="H27" s="14"/>
    </row>
    <row r="28" spans="2:8" ht="15" x14ac:dyDescent="0.25">
      <c r="B28" s="13"/>
      <c r="C28" s="35" t="s">
        <v>68</v>
      </c>
      <c r="D28" s="35"/>
      <c r="E28" s="35"/>
      <c r="H28" s="14"/>
    </row>
    <row r="29" spans="2:8" ht="15" x14ac:dyDescent="0.25">
      <c r="B29" s="13"/>
      <c r="C29" s="35" t="s">
        <v>69</v>
      </c>
      <c r="D29" s="35"/>
      <c r="E29" s="35"/>
      <c r="H29" s="14"/>
    </row>
    <row r="30" spans="2:8" ht="15" x14ac:dyDescent="0.25">
      <c r="B30" s="13"/>
      <c r="C30" s="35" t="s">
        <v>70</v>
      </c>
      <c r="D30" s="35"/>
      <c r="E30" s="35"/>
      <c r="H30" s="14"/>
    </row>
    <row r="31" spans="2:8" ht="15" x14ac:dyDescent="0.25">
      <c r="B31" s="13"/>
      <c r="C31" s="35" t="s">
        <v>71</v>
      </c>
      <c r="D31" s="35"/>
      <c r="E31" s="35"/>
      <c r="H31" s="14"/>
    </row>
    <row r="32" spans="2:8" ht="15" x14ac:dyDescent="0.25">
      <c r="B32" s="13"/>
      <c r="C32" s="35" t="s">
        <v>72</v>
      </c>
      <c r="D32" s="35"/>
      <c r="E32" s="35"/>
      <c r="H32" s="14"/>
    </row>
    <row r="33" spans="2:8" ht="15" x14ac:dyDescent="0.25">
      <c r="B33" s="13"/>
      <c r="C33" s="35" t="s">
        <v>73</v>
      </c>
      <c r="D33" s="35"/>
      <c r="E33" s="35"/>
      <c r="H33" s="14"/>
    </row>
    <row r="34" spans="2:8" ht="15" x14ac:dyDescent="0.25">
      <c r="B34" s="13"/>
      <c r="C34" s="35" t="s">
        <v>74</v>
      </c>
      <c r="D34" s="35"/>
      <c r="E34" s="35"/>
      <c r="H34" s="14"/>
    </row>
    <row r="35" spans="2:8" ht="15" x14ac:dyDescent="0.25">
      <c r="B35" s="13"/>
      <c r="C35" s="35" t="s">
        <v>75</v>
      </c>
      <c r="H35" s="14"/>
    </row>
    <row r="36" spans="2:8" ht="9.6" customHeight="1" thickBot="1" x14ac:dyDescent="0.25">
      <c r="B36" s="36"/>
      <c r="C36" s="37"/>
      <c r="D36" s="37"/>
      <c r="E36" s="37"/>
      <c r="F36" s="37"/>
      <c r="G36" s="37"/>
      <c r="H36" s="38"/>
    </row>
    <row r="37" spans="2:8" ht="22.35" customHeight="1" x14ac:dyDescent="0.2"/>
    <row r="38" spans="2:8" ht="15" x14ac:dyDescent="0.25">
      <c r="C38" s="35" t="s">
        <v>62</v>
      </c>
    </row>
    <row r="39" spans="2:8" ht="9.6" customHeight="1" x14ac:dyDescent="0.2"/>
    <row r="40" spans="2:8" ht="14.25" x14ac:dyDescent="0.2">
      <c r="C40" s="9" t="s">
        <v>63</v>
      </c>
    </row>
    <row r="41" spans="2:8" ht="27" customHeight="1" x14ac:dyDescent="0.2">
      <c r="C41" s="154" t="s">
        <v>64</v>
      </c>
      <c r="D41" s="154"/>
      <c r="E41" s="154"/>
      <c r="F41" s="154"/>
    </row>
    <row r="42" spans="2:8" ht="43.5" customHeight="1" x14ac:dyDescent="0.2">
      <c r="C42" s="147" t="s">
        <v>65</v>
      </c>
      <c r="D42" s="147"/>
      <c r="E42" s="147"/>
      <c r="F42" s="147"/>
    </row>
    <row r="43" spans="2:8" ht="41.25" customHeight="1" x14ac:dyDescent="0.2">
      <c r="C43" s="147" t="s">
        <v>78</v>
      </c>
      <c r="D43" s="147"/>
      <c r="E43" s="147"/>
      <c r="F43" s="147">
        <v>1.0829</v>
      </c>
    </row>
    <row r="44" spans="2:8" ht="14.25" x14ac:dyDescent="0.2">
      <c r="C44" s="147" t="s">
        <v>77</v>
      </c>
      <c r="D44" s="147"/>
      <c r="E44" s="147"/>
      <c r="F44" s="147"/>
    </row>
    <row r="45" spans="2:8" s="9" customFormat="1" ht="14.25" x14ac:dyDescent="0.2"/>
    <row r="46" spans="2:8" s="9" customFormat="1" ht="14.25" x14ac:dyDescent="0.2"/>
    <row r="47" spans="2:8" s="9" customFormat="1" ht="14.25" x14ac:dyDescent="0.2"/>
    <row r="49" spans="3:6" ht="14.25" x14ac:dyDescent="0.2">
      <c r="C49" s="9"/>
      <c r="D49" s="9"/>
      <c r="E49" s="9"/>
      <c r="F49" s="9"/>
    </row>
    <row r="50" spans="3:6" ht="14.25" x14ac:dyDescent="0.2">
      <c r="C50" s="9"/>
      <c r="D50" s="9"/>
      <c r="E50" s="9"/>
      <c r="F50" s="9"/>
    </row>
    <row r="51" spans="3:6" ht="14.25" x14ac:dyDescent="0.2">
      <c r="C51" s="9"/>
      <c r="D51" s="9"/>
      <c r="E51" s="9"/>
      <c r="F51" s="9"/>
    </row>
    <row r="52" spans="3:6" ht="14.25" x14ac:dyDescent="0.2">
      <c r="C52" s="9"/>
      <c r="D52" s="9"/>
      <c r="E52" s="9"/>
      <c r="F52" s="9"/>
    </row>
    <row r="53" spans="3:6" ht="14.25" x14ac:dyDescent="0.2">
      <c r="D53" s="9"/>
      <c r="E53" s="9"/>
      <c r="F53" s="9"/>
    </row>
  </sheetData>
  <mergeCells count="7">
    <mergeCell ref="C44:F44"/>
    <mergeCell ref="C22:C23"/>
    <mergeCell ref="E22:E23"/>
    <mergeCell ref="F22:F23"/>
    <mergeCell ref="C41:F41"/>
    <mergeCell ref="C42:F42"/>
    <mergeCell ref="C43:F43"/>
  </mergeCells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>
    <oddHeader xml:space="preserve">&amp;RFOLHA &amp;P/ &amp;N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L20"/>
  <sheetViews>
    <sheetView zoomScale="130" zoomScaleNormal="130" workbookViewId="0">
      <pane ySplit="5" topLeftCell="A6" activePane="bottomLeft" state="frozen"/>
      <selection pane="bottomLeft" activeCell="F25" sqref="F25"/>
    </sheetView>
  </sheetViews>
  <sheetFormatPr defaultRowHeight="16.5" x14ac:dyDescent="0.3"/>
  <cols>
    <col min="1" max="1" width="15.85546875" style="121" customWidth="1"/>
    <col min="2" max="2" width="11.5703125" style="121" bestFit="1" customWidth="1"/>
    <col min="3" max="3" width="9.140625" style="121"/>
    <col min="4" max="4" width="61.140625" style="121" customWidth="1"/>
    <col min="5" max="5" width="9.140625" style="121"/>
    <col min="6" max="6" width="14.140625" style="121" customWidth="1"/>
    <col min="7" max="7" width="12.5703125" style="121" customWidth="1"/>
    <col min="8" max="9" width="12.5703125" style="102" hidden="1" customWidth="1"/>
    <col min="10" max="11" width="12.5703125" style="121" customWidth="1"/>
    <col min="12" max="12" width="12.85546875" style="121" customWidth="1"/>
    <col min="13" max="13" width="9" style="6" customWidth="1"/>
    <col min="14" max="247" width="9.140625" style="6"/>
    <col min="248" max="248" width="13.42578125" style="6" customWidth="1"/>
    <col min="249" max="249" width="9.140625" style="6"/>
    <col min="250" max="250" width="61.140625" style="6" customWidth="1"/>
    <col min="251" max="251" width="9.140625" style="6"/>
    <col min="252" max="252" width="14.140625" style="6" customWidth="1"/>
    <col min="253" max="255" width="12.5703125" style="6" customWidth="1"/>
    <col min="256" max="256" width="12.85546875" style="6" customWidth="1"/>
    <col min="257" max="503" width="9.140625" style="6"/>
    <col min="504" max="504" width="13.42578125" style="6" customWidth="1"/>
    <col min="505" max="505" width="9.140625" style="6"/>
    <col min="506" max="506" width="61.140625" style="6" customWidth="1"/>
    <col min="507" max="507" width="9.140625" style="6"/>
    <col min="508" max="508" width="14.140625" style="6" customWidth="1"/>
    <col min="509" max="511" width="12.5703125" style="6" customWidth="1"/>
    <col min="512" max="512" width="12.85546875" style="6" customWidth="1"/>
    <col min="513" max="759" width="9.140625" style="6"/>
    <col min="760" max="760" width="13.42578125" style="6" customWidth="1"/>
    <col min="761" max="761" width="9.140625" style="6"/>
    <col min="762" max="762" width="61.140625" style="6" customWidth="1"/>
    <col min="763" max="763" width="9.140625" style="6"/>
    <col min="764" max="764" width="14.140625" style="6" customWidth="1"/>
    <col min="765" max="767" width="12.5703125" style="6" customWidth="1"/>
    <col min="768" max="768" width="12.85546875" style="6" customWidth="1"/>
    <col min="769" max="1015" width="9.140625" style="6"/>
    <col min="1016" max="1016" width="13.42578125" style="6" customWidth="1"/>
    <col min="1017" max="1017" width="9.140625" style="6"/>
    <col min="1018" max="1018" width="61.140625" style="6" customWidth="1"/>
    <col min="1019" max="1019" width="9.140625" style="6"/>
    <col min="1020" max="1020" width="14.140625" style="6" customWidth="1"/>
    <col min="1021" max="1023" width="12.5703125" style="6" customWidth="1"/>
    <col min="1024" max="1024" width="12.85546875" style="6" customWidth="1"/>
    <col min="1025" max="1271" width="9.140625" style="6"/>
    <col min="1272" max="1272" width="13.42578125" style="6" customWidth="1"/>
    <col min="1273" max="1273" width="9.140625" style="6"/>
    <col min="1274" max="1274" width="61.140625" style="6" customWidth="1"/>
    <col min="1275" max="1275" width="9.140625" style="6"/>
    <col min="1276" max="1276" width="14.140625" style="6" customWidth="1"/>
    <col min="1277" max="1279" width="12.5703125" style="6" customWidth="1"/>
    <col min="1280" max="1280" width="12.85546875" style="6" customWidth="1"/>
    <col min="1281" max="1527" width="9.140625" style="6"/>
    <col min="1528" max="1528" width="13.42578125" style="6" customWidth="1"/>
    <col min="1529" max="1529" width="9.140625" style="6"/>
    <col min="1530" max="1530" width="61.140625" style="6" customWidth="1"/>
    <col min="1531" max="1531" width="9.140625" style="6"/>
    <col min="1532" max="1532" width="14.140625" style="6" customWidth="1"/>
    <col min="1533" max="1535" width="12.5703125" style="6" customWidth="1"/>
    <col min="1536" max="1536" width="12.85546875" style="6" customWidth="1"/>
    <col min="1537" max="1783" width="9.140625" style="6"/>
    <col min="1784" max="1784" width="13.42578125" style="6" customWidth="1"/>
    <col min="1785" max="1785" width="9.140625" style="6"/>
    <col min="1786" max="1786" width="61.140625" style="6" customWidth="1"/>
    <col min="1787" max="1787" width="9.140625" style="6"/>
    <col min="1788" max="1788" width="14.140625" style="6" customWidth="1"/>
    <col min="1789" max="1791" width="12.5703125" style="6" customWidth="1"/>
    <col min="1792" max="1792" width="12.85546875" style="6" customWidth="1"/>
    <col min="1793" max="2039" width="9.140625" style="6"/>
    <col min="2040" max="2040" width="13.42578125" style="6" customWidth="1"/>
    <col min="2041" max="2041" width="9.140625" style="6"/>
    <col min="2042" max="2042" width="61.140625" style="6" customWidth="1"/>
    <col min="2043" max="2043" width="9.140625" style="6"/>
    <col min="2044" max="2044" width="14.140625" style="6" customWidth="1"/>
    <col min="2045" max="2047" width="12.5703125" style="6" customWidth="1"/>
    <col min="2048" max="2048" width="12.85546875" style="6" customWidth="1"/>
    <col min="2049" max="2295" width="9.140625" style="6"/>
    <col min="2296" max="2296" width="13.42578125" style="6" customWidth="1"/>
    <col min="2297" max="2297" width="9.140625" style="6"/>
    <col min="2298" max="2298" width="61.140625" style="6" customWidth="1"/>
    <col min="2299" max="2299" width="9.140625" style="6"/>
    <col min="2300" max="2300" width="14.140625" style="6" customWidth="1"/>
    <col min="2301" max="2303" width="12.5703125" style="6" customWidth="1"/>
    <col min="2304" max="2304" width="12.85546875" style="6" customWidth="1"/>
    <col min="2305" max="2551" width="9.140625" style="6"/>
    <col min="2552" max="2552" width="13.42578125" style="6" customWidth="1"/>
    <col min="2553" max="2553" width="9.140625" style="6"/>
    <col min="2554" max="2554" width="61.140625" style="6" customWidth="1"/>
    <col min="2555" max="2555" width="9.140625" style="6"/>
    <col min="2556" max="2556" width="14.140625" style="6" customWidth="1"/>
    <col min="2557" max="2559" width="12.5703125" style="6" customWidth="1"/>
    <col min="2560" max="2560" width="12.85546875" style="6" customWidth="1"/>
    <col min="2561" max="2807" width="9.140625" style="6"/>
    <col min="2808" max="2808" width="13.42578125" style="6" customWidth="1"/>
    <col min="2809" max="2809" width="9.140625" style="6"/>
    <col min="2810" max="2810" width="61.140625" style="6" customWidth="1"/>
    <col min="2811" max="2811" width="9.140625" style="6"/>
    <col min="2812" max="2812" width="14.140625" style="6" customWidth="1"/>
    <col min="2813" max="2815" width="12.5703125" style="6" customWidth="1"/>
    <col min="2816" max="2816" width="12.85546875" style="6" customWidth="1"/>
    <col min="2817" max="3063" width="9.140625" style="6"/>
    <col min="3064" max="3064" width="13.42578125" style="6" customWidth="1"/>
    <col min="3065" max="3065" width="9.140625" style="6"/>
    <col min="3066" max="3066" width="61.140625" style="6" customWidth="1"/>
    <col min="3067" max="3067" width="9.140625" style="6"/>
    <col min="3068" max="3068" width="14.140625" style="6" customWidth="1"/>
    <col min="3069" max="3071" width="12.5703125" style="6" customWidth="1"/>
    <col min="3072" max="3072" width="12.85546875" style="6" customWidth="1"/>
    <col min="3073" max="3319" width="9.140625" style="6"/>
    <col min="3320" max="3320" width="13.42578125" style="6" customWidth="1"/>
    <col min="3321" max="3321" width="9.140625" style="6"/>
    <col min="3322" max="3322" width="61.140625" style="6" customWidth="1"/>
    <col min="3323" max="3323" width="9.140625" style="6"/>
    <col min="3324" max="3324" width="14.140625" style="6" customWidth="1"/>
    <col min="3325" max="3327" width="12.5703125" style="6" customWidth="1"/>
    <col min="3328" max="3328" width="12.85546875" style="6" customWidth="1"/>
    <col min="3329" max="3575" width="9.140625" style="6"/>
    <col min="3576" max="3576" width="13.42578125" style="6" customWidth="1"/>
    <col min="3577" max="3577" width="9.140625" style="6"/>
    <col min="3578" max="3578" width="61.140625" style="6" customWidth="1"/>
    <col min="3579" max="3579" width="9.140625" style="6"/>
    <col min="3580" max="3580" width="14.140625" style="6" customWidth="1"/>
    <col min="3581" max="3583" width="12.5703125" style="6" customWidth="1"/>
    <col min="3584" max="3584" width="12.85546875" style="6" customWidth="1"/>
    <col min="3585" max="3831" width="9.140625" style="6"/>
    <col min="3832" max="3832" width="13.42578125" style="6" customWidth="1"/>
    <col min="3833" max="3833" width="9.140625" style="6"/>
    <col min="3834" max="3834" width="61.140625" style="6" customWidth="1"/>
    <col min="3835" max="3835" width="9.140625" style="6"/>
    <col min="3836" max="3836" width="14.140625" style="6" customWidth="1"/>
    <col min="3837" max="3839" width="12.5703125" style="6" customWidth="1"/>
    <col min="3840" max="3840" width="12.85546875" style="6" customWidth="1"/>
    <col min="3841" max="4087" width="9.140625" style="6"/>
    <col min="4088" max="4088" width="13.42578125" style="6" customWidth="1"/>
    <col min="4089" max="4089" width="9.140625" style="6"/>
    <col min="4090" max="4090" width="61.140625" style="6" customWidth="1"/>
    <col min="4091" max="4091" width="9.140625" style="6"/>
    <col min="4092" max="4092" width="14.140625" style="6" customWidth="1"/>
    <col min="4093" max="4095" width="12.5703125" style="6" customWidth="1"/>
    <col min="4096" max="4096" width="12.85546875" style="6" customWidth="1"/>
    <col min="4097" max="4343" width="9.140625" style="6"/>
    <col min="4344" max="4344" width="13.42578125" style="6" customWidth="1"/>
    <col min="4345" max="4345" width="9.140625" style="6"/>
    <col min="4346" max="4346" width="61.140625" style="6" customWidth="1"/>
    <col min="4347" max="4347" width="9.140625" style="6"/>
    <col min="4348" max="4348" width="14.140625" style="6" customWidth="1"/>
    <col min="4349" max="4351" width="12.5703125" style="6" customWidth="1"/>
    <col min="4352" max="4352" width="12.85546875" style="6" customWidth="1"/>
    <col min="4353" max="4599" width="9.140625" style="6"/>
    <col min="4600" max="4600" width="13.42578125" style="6" customWidth="1"/>
    <col min="4601" max="4601" width="9.140625" style="6"/>
    <col min="4602" max="4602" width="61.140625" style="6" customWidth="1"/>
    <col min="4603" max="4603" width="9.140625" style="6"/>
    <col min="4604" max="4604" width="14.140625" style="6" customWidth="1"/>
    <col min="4605" max="4607" width="12.5703125" style="6" customWidth="1"/>
    <col min="4608" max="4608" width="12.85546875" style="6" customWidth="1"/>
    <col min="4609" max="4855" width="9.140625" style="6"/>
    <col min="4856" max="4856" width="13.42578125" style="6" customWidth="1"/>
    <col min="4857" max="4857" width="9.140625" style="6"/>
    <col min="4858" max="4858" width="61.140625" style="6" customWidth="1"/>
    <col min="4859" max="4859" width="9.140625" style="6"/>
    <col min="4860" max="4860" width="14.140625" style="6" customWidth="1"/>
    <col min="4861" max="4863" width="12.5703125" style="6" customWidth="1"/>
    <col min="4864" max="4864" width="12.85546875" style="6" customWidth="1"/>
    <col min="4865" max="5111" width="9.140625" style="6"/>
    <col min="5112" max="5112" width="13.42578125" style="6" customWidth="1"/>
    <col min="5113" max="5113" width="9.140625" style="6"/>
    <col min="5114" max="5114" width="61.140625" style="6" customWidth="1"/>
    <col min="5115" max="5115" width="9.140625" style="6"/>
    <col min="5116" max="5116" width="14.140625" style="6" customWidth="1"/>
    <col min="5117" max="5119" width="12.5703125" style="6" customWidth="1"/>
    <col min="5120" max="5120" width="12.85546875" style="6" customWidth="1"/>
    <col min="5121" max="5367" width="9.140625" style="6"/>
    <col min="5368" max="5368" width="13.42578125" style="6" customWidth="1"/>
    <col min="5369" max="5369" width="9.140625" style="6"/>
    <col min="5370" max="5370" width="61.140625" style="6" customWidth="1"/>
    <col min="5371" max="5371" width="9.140625" style="6"/>
    <col min="5372" max="5372" width="14.140625" style="6" customWidth="1"/>
    <col min="5373" max="5375" width="12.5703125" style="6" customWidth="1"/>
    <col min="5376" max="5376" width="12.85546875" style="6" customWidth="1"/>
    <col min="5377" max="5623" width="9.140625" style="6"/>
    <col min="5624" max="5624" width="13.42578125" style="6" customWidth="1"/>
    <col min="5625" max="5625" width="9.140625" style="6"/>
    <col min="5626" max="5626" width="61.140625" style="6" customWidth="1"/>
    <col min="5627" max="5627" width="9.140625" style="6"/>
    <col min="5628" max="5628" width="14.140625" style="6" customWidth="1"/>
    <col min="5629" max="5631" width="12.5703125" style="6" customWidth="1"/>
    <col min="5632" max="5632" width="12.85546875" style="6" customWidth="1"/>
    <col min="5633" max="5879" width="9.140625" style="6"/>
    <col min="5880" max="5880" width="13.42578125" style="6" customWidth="1"/>
    <col min="5881" max="5881" width="9.140625" style="6"/>
    <col min="5882" max="5882" width="61.140625" style="6" customWidth="1"/>
    <col min="5883" max="5883" width="9.140625" style="6"/>
    <col min="5884" max="5884" width="14.140625" style="6" customWidth="1"/>
    <col min="5885" max="5887" width="12.5703125" style="6" customWidth="1"/>
    <col min="5888" max="5888" width="12.85546875" style="6" customWidth="1"/>
    <col min="5889" max="6135" width="9.140625" style="6"/>
    <col min="6136" max="6136" width="13.42578125" style="6" customWidth="1"/>
    <col min="6137" max="6137" width="9.140625" style="6"/>
    <col min="6138" max="6138" width="61.140625" style="6" customWidth="1"/>
    <col min="6139" max="6139" width="9.140625" style="6"/>
    <col min="6140" max="6140" width="14.140625" style="6" customWidth="1"/>
    <col min="6141" max="6143" width="12.5703125" style="6" customWidth="1"/>
    <col min="6144" max="6144" width="12.85546875" style="6" customWidth="1"/>
    <col min="6145" max="6391" width="9.140625" style="6"/>
    <col min="6392" max="6392" width="13.42578125" style="6" customWidth="1"/>
    <col min="6393" max="6393" width="9.140625" style="6"/>
    <col min="6394" max="6394" width="61.140625" style="6" customWidth="1"/>
    <col min="6395" max="6395" width="9.140625" style="6"/>
    <col min="6396" max="6396" width="14.140625" style="6" customWidth="1"/>
    <col min="6397" max="6399" width="12.5703125" style="6" customWidth="1"/>
    <col min="6400" max="6400" width="12.85546875" style="6" customWidth="1"/>
    <col min="6401" max="6647" width="9.140625" style="6"/>
    <col min="6648" max="6648" width="13.42578125" style="6" customWidth="1"/>
    <col min="6649" max="6649" width="9.140625" style="6"/>
    <col min="6650" max="6650" width="61.140625" style="6" customWidth="1"/>
    <col min="6651" max="6651" width="9.140625" style="6"/>
    <col min="6652" max="6652" width="14.140625" style="6" customWidth="1"/>
    <col min="6653" max="6655" width="12.5703125" style="6" customWidth="1"/>
    <col min="6656" max="6656" width="12.85546875" style="6" customWidth="1"/>
    <col min="6657" max="6903" width="9.140625" style="6"/>
    <col min="6904" max="6904" width="13.42578125" style="6" customWidth="1"/>
    <col min="6905" max="6905" width="9.140625" style="6"/>
    <col min="6906" max="6906" width="61.140625" style="6" customWidth="1"/>
    <col min="6907" max="6907" width="9.140625" style="6"/>
    <col min="6908" max="6908" width="14.140625" style="6" customWidth="1"/>
    <col min="6909" max="6911" width="12.5703125" style="6" customWidth="1"/>
    <col min="6912" max="6912" width="12.85546875" style="6" customWidth="1"/>
    <col min="6913" max="7159" width="9.140625" style="6"/>
    <col min="7160" max="7160" width="13.42578125" style="6" customWidth="1"/>
    <col min="7161" max="7161" width="9.140625" style="6"/>
    <col min="7162" max="7162" width="61.140625" style="6" customWidth="1"/>
    <col min="7163" max="7163" width="9.140625" style="6"/>
    <col min="7164" max="7164" width="14.140625" style="6" customWidth="1"/>
    <col min="7165" max="7167" width="12.5703125" style="6" customWidth="1"/>
    <col min="7168" max="7168" width="12.85546875" style="6" customWidth="1"/>
    <col min="7169" max="7415" width="9.140625" style="6"/>
    <col min="7416" max="7416" width="13.42578125" style="6" customWidth="1"/>
    <col min="7417" max="7417" width="9.140625" style="6"/>
    <col min="7418" max="7418" width="61.140625" style="6" customWidth="1"/>
    <col min="7419" max="7419" width="9.140625" style="6"/>
    <col min="7420" max="7420" width="14.140625" style="6" customWidth="1"/>
    <col min="7421" max="7423" width="12.5703125" style="6" customWidth="1"/>
    <col min="7424" max="7424" width="12.85546875" style="6" customWidth="1"/>
    <col min="7425" max="7671" width="9.140625" style="6"/>
    <col min="7672" max="7672" width="13.42578125" style="6" customWidth="1"/>
    <col min="7673" max="7673" width="9.140625" style="6"/>
    <col min="7674" max="7674" width="61.140625" style="6" customWidth="1"/>
    <col min="7675" max="7675" width="9.140625" style="6"/>
    <col min="7676" max="7676" width="14.140625" style="6" customWidth="1"/>
    <col min="7677" max="7679" width="12.5703125" style="6" customWidth="1"/>
    <col min="7680" max="7680" width="12.85546875" style="6" customWidth="1"/>
    <col min="7681" max="7927" width="9.140625" style="6"/>
    <col min="7928" max="7928" width="13.42578125" style="6" customWidth="1"/>
    <col min="7929" max="7929" width="9.140625" style="6"/>
    <col min="7930" max="7930" width="61.140625" style="6" customWidth="1"/>
    <col min="7931" max="7931" width="9.140625" style="6"/>
    <col min="7932" max="7932" width="14.140625" style="6" customWidth="1"/>
    <col min="7933" max="7935" width="12.5703125" style="6" customWidth="1"/>
    <col min="7936" max="7936" width="12.85546875" style="6" customWidth="1"/>
    <col min="7937" max="8183" width="9.140625" style="6"/>
    <col min="8184" max="8184" width="13.42578125" style="6" customWidth="1"/>
    <col min="8185" max="8185" width="9.140625" style="6"/>
    <col min="8186" max="8186" width="61.140625" style="6" customWidth="1"/>
    <col min="8187" max="8187" width="9.140625" style="6"/>
    <col min="8188" max="8188" width="14.140625" style="6" customWidth="1"/>
    <col min="8189" max="8191" width="12.5703125" style="6" customWidth="1"/>
    <col min="8192" max="8192" width="12.85546875" style="6" customWidth="1"/>
    <col min="8193" max="8439" width="9.140625" style="6"/>
    <col min="8440" max="8440" width="13.42578125" style="6" customWidth="1"/>
    <col min="8441" max="8441" width="9.140625" style="6"/>
    <col min="8442" max="8442" width="61.140625" style="6" customWidth="1"/>
    <col min="8443" max="8443" width="9.140625" style="6"/>
    <col min="8444" max="8444" width="14.140625" style="6" customWidth="1"/>
    <col min="8445" max="8447" width="12.5703125" style="6" customWidth="1"/>
    <col min="8448" max="8448" width="12.85546875" style="6" customWidth="1"/>
    <col min="8449" max="8695" width="9.140625" style="6"/>
    <col min="8696" max="8696" width="13.42578125" style="6" customWidth="1"/>
    <col min="8697" max="8697" width="9.140625" style="6"/>
    <col min="8698" max="8698" width="61.140625" style="6" customWidth="1"/>
    <col min="8699" max="8699" width="9.140625" style="6"/>
    <col min="8700" max="8700" width="14.140625" style="6" customWidth="1"/>
    <col min="8701" max="8703" width="12.5703125" style="6" customWidth="1"/>
    <col min="8704" max="8704" width="12.85546875" style="6" customWidth="1"/>
    <col min="8705" max="8951" width="9.140625" style="6"/>
    <col min="8952" max="8952" width="13.42578125" style="6" customWidth="1"/>
    <col min="8953" max="8953" width="9.140625" style="6"/>
    <col min="8954" max="8954" width="61.140625" style="6" customWidth="1"/>
    <col min="8955" max="8955" width="9.140625" style="6"/>
    <col min="8956" max="8956" width="14.140625" style="6" customWidth="1"/>
    <col min="8957" max="8959" width="12.5703125" style="6" customWidth="1"/>
    <col min="8960" max="8960" width="12.85546875" style="6" customWidth="1"/>
    <col min="8961" max="9207" width="9.140625" style="6"/>
    <col min="9208" max="9208" width="13.42578125" style="6" customWidth="1"/>
    <col min="9209" max="9209" width="9.140625" style="6"/>
    <col min="9210" max="9210" width="61.140625" style="6" customWidth="1"/>
    <col min="9211" max="9211" width="9.140625" style="6"/>
    <col min="9212" max="9212" width="14.140625" style="6" customWidth="1"/>
    <col min="9213" max="9215" width="12.5703125" style="6" customWidth="1"/>
    <col min="9216" max="9216" width="12.85546875" style="6" customWidth="1"/>
    <col min="9217" max="9463" width="9.140625" style="6"/>
    <col min="9464" max="9464" width="13.42578125" style="6" customWidth="1"/>
    <col min="9465" max="9465" width="9.140625" style="6"/>
    <col min="9466" max="9466" width="61.140625" style="6" customWidth="1"/>
    <col min="9467" max="9467" width="9.140625" style="6"/>
    <col min="9468" max="9468" width="14.140625" style="6" customWidth="1"/>
    <col min="9469" max="9471" width="12.5703125" style="6" customWidth="1"/>
    <col min="9472" max="9472" width="12.85546875" style="6" customWidth="1"/>
    <col min="9473" max="9719" width="9.140625" style="6"/>
    <col min="9720" max="9720" width="13.42578125" style="6" customWidth="1"/>
    <col min="9721" max="9721" width="9.140625" style="6"/>
    <col min="9722" max="9722" width="61.140625" style="6" customWidth="1"/>
    <col min="9723" max="9723" width="9.140625" style="6"/>
    <col min="9724" max="9724" width="14.140625" style="6" customWidth="1"/>
    <col min="9725" max="9727" width="12.5703125" style="6" customWidth="1"/>
    <col min="9728" max="9728" width="12.85546875" style="6" customWidth="1"/>
    <col min="9729" max="9975" width="9.140625" style="6"/>
    <col min="9976" max="9976" width="13.42578125" style="6" customWidth="1"/>
    <col min="9977" max="9977" width="9.140625" style="6"/>
    <col min="9978" max="9978" width="61.140625" style="6" customWidth="1"/>
    <col min="9979" max="9979" width="9.140625" style="6"/>
    <col min="9980" max="9980" width="14.140625" style="6" customWidth="1"/>
    <col min="9981" max="9983" width="12.5703125" style="6" customWidth="1"/>
    <col min="9984" max="9984" width="12.85546875" style="6" customWidth="1"/>
    <col min="9985" max="10231" width="9.140625" style="6"/>
    <col min="10232" max="10232" width="13.42578125" style="6" customWidth="1"/>
    <col min="10233" max="10233" width="9.140625" style="6"/>
    <col min="10234" max="10234" width="61.140625" style="6" customWidth="1"/>
    <col min="10235" max="10235" width="9.140625" style="6"/>
    <col min="10236" max="10236" width="14.140625" style="6" customWidth="1"/>
    <col min="10237" max="10239" width="12.5703125" style="6" customWidth="1"/>
    <col min="10240" max="10240" width="12.85546875" style="6" customWidth="1"/>
    <col min="10241" max="10487" width="9.140625" style="6"/>
    <col min="10488" max="10488" width="13.42578125" style="6" customWidth="1"/>
    <col min="10489" max="10489" width="9.140625" style="6"/>
    <col min="10490" max="10490" width="61.140625" style="6" customWidth="1"/>
    <col min="10491" max="10491" width="9.140625" style="6"/>
    <col min="10492" max="10492" width="14.140625" style="6" customWidth="1"/>
    <col min="10493" max="10495" width="12.5703125" style="6" customWidth="1"/>
    <col min="10496" max="10496" width="12.85546875" style="6" customWidth="1"/>
    <col min="10497" max="10743" width="9.140625" style="6"/>
    <col min="10744" max="10744" width="13.42578125" style="6" customWidth="1"/>
    <col min="10745" max="10745" width="9.140625" style="6"/>
    <col min="10746" max="10746" width="61.140625" style="6" customWidth="1"/>
    <col min="10747" max="10747" width="9.140625" style="6"/>
    <col min="10748" max="10748" width="14.140625" style="6" customWidth="1"/>
    <col min="10749" max="10751" width="12.5703125" style="6" customWidth="1"/>
    <col min="10752" max="10752" width="12.85546875" style="6" customWidth="1"/>
    <col min="10753" max="10999" width="9.140625" style="6"/>
    <col min="11000" max="11000" width="13.42578125" style="6" customWidth="1"/>
    <col min="11001" max="11001" width="9.140625" style="6"/>
    <col min="11002" max="11002" width="61.140625" style="6" customWidth="1"/>
    <col min="11003" max="11003" width="9.140625" style="6"/>
    <col min="11004" max="11004" width="14.140625" style="6" customWidth="1"/>
    <col min="11005" max="11007" width="12.5703125" style="6" customWidth="1"/>
    <col min="11008" max="11008" width="12.85546875" style="6" customWidth="1"/>
    <col min="11009" max="11255" width="9.140625" style="6"/>
    <col min="11256" max="11256" width="13.42578125" style="6" customWidth="1"/>
    <col min="11257" max="11257" width="9.140625" style="6"/>
    <col min="11258" max="11258" width="61.140625" style="6" customWidth="1"/>
    <col min="11259" max="11259" width="9.140625" style="6"/>
    <col min="11260" max="11260" width="14.140625" style="6" customWidth="1"/>
    <col min="11261" max="11263" width="12.5703125" style="6" customWidth="1"/>
    <col min="11264" max="11264" width="12.85546875" style="6" customWidth="1"/>
    <col min="11265" max="11511" width="9.140625" style="6"/>
    <col min="11512" max="11512" width="13.42578125" style="6" customWidth="1"/>
    <col min="11513" max="11513" width="9.140625" style="6"/>
    <col min="11514" max="11514" width="61.140625" style="6" customWidth="1"/>
    <col min="11515" max="11515" width="9.140625" style="6"/>
    <col min="11516" max="11516" width="14.140625" style="6" customWidth="1"/>
    <col min="11517" max="11519" width="12.5703125" style="6" customWidth="1"/>
    <col min="11520" max="11520" width="12.85546875" style="6" customWidth="1"/>
    <col min="11521" max="11767" width="9.140625" style="6"/>
    <col min="11768" max="11768" width="13.42578125" style="6" customWidth="1"/>
    <col min="11769" max="11769" width="9.140625" style="6"/>
    <col min="11770" max="11770" width="61.140625" style="6" customWidth="1"/>
    <col min="11771" max="11771" width="9.140625" style="6"/>
    <col min="11772" max="11772" width="14.140625" style="6" customWidth="1"/>
    <col min="11773" max="11775" width="12.5703125" style="6" customWidth="1"/>
    <col min="11776" max="11776" width="12.85546875" style="6" customWidth="1"/>
    <col min="11777" max="12023" width="9.140625" style="6"/>
    <col min="12024" max="12024" width="13.42578125" style="6" customWidth="1"/>
    <col min="12025" max="12025" width="9.140625" style="6"/>
    <col min="12026" max="12026" width="61.140625" style="6" customWidth="1"/>
    <col min="12027" max="12027" width="9.140625" style="6"/>
    <col min="12028" max="12028" width="14.140625" style="6" customWidth="1"/>
    <col min="12029" max="12031" width="12.5703125" style="6" customWidth="1"/>
    <col min="12032" max="12032" width="12.85546875" style="6" customWidth="1"/>
    <col min="12033" max="12279" width="9.140625" style="6"/>
    <col min="12280" max="12280" width="13.42578125" style="6" customWidth="1"/>
    <col min="12281" max="12281" width="9.140625" style="6"/>
    <col min="12282" max="12282" width="61.140625" style="6" customWidth="1"/>
    <col min="12283" max="12283" width="9.140625" style="6"/>
    <col min="12284" max="12284" width="14.140625" style="6" customWidth="1"/>
    <col min="12285" max="12287" width="12.5703125" style="6" customWidth="1"/>
    <col min="12288" max="12288" width="12.85546875" style="6" customWidth="1"/>
    <col min="12289" max="12535" width="9.140625" style="6"/>
    <col min="12536" max="12536" width="13.42578125" style="6" customWidth="1"/>
    <col min="12537" max="12537" width="9.140625" style="6"/>
    <col min="12538" max="12538" width="61.140625" style="6" customWidth="1"/>
    <col min="12539" max="12539" width="9.140625" style="6"/>
    <col min="12540" max="12540" width="14.140625" style="6" customWidth="1"/>
    <col min="12541" max="12543" width="12.5703125" style="6" customWidth="1"/>
    <col min="12544" max="12544" width="12.85546875" style="6" customWidth="1"/>
    <col min="12545" max="12791" width="9.140625" style="6"/>
    <col min="12792" max="12792" width="13.42578125" style="6" customWidth="1"/>
    <col min="12793" max="12793" width="9.140625" style="6"/>
    <col min="12794" max="12794" width="61.140625" style="6" customWidth="1"/>
    <col min="12795" max="12795" width="9.140625" style="6"/>
    <col min="12796" max="12796" width="14.140625" style="6" customWidth="1"/>
    <col min="12797" max="12799" width="12.5703125" style="6" customWidth="1"/>
    <col min="12800" max="12800" width="12.85546875" style="6" customWidth="1"/>
    <col min="12801" max="13047" width="9.140625" style="6"/>
    <col min="13048" max="13048" width="13.42578125" style="6" customWidth="1"/>
    <col min="13049" max="13049" width="9.140625" style="6"/>
    <col min="13050" max="13050" width="61.140625" style="6" customWidth="1"/>
    <col min="13051" max="13051" width="9.140625" style="6"/>
    <col min="13052" max="13052" width="14.140625" style="6" customWidth="1"/>
    <col min="13053" max="13055" width="12.5703125" style="6" customWidth="1"/>
    <col min="13056" max="13056" width="12.85546875" style="6" customWidth="1"/>
    <col min="13057" max="13303" width="9.140625" style="6"/>
    <col min="13304" max="13304" width="13.42578125" style="6" customWidth="1"/>
    <col min="13305" max="13305" width="9.140625" style="6"/>
    <col min="13306" max="13306" width="61.140625" style="6" customWidth="1"/>
    <col min="13307" max="13307" width="9.140625" style="6"/>
    <col min="13308" max="13308" width="14.140625" style="6" customWidth="1"/>
    <col min="13309" max="13311" width="12.5703125" style="6" customWidth="1"/>
    <col min="13312" max="13312" width="12.85546875" style="6" customWidth="1"/>
    <col min="13313" max="13559" width="9.140625" style="6"/>
    <col min="13560" max="13560" width="13.42578125" style="6" customWidth="1"/>
    <col min="13561" max="13561" width="9.140625" style="6"/>
    <col min="13562" max="13562" width="61.140625" style="6" customWidth="1"/>
    <col min="13563" max="13563" width="9.140625" style="6"/>
    <col min="13564" max="13564" width="14.140625" style="6" customWidth="1"/>
    <col min="13565" max="13567" width="12.5703125" style="6" customWidth="1"/>
    <col min="13568" max="13568" width="12.85546875" style="6" customWidth="1"/>
    <col min="13569" max="13815" width="9.140625" style="6"/>
    <col min="13816" max="13816" width="13.42578125" style="6" customWidth="1"/>
    <col min="13817" max="13817" width="9.140625" style="6"/>
    <col min="13818" max="13818" width="61.140625" style="6" customWidth="1"/>
    <col min="13819" max="13819" width="9.140625" style="6"/>
    <col min="13820" max="13820" width="14.140625" style="6" customWidth="1"/>
    <col min="13821" max="13823" width="12.5703125" style="6" customWidth="1"/>
    <col min="13824" max="13824" width="12.85546875" style="6" customWidth="1"/>
    <col min="13825" max="14071" width="9.140625" style="6"/>
    <col min="14072" max="14072" width="13.42578125" style="6" customWidth="1"/>
    <col min="14073" max="14073" width="9.140625" style="6"/>
    <col min="14074" max="14074" width="61.140625" style="6" customWidth="1"/>
    <col min="14075" max="14075" width="9.140625" style="6"/>
    <col min="14076" max="14076" width="14.140625" style="6" customWidth="1"/>
    <col min="14077" max="14079" width="12.5703125" style="6" customWidth="1"/>
    <col min="14080" max="14080" width="12.85546875" style="6" customWidth="1"/>
    <col min="14081" max="14327" width="9.140625" style="6"/>
    <col min="14328" max="14328" width="13.42578125" style="6" customWidth="1"/>
    <col min="14329" max="14329" width="9.140625" style="6"/>
    <col min="14330" max="14330" width="61.140625" style="6" customWidth="1"/>
    <col min="14331" max="14331" width="9.140625" style="6"/>
    <col min="14332" max="14332" width="14.140625" style="6" customWidth="1"/>
    <col min="14333" max="14335" width="12.5703125" style="6" customWidth="1"/>
    <col min="14336" max="14336" width="12.85546875" style="6" customWidth="1"/>
    <col min="14337" max="14583" width="9.140625" style="6"/>
    <col min="14584" max="14584" width="13.42578125" style="6" customWidth="1"/>
    <col min="14585" max="14585" width="9.140625" style="6"/>
    <col min="14586" max="14586" width="61.140625" style="6" customWidth="1"/>
    <col min="14587" max="14587" width="9.140625" style="6"/>
    <col min="14588" max="14588" width="14.140625" style="6" customWidth="1"/>
    <col min="14589" max="14591" width="12.5703125" style="6" customWidth="1"/>
    <col min="14592" max="14592" width="12.85546875" style="6" customWidth="1"/>
    <col min="14593" max="14839" width="9.140625" style="6"/>
    <col min="14840" max="14840" width="13.42578125" style="6" customWidth="1"/>
    <col min="14841" max="14841" width="9.140625" style="6"/>
    <col min="14842" max="14842" width="61.140625" style="6" customWidth="1"/>
    <col min="14843" max="14843" width="9.140625" style="6"/>
    <col min="14844" max="14844" width="14.140625" style="6" customWidth="1"/>
    <col min="14845" max="14847" width="12.5703125" style="6" customWidth="1"/>
    <col min="14848" max="14848" width="12.85546875" style="6" customWidth="1"/>
    <col min="14849" max="15095" width="9.140625" style="6"/>
    <col min="15096" max="15096" width="13.42578125" style="6" customWidth="1"/>
    <col min="15097" max="15097" width="9.140625" style="6"/>
    <col min="15098" max="15098" width="61.140625" style="6" customWidth="1"/>
    <col min="15099" max="15099" width="9.140625" style="6"/>
    <col min="15100" max="15100" width="14.140625" style="6" customWidth="1"/>
    <col min="15101" max="15103" width="12.5703125" style="6" customWidth="1"/>
    <col min="15104" max="15104" width="12.85546875" style="6" customWidth="1"/>
    <col min="15105" max="15351" width="9.140625" style="6"/>
    <col min="15352" max="15352" width="13.42578125" style="6" customWidth="1"/>
    <col min="15353" max="15353" width="9.140625" style="6"/>
    <col min="15354" max="15354" width="61.140625" style="6" customWidth="1"/>
    <col min="15355" max="15355" width="9.140625" style="6"/>
    <col min="15356" max="15356" width="14.140625" style="6" customWidth="1"/>
    <col min="15357" max="15359" width="12.5703125" style="6" customWidth="1"/>
    <col min="15360" max="15360" width="12.85546875" style="6" customWidth="1"/>
    <col min="15361" max="15607" width="9.140625" style="6"/>
    <col min="15608" max="15608" width="13.42578125" style="6" customWidth="1"/>
    <col min="15609" max="15609" width="9.140625" style="6"/>
    <col min="15610" max="15610" width="61.140625" style="6" customWidth="1"/>
    <col min="15611" max="15611" width="9.140625" style="6"/>
    <col min="15612" max="15612" width="14.140625" style="6" customWidth="1"/>
    <col min="15613" max="15615" width="12.5703125" style="6" customWidth="1"/>
    <col min="15616" max="15616" width="12.85546875" style="6" customWidth="1"/>
    <col min="15617" max="15863" width="9.140625" style="6"/>
    <col min="15864" max="15864" width="13.42578125" style="6" customWidth="1"/>
    <col min="15865" max="15865" width="9.140625" style="6"/>
    <col min="15866" max="15866" width="61.140625" style="6" customWidth="1"/>
    <col min="15867" max="15867" width="9.140625" style="6"/>
    <col min="15868" max="15868" width="14.140625" style="6" customWidth="1"/>
    <col min="15869" max="15871" width="12.5703125" style="6" customWidth="1"/>
    <col min="15872" max="15872" width="12.85546875" style="6" customWidth="1"/>
    <col min="15873" max="16119" width="9.140625" style="6"/>
    <col min="16120" max="16120" width="13.42578125" style="6" customWidth="1"/>
    <col min="16121" max="16121" width="9.140625" style="6"/>
    <col min="16122" max="16122" width="61.140625" style="6" customWidth="1"/>
    <col min="16123" max="16123" width="9.140625" style="6"/>
    <col min="16124" max="16124" width="14.140625" style="6" customWidth="1"/>
    <col min="16125" max="16127" width="12.5703125" style="6" customWidth="1"/>
    <col min="16128" max="16128" width="12.85546875" style="6" customWidth="1"/>
    <col min="16129" max="16372" width="9.140625" style="6"/>
    <col min="16373" max="16384" width="9" style="6" customWidth="1"/>
  </cols>
  <sheetData>
    <row r="1" spans="1:12" s="1" customFormat="1" ht="18.95" customHeight="1" x14ac:dyDescent="0.2">
      <c r="A1" s="87" t="s">
        <v>1</v>
      </c>
      <c r="B1" s="88"/>
      <c r="C1" s="89"/>
      <c r="D1" s="89"/>
      <c r="E1" s="90"/>
      <c r="F1" s="88"/>
      <c r="G1" s="88"/>
      <c r="H1" s="91"/>
      <c r="I1" s="91"/>
      <c r="J1" s="91"/>
      <c r="K1" s="92"/>
      <c r="L1" s="122"/>
    </row>
    <row r="2" spans="1:12" s="1" customFormat="1" ht="14.1" customHeight="1" x14ac:dyDescent="0.2">
      <c r="A2" s="95" t="s">
        <v>34</v>
      </c>
      <c r="B2" s="131" t="s">
        <v>104</v>
      </c>
      <c r="C2" s="131"/>
      <c r="D2" s="131"/>
      <c r="E2" s="131"/>
      <c r="F2" s="131"/>
      <c r="G2" s="131"/>
      <c r="H2" s="131"/>
      <c r="I2" s="131"/>
      <c r="J2" s="131"/>
      <c r="K2" s="85"/>
      <c r="L2" s="96" t="s">
        <v>33</v>
      </c>
    </row>
    <row r="3" spans="1:12" s="1" customFormat="1" ht="14.1" customHeight="1" thickBot="1" x14ac:dyDescent="0.25">
      <c r="A3" s="97" t="s">
        <v>35</v>
      </c>
      <c r="B3" s="132" t="s">
        <v>93</v>
      </c>
      <c r="C3" s="132"/>
      <c r="D3" s="132"/>
      <c r="E3" s="132"/>
      <c r="F3" s="133" t="s">
        <v>108</v>
      </c>
      <c r="G3" s="133"/>
      <c r="H3" s="133"/>
      <c r="I3" s="133"/>
      <c r="J3" s="133"/>
      <c r="K3" s="133"/>
      <c r="L3" s="134"/>
    </row>
    <row r="4" spans="1:12" ht="10.5" customHeight="1" x14ac:dyDescent="0.3">
      <c r="A4" s="101"/>
      <c r="B4" s="101"/>
      <c r="C4" s="101"/>
      <c r="D4" s="101"/>
      <c r="E4" s="101"/>
      <c r="F4" s="101"/>
      <c r="G4" s="101"/>
      <c r="J4" s="101"/>
      <c r="K4" s="101"/>
      <c r="L4" s="101"/>
    </row>
    <row r="5" spans="1:12" s="39" customFormat="1" ht="23.1" customHeight="1" x14ac:dyDescent="0.2">
      <c r="A5" s="72" t="s">
        <v>39</v>
      </c>
      <c r="B5" s="123" t="s">
        <v>55</v>
      </c>
      <c r="C5" s="123" t="s">
        <v>56</v>
      </c>
      <c r="D5" s="124" t="s">
        <v>40</v>
      </c>
      <c r="E5" s="123" t="s">
        <v>41</v>
      </c>
      <c r="F5" s="125" t="s">
        <v>42</v>
      </c>
      <c r="G5" s="125" t="s">
        <v>43</v>
      </c>
      <c r="H5" s="125" t="s">
        <v>81</v>
      </c>
      <c r="I5" s="125" t="s">
        <v>82</v>
      </c>
      <c r="J5" s="125" t="s">
        <v>44</v>
      </c>
      <c r="K5" s="125" t="s">
        <v>45</v>
      </c>
      <c r="L5" s="125" t="s">
        <v>46</v>
      </c>
    </row>
    <row r="6" spans="1:12" ht="14.25" x14ac:dyDescent="0.2">
      <c r="A6" s="103" t="s">
        <v>97</v>
      </c>
      <c r="B6" s="104" t="s">
        <v>53</v>
      </c>
      <c r="C6" s="113">
        <v>103689</v>
      </c>
      <c r="D6" s="105" t="s">
        <v>37</v>
      </c>
      <c r="E6" s="113" t="s">
        <v>52</v>
      </c>
      <c r="F6" s="106" t="s">
        <v>47</v>
      </c>
      <c r="G6" s="106" t="s">
        <v>47</v>
      </c>
      <c r="H6" s="107"/>
      <c r="I6" s="107"/>
      <c r="J6" s="114">
        <f>SUM(J7)</f>
        <v>0</v>
      </c>
      <c r="K6" s="114">
        <f>SUM(K7)</f>
        <v>494.87</v>
      </c>
      <c r="L6" s="114">
        <f>J6+K6</f>
        <v>494.87</v>
      </c>
    </row>
    <row r="7" spans="1:12" ht="25.5" x14ac:dyDescent="0.2">
      <c r="A7" s="108" t="s">
        <v>36</v>
      </c>
      <c r="B7" s="108" t="s">
        <v>53</v>
      </c>
      <c r="C7" s="109">
        <v>103689</v>
      </c>
      <c r="D7" s="110" t="s">
        <v>85</v>
      </c>
      <c r="E7" s="108" t="s">
        <v>52</v>
      </c>
      <c r="F7" s="115">
        <v>1</v>
      </c>
      <c r="G7" s="115">
        <v>494.87</v>
      </c>
      <c r="H7" s="107" t="s">
        <v>80</v>
      </c>
      <c r="I7" s="107" t="s">
        <v>79</v>
      </c>
      <c r="J7" s="116">
        <v>0</v>
      </c>
      <c r="K7" s="116">
        <f>G7*F7</f>
        <v>494.87</v>
      </c>
      <c r="L7" s="114">
        <f>J7+K7</f>
        <v>494.87</v>
      </c>
    </row>
    <row r="8" spans="1:12" ht="15" x14ac:dyDescent="0.25">
      <c r="A8" s="108"/>
      <c r="B8" s="108"/>
      <c r="C8" s="109"/>
      <c r="D8" s="110"/>
      <c r="E8" s="108"/>
      <c r="F8" s="115"/>
      <c r="G8" s="115"/>
      <c r="H8" s="107"/>
      <c r="I8" s="107"/>
      <c r="J8" s="117"/>
      <c r="K8" s="117"/>
      <c r="L8" s="118"/>
    </row>
    <row r="9" spans="1:12" ht="14.25" x14ac:dyDescent="0.2">
      <c r="A9" s="103" t="s">
        <v>84</v>
      </c>
      <c r="B9" s="104" t="s">
        <v>53</v>
      </c>
      <c r="C9" s="113">
        <v>2708</v>
      </c>
      <c r="D9" s="105" t="s">
        <v>110</v>
      </c>
      <c r="E9" s="113" t="s">
        <v>49</v>
      </c>
      <c r="F9" s="106" t="s">
        <v>47</v>
      </c>
      <c r="G9" s="106" t="s">
        <v>47</v>
      </c>
      <c r="H9" s="107"/>
      <c r="I9" s="107"/>
      <c r="J9" s="114">
        <f>SUM(J10)</f>
        <v>0</v>
      </c>
      <c r="K9" s="114">
        <f>SUM(K10)</f>
        <v>153.97999999999999</v>
      </c>
      <c r="L9" s="114">
        <f>J9+K9</f>
        <v>153.97999999999999</v>
      </c>
    </row>
    <row r="10" spans="1:12" ht="14.25" x14ac:dyDescent="0.2">
      <c r="A10" s="108" t="s">
        <v>36</v>
      </c>
      <c r="B10" s="108" t="s">
        <v>53</v>
      </c>
      <c r="C10" s="109">
        <v>2708</v>
      </c>
      <c r="D10" s="110" t="s">
        <v>111</v>
      </c>
      <c r="E10" s="108" t="s">
        <v>49</v>
      </c>
      <c r="F10" s="115">
        <v>1</v>
      </c>
      <c r="G10" s="115">
        <v>153.97999999999999</v>
      </c>
      <c r="H10" s="107" t="s">
        <v>80</v>
      </c>
      <c r="I10" s="107" t="s">
        <v>79</v>
      </c>
      <c r="J10" s="116">
        <v>0</v>
      </c>
      <c r="K10" s="116">
        <f>G10*F10</f>
        <v>153.97999999999999</v>
      </c>
      <c r="L10" s="114">
        <f>J10+K10</f>
        <v>153.97999999999999</v>
      </c>
    </row>
    <row r="11" spans="1:12" ht="14.25" x14ac:dyDescent="0.2">
      <c r="A11" s="108"/>
      <c r="B11" s="108"/>
      <c r="C11" s="109"/>
      <c r="D11" s="110"/>
      <c r="E11" s="108"/>
      <c r="F11" s="115"/>
      <c r="G11" s="115"/>
      <c r="H11" s="107"/>
      <c r="I11" s="107"/>
      <c r="J11" s="116"/>
      <c r="K11" s="116"/>
      <c r="L11" s="114"/>
    </row>
    <row r="12" spans="1:12" ht="14.25" x14ac:dyDescent="0.2">
      <c r="A12" s="103" t="s">
        <v>83</v>
      </c>
      <c r="B12" s="104" t="s">
        <v>53</v>
      </c>
      <c r="C12" s="130" t="s">
        <v>114</v>
      </c>
      <c r="D12" s="105" t="s">
        <v>113</v>
      </c>
      <c r="E12" s="113" t="s">
        <v>49</v>
      </c>
      <c r="F12" s="106" t="s">
        <v>47</v>
      </c>
      <c r="G12" s="106" t="s">
        <v>47</v>
      </c>
      <c r="H12" s="107"/>
      <c r="I12" s="107"/>
      <c r="J12" s="114">
        <f>SUM(J13)</f>
        <v>0</v>
      </c>
      <c r="K12" s="114">
        <f>SUM(K13)</f>
        <v>19.239999999999998</v>
      </c>
      <c r="L12" s="114">
        <f>J12+K12</f>
        <v>19.239999999999998</v>
      </c>
    </row>
    <row r="13" spans="1:12" ht="14.25" x14ac:dyDescent="0.2">
      <c r="A13" s="108" t="s">
        <v>36</v>
      </c>
      <c r="B13" s="108" t="s">
        <v>53</v>
      </c>
      <c r="C13" s="129" t="s">
        <v>114</v>
      </c>
      <c r="D13" s="110" t="s">
        <v>112</v>
      </c>
      <c r="E13" s="108" t="s">
        <v>49</v>
      </c>
      <c r="F13" s="115">
        <v>1</v>
      </c>
      <c r="G13" s="115">
        <v>19.239999999999998</v>
      </c>
      <c r="H13" s="107" t="s">
        <v>80</v>
      </c>
      <c r="I13" s="107" t="s">
        <v>79</v>
      </c>
      <c r="J13" s="116">
        <v>0</v>
      </c>
      <c r="K13" s="116">
        <f>G13*F13</f>
        <v>19.239999999999998</v>
      </c>
      <c r="L13" s="114">
        <f>J13+K13</f>
        <v>19.239999999999998</v>
      </c>
    </row>
    <row r="14" spans="1:12" ht="14.25" x14ac:dyDescent="0.2">
      <c r="A14" s="108"/>
      <c r="B14" s="108"/>
      <c r="C14" s="109"/>
      <c r="D14" s="110"/>
      <c r="E14" s="108"/>
      <c r="F14" s="115"/>
      <c r="G14" s="115"/>
      <c r="H14" s="107"/>
      <c r="I14" s="107"/>
      <c r="J14" s="116"/>
      <c r="K14" s="116"/>
      <c r="L14" s="114"/>
    </row>
    <row r="15" spans="1:12" ht="14.25" x14ac:dyDescent="0.2">
      <c r="A15" s="103" t="s">
        <v>98</v>
      </c>
      <c r="B15" s="104" t="s">
        <v>53</v>
      </c>
      <c r="C15" s="113">
        <v>97064</v>
      </c>
      <c r="D15" s="105" t="s">
        <v>94</v>
      </c>
      <c r="E15" s="113" t="s">
        <v>61</v>
      </c>
      <c r="F15" s="106" t="s">
        <v>47</v>
      </c>
      <c r="G15" s="106" t="s">
        <v>47</v>
      </c>
      <c r="H15" s="107"/>
      <c r="I15" s="107"/>
      <c r="J15" s="114">
        <f>SUM(J16)</f>
        <v>12.08</v>
      </c>
      <c r="K15" s="114">
        <f>SUM(K16)</f>
        <v>18.119999999999997</v>
      </c>
      <c r="L15" s="114">
        <f>J15+K15</f>
        <v>30.199999999999996</v>
      </c>
    </row>
    <row r="16" spans="1:12" ht="25.5" x14ac:dyDescent="0.2">
      <c r="A16" s="108" t="s">
        <v>48</v>
      </c>
      <c r="B16" s="108" t="s">
        <v>53</v>
      </c>
      <c r="C16" s="109">
        <v>97064</v>
      </c>
      <c r="D16" s="110" t="s">
        <v>96</v>
      </c>
      <c r="E16" s="108" t="s">
        <v>61</v>
      </c>
      <c r="F16" s="115">
        <v>1</v>
      </c>
      <c r="G16" s="115">
        <v>30.2</v>
      </c>
      <c r="H16" s="107" t="s">
        <v>80</v>
      </c>
      <c r="I16" s="107" t="s">
        <v>79</v>
      </c>
      <c r="J16" s="116">
        <f>(G16*F16)*0.4</f>
        <v>12.08</v>
      </c>
      <c r="K16" s="116">
        <f>(G16*F16)*0.6</f>
        <v>18.119999999999997</v>
      </c>
      <c r="L16" s="114">
        <f>J16+K16</f>
        <v>30.199999999999996</v>
      </c>
    </row>
    <row r="17" spans="1:12" ht="15" x14ac:dyDescent="0.25">
      <c r="A17" s="108"/>
      <c r="B17" s="108"/>
      <c r="C17" s="109"/>
      <c r="D17" s="119"/>
      <c r="E17" s="109"/>
      <c r="F17" s="111"/>
      <c r="G17" s="111"/>
      <c r="H17" s="107"/>
      <c r="I17" s="107"/>
      <c r="J17" s="111"/>
      <c r="K17" s="111"/>
      <c r="L17" s="112"/>
    </row>
    <row r="18" spans="1:12" ht="14.25" x14ac:dyDescent="0.2">
      <c r="A18" s="103" t="s">
        <v>91</v>
      </c>
      <c r="B18" s="106" t="s">
        <v>47</v>
      </c>
      <c r="C18" s="113"/>
      <c r="D18" s="120" t="s">
        <v>76</v>
      </c>
      <c r="E18" s="113" t="s">
        <v>49</v>
      </c>
      <c r="F18" s="106"/>
      <c r="G18" s="106"/>
      <c r="H18" s="107"/>
      <c r="I18" s="107"/>
      <c r="J18" s="114">
        <f>SUM(J19)</f>
        <v>0</v>
      </c>
      <c r="K18" s="114">
        <f>SUM(K19)</f>
        <v>24.66</v>
      </c>
      <c r="L18" s="114">
        <f>J18+K18</f>
        <v>24.66</v>
      </c>
    </row>
    <row r="19" spans="1:12" ht="14.25" x14ac:dyDescent="0.2">
      <c r="A19" s="108" t="s">
        <v>48</v>
      </c>
      <c r="B19" s="108" t="s">
        <v>53</v>
      </c>
      <c r="C19" s="109">
        <v>88316</v>
      </c>
      <c r="D19" s="110" t="s">
        <v>51</v>
      </c>
      <c r="E19" s="108" t="s">
        <v>49</v>
      </c>
      <c r="F19" s="111">
        <v>1</v>
      </c>
      <c r="G19" s="115">
        <v>24.66</v>
      </c>
      <c r="H19" s="107" t="s">
        <v>80</v>
      </c>
      <c r="I19" s="107" t="s">
        <v>79</v>
      </c>
      <c r="J19" s="116">
        <v>0</v>
      </c>
      <c r="K19" s="116">
        <f>G19*F19</f>
        <v>24.66</v>
      </c>
      <c r="L19" s="114">
        <f>J19+K19</f>
        <v>24.66</v>
      </c>
    </row>
    <row r="20" spans="1:12" ht="15" x14ac:dyDescent="0.25">
      <c r="A20" s="108"/>
      <c r="B20" s="108"/>
      <c r="C20" s="108"/>
      <c r="D20" s="110"/>
      <c r="E20" s="108"/>
      <c r="F20" s="111"/>
      <c r="G20" s="111"/>
      <c r="H20" s="107"/>
      <c r="I20" s="107"/>
      <c r="J20" s="111"/>
      <c r="K20" s="111"/>
      <c r="L20" s="112"/>
    </row>
  </sheetData>
  <mergeCells count="3">
    <mergeCell ref="B2:J2"/>
    <mergeCell ref="B3:E3"/>
    <mergeCell ref="F3:L3"/>
  </mergeCells>
  <printOptions horizontalCentered="1"/>
  <pageMargins left="0.23622047244094491" right="0.23622047244094491" top="0.78740157480314965" bottom="0.78740157480314965" header="0.31496062992125984" footer="0.31496062992125984"/>
  <pageSetup paperSize="9" scale="80" orientation="landscape" r:id="rId1"/>
  <headerFooter>
    <oddHeader>&amp;RFolha &amp;P /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9</vt:i4>
      </vt:variant>
    </vt:vector>
  </HeadingPairs>
  <TitlesOfParts>
    <vt:vector size="13" baseType="lpstr">
      <vt:lpstr>ORÇAMENTO</vt:lpstr>
      <vt:lpstr>BDI analítico</vt:lpstr>
      <vt:lpstr>BDI diferenciado</vt:lpstr>
      <vt:lpstr>COMPOSIÇÕES UNITÁRIAS</vt:lpstr>
      <vt:lpstr>'BDI analítico'!Area_de_impressao</vt:lpstr>
      <vt:lpstr>'BDI diferenciado'!Area_de_impressao</vt:lpstr>
      <vt:lpstr>'COMPOSIÇÕES UNITÁRIAS'!Area_de_impressao</vt:lpstr>
      <vt:lpstr>ORÇAMENTO!Area_de_impressao</vt:lpstr>
      <vt:lpstr>'BDI analítico'!BDI</vt:lpstr>
      <vt:lpstr>'BDI diferenciado'!BDI</vt:lpstr>
      <vt:lpstr>ORÇAMENTO!esh</vt:lpstr>
      <vt:lpstr>'COMPOSIÇÕES UNITÁRIAS'!Titulos_de_impressao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Francisco Antunes Zancanaro de Abreu</cp:lastModifiedBy>
  <cp:lastPrinted>2026-08-14T15:15:36Z</cp:lastPrinted>
  <dcterms:created xsi:type="dcterms:W3CDTF">1999-07-07T16:36:37Z</dcterms:created>
  <dcterms:modified xsi:type="dcterms:W3CDTF">2026-08-14T15:16:15Z</dcterms:modified>
</cp:coreProperties>
</file>