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rbanismo10\Desktop\ESCOLA TANCREDO\"/>
    </mc:Choice>
  </mc:AlternateContent>
  <xr:revisionPtr revIDLastSave="0" documentId="13_ncr:1_{56D31B40-A6F3-488D-9221-0FCEAD4191FE}" xr6:coauthVersionLast="47" xr6:coauthVersionMax="47" xr10:uidLastSave="{00000000-0000-0000-0000-000000000000}"/>
  <bookViews>
    <workbookView xWindow="-120" yWindow="-120" windowWidth="29040" windowHeight="15840" tabRatio="869" activeTab="4" xr2:uid="{00000000-000D-0000-FFFF-FFFF00000000}"/>
  </bookViews>
  <sheets>
    <sheet name="CRONOGRAMA" sheetId="2" r:id="rId1"/>
    <sheet name="COMPOSIÇÕES" sheetId="7" r:id="rId2"/>
    <sheet name="GERAL" sheetId="27" r:id="rId3"/>
    <sheet name="Levantamento" sheetId="28" r:id="rId4"/>
    <sheet name="ORÇAMENTO TELHADO TANCREDO" sheetId="30" r:id="rId5"/>
    <sheet name="CRONOGRAMA TELHADO" sheetId="31" r:id="rId6"/>
  </sheets>
  <definedNames>
    <definedName name="_xlnm.Print_Area" localSheetId="1">COMPOSIÇÕES!$A$1:$K$251</definedName>
    <definedName name="_xlnm.Print_Area" localSheetId="0">CRONOGRAMA!$B$1:$K$42</definedName>
    <definedName name="_xlnm.Print_Area" localSheetId="5">'CRONOGRAMA TELHADO'!$B$1:$G$26</definedName>
    <definedName name="_xlnm.Print_Area" localSheetId="2">GERAL!$B$2:$J$161</definedName>
    <definedName name="_xlnm.Print_Area" localSheetId="4">'ORÇAMENTO TELHADO TANCREDO'!$B$2:$J$47</definedName>
    <definedName name="DESONERACAO" hidden="1">IF(OR(Import.Desoneracao="DESONERADO",Import.Desoneracao="SIM"),"SIM","NÃO")</definedName>
    <definedName name="Excel_BuiltIn_Print_Area" localSheetId="2">GERAL!$B$163:$J$65186</definedName>
    <definedName name="Excel_BuiltIn_Print_Area" localSheetId="4">'ORÇAMENTO TELHADO TANCREDO'!$B$49:$J$65072</definedName>
    <definedName name="Import.Desoneracao" hidden="1">OFFSET(#REF!,0,-1)</definedName>
    <definedName name="ORÇAMENTO.BancoRef" localSheetId="2" hidden="1">GERAL!$F$8</definedName>
    <definedName name="ORÇAMENTO.BancoRef" localSheetId="4" hidden="1">'ORÇAMENTO TELHADO TANCREDO'!$F$8</definedName>
    <definedName name="ORÇAMENTO.BancoRef" hidden="1">#REF!</definedName>
    <definedName name="Print_Area_0" localSheetId="2">GERAL!$B$2:$J$162</definedName>
    <definedName name="Print_Area_0" localSheetId="4">'ORÇAMENTO TELHADO TANCREDO'!$B$2:$J$48</definedName>
    <definedName name="Print_Area_1" localSheetId="2">GERAL!$IO$65178:$IO$65178</definedName>
    <definedName name="Print_Area_1" localSheetId="4">'ORÇAMENTO TELHADO TANCREDO'!$IO$65064:$IO$65064</definedName>
    <definedName name="REFERENCIA.Desonerado" localSheetId="2" hidden="1">IF(ISNUMBER(GERAL!$AF1),VALUE(OFFSET(INDIRECT(GERAL!ORÇAMENTO.BancoRef),GERAL!$AF1-1,5,1)),0)</definedName>
    <definedName name="REFERENCIA.Desonerado" localSheetId="4" hidden="1">IF(ISNUMBER('ORÇAMENTO TELHADO TANCREDO'!$AF1),VALUE(OFFSET(INDIRECT('ORÇAMENTO TELHADO TANCREDO'!ORÇAMENTO.BancoRef),'ORÇAMENTO TELHADO TANCREDO'!$AF1-1,5,1)),0)</definedName>
    <definedName name="REFERENCIA.Desonerado" hidden="1">IF(ISNUMBER(#REF!),VALUE(OFFSET(INDIRECT(ORÇAMENTO.BancoRef),#REF!-1,5,1)),0)</definedName>
    <definedName name="REFERENCIA.NaoDesonerado" localSheetId="2" hidden="1">IF(ISNUMBER(GERAL!$AF1),VALUE(OFFSET(INDIRECT(GERAL!ORÇAMENTO.BancoRef),GERAL!$AF1-1,6,1)),0)</definedName>
    <definedName name="REFERENCIA.NaoDesonerado" localSheetId="4" hidden="1">IF(ISNUMBER('ORÇAMENTO TELHADO TANCREDO'!$AF1),VALUE(OFFSET(INDIRECT('ORÇAMENTO TELHADO TANCREDO'!ORÇAMENTO.BancoRef),'ORÇAMENTO TELHADO TANCREDO'!$AF1-1,6,1)),0)</definedName>
    <definedName name="REFERENCIA.NaoDesonerado" hidden="1">IF(ISNUMBER(#REF!),VALUE(OFFSET(INDIRECT(ORÇAMENTO.BancoRef),#REF!-1,6,1)),0)</definedName>
    <definedName name="_xlnm.Print_Titles" localSheetId="2">GERAL!$10:$10</definedName>
    <definedName name="_xlnm.Print_Titles" localSheetId="4">'ORÇAMENTO TELHADO TANCREDO'!$10:$10</definedName>
  </definedNames>
  <calcPr calcId="191029"/>
</workbook>
</file>

<file path=xl/calcChain.xml><?xml version="1.0" encoding="utf-8"?>
<calcChain xmlns="http://schemas.openxmlformats.org/spreadsheetml/2006/main">
  <c r="G8" i="31" l="1"/>
  <c r="G10" i="31"/>
  <c r="B37" i="30"/>
  <c r="I36" i="30"/>
  <c r="J36" i="30" s="1"/>
  <c r="I35" i="30"/>
  <c r="J35" i="30" s="1"/>
  <c r="I34" i="30"/>
  <c r="J34" i="30" s="1"/>
  <c r="I33" i="30"/>
  <c r="J33" i="30" s="1"/>
  <c r="I32" i="30"/>
  <c r="F32" i="30"/>
  <c r="I31" i="30"/>
  <c r="J31" i="30" s="1"/>
  <c r="I30" i="30"/>
  <c r="J30" i="30" s="1"/>
  <c r="I29" i="30"/>
  <c r="J29" i="30" s="1"/>
  <c r="I28" i="30"/>
  <c r="J28" i="30" s="1"/>
  <c r="I27" i="30"/>
  <c r="J27" i="30" s="1"/>
  <c r="I26" i="30"/>
  <c r="I25" i="30"/>
  <c r="I24" i="30"/>
  <c r="J24" i="30" s="1"/>
  <c r="I23" i="30"/>
  <c r="J23" i="30" s="1"/>
  <c r="I22" i="30"/>
  <c r="F22" i="30"/>
  <c r="I21" i="30"/>
  <c r="J21" i="30" s="1"/>
  <c r="I20" i="30"/>
  <c r="J20" i="30" s="1"/>
  <c r="I19" i="30"/>
  <c r="J19" i="30" s="1"/>
  <c r="I18" i="30"/>
  <c r="B15" i="30"/>
  <c r="I14" i="30"/>
  <c r="J14" i="30" s="1"/>
  <c r="I13" i="30"/>
  <c r="J13" i="30" s="1"/>
  <c r="I12" i="30"/>
  <c r="J12" i="30" s="1"/>
  <c r="I130" i="27"/>
  <c r="J130" i="27"/>
  <c r="F127" i="27"/>
  <c r="I145" i="27"/>
  <c r="J145" i="27" s="1"/>
  <c r="I144" i="27"/>
  <c r="J144" i="27" s="1"/>
  <c r="I143" i="27"/>
  <c r="J143" i="27" s="1"/>
  <c r="I139" i="27"/>
  <c r="J139" i="27" s="1"/>
  <c r="H100" i="27"/>
  <c r="F74" i="7"/>
  <c r="F75" i="7" s="1"/>
  <c r="F67" i="7" s="1"/>
  <c r="F68" i="7"/>
  <c r="J22" i="30" l="1"/>
  <c r="J18" i="30"/>
  <c r="J25" i="30"/>
  <c r="J32" i="30"/>
  <c r="J15" i="30"/>
  <c r="G7" i="31" s="1"/>
  <c r="F7" i="31" s="1"/>
  <c r="F26" i="30"/>
  <c r="J26" i="30" s="1"/>
  <c r="F69" i="7"/>
  <c r="C122" i="7"/>
  <c r="I96" i="27"/>
  <c r="J96" i="27" s="1"/>
  <c r="E105" i="7"/>
  <c r="E86" i="7"/>
  <c r="E87" i="7" s="1"/>
  <c r="K44" i="28"/>
  <c r="K46" i="28" s="1"/>
  <c r="K40" i="28"/>
  <c r="K39" i="28"/>
  <c r="E7" i="31" l="1"/>
  <c r="J37" i="30"/>
  <c r="K42" i="28"/>
  <c r="K48" i="28"/>
  <c r="K14" i="28"/>
  <c r="K12" i="28"/>
  <c r="G35" i="28"/>
  <c r="D34" i="28"/>
  <c r="E34" i="28"/>
  <c r="G34" i="28"/>
  <c r="D33" i="28"/>
  <c r="E33" i="28" s="1"/>
  <c r="G33" i="28" s="1"/>
  <c r="D32" i="28"/>
  <c r="E32" i="28" s="1"/>
  <c r="G32" i="28" s="1"/>
  <c r="D31" i="28"/>
  <c r="E31" i="28" s="1"/>
  <c r="G31" i="28" s="1"/>
  <c r="K10" i="28"/>
  <c r="K8" i="28"/>
  <c r="G28" i="28"/>
  <c r="G27" i="28"/>
  <c r="D27" i="28"/>
  <c r="D26" i="28"/>
  <c r="E26" i="28" s="1"/>
  <c r="G26" i="28" s="1"/>
  <c r="D25" i="28"/>
  <c r="E25" i="28"/>
  <c r="G25" i="28"/>
  <c r="G24" i="28"/>
  <c r="E24" i="28"/>
  <c r="D24" i="28"/>
  <c r="K6" i="28"/>
  <c r="K5" i="28"/>
  <c r="E20" i="28"/>
  <c r="E19" i="28"/>
  <c r="E6" i="28"/>
  <c r="E7" i="28"/>
  <c r="E8" i="28"/>
  <c r="E9" i="28"/>
  <c r="E10" i="28"/>
  <c r="E11" i="28"/>
  <c r="E12" i="28"/>
  <c r="E13" i="28"/>
  <c r="E14" i="28"/>
  <c r="E15" i="28"/>
  <c r="E16" i="28"/>
  <c r="E17" i="28"/>
  <c r="E18" i="28"/>
  <c r="E5" i="28"/>
  <c r="D16" i="28"/>
  <c r="D11" i="28"/>
  <c r="F35" i="7"/>
  <c r="F36" i="7" s="1"/>
  <c r="F24" i="7" s="1"/>
  <c r="I67" i="27"/>
  <c r="J67" i="27" s="1"/>
  <c r="I61" i="27"/>
  <c r="I31" i="27"/>
  <c r="J31" i="27" s="1"/>
  <c r="I20" i="27"/>
  <c r="J20" i="27" s="1"/>
  <c r="I33" i="27"/>
  <c r="J33" i="27" s="1"/>
  <c r="H56" i="27"/>
  <c r="H55" i="27"/>
  <c r="I19" i="27"/>
  <c r="J19" i="27" s="1"/>
  <c r="J39" i="30" l="1"/>
  <c r="G9" i="31"/>
  <c r="J61" i="27"/>
  <c r="I22" i="27"/>
  <c r="J22" i="27" s="1"/>
  <c r="I56" i="27"/>
  <c r="J56" i="27" s="1"/>
  <c r="I55" i="27"/>
  <c r="J55" i="27" s="1"/>
  <c r="B152" i="27"/>
  <c r="I151" i="27"/>
  <c r="J151" i="27" s="1"/>
  <c r="I15" i="27"/>
  <c r="J15" i="27" s="1"/>
  <c r="I150" i="27"/>
  <c r="J150" i="27" s="1"/>
  <c r="I149" i="27"/>
  <c r="J149" i="27" s="1"/>
  <c r="B146" i="27"/>
  <c r="I142" i="27"/>
  <c r="I141" i="27"/>
  <c r="F141" i="27"/>
  <c r="I140" i="27"/>
  <c r="J140" i="27" s="1"/>
  <c r="I129" i="27"/>
  <c r="J129" i="27" s="1"/>
  <c r="I138" i="27"/>
  <c r="J138" i="27" s="1"/>
  <c r="I137" i="27"/>
  <c r="J137" i="27" s="1"/>
  <c r="I136" i="27"/>
  <c r="I135" i="27"/>
  <c r="I134" i="27"/>
  <c r="I133" i="27"/>
  <c r="J133" i="27" s="1"/>
  <c r="I132" i="27"/>
  <c r="I131" i="27"/>
  <c r="F131" i="27"/>
  <c r="F132" i="27" s="1"/>
  <c r="I128" i="27"/>
  <c r="J128" i="27" s="1"/>
  <c r="I127" i="27"/>
  <c r="J124" i="27"/>
  <c r="B124" i="27"/>
  <c r="B116" i="27"/>
  <c r="I115" i="27"/>
  <c r="J115" i="27" s="1"/>
  <c r="I113" i="27"/>
  <c r="J113" i="27" s="1"/>
  <c r="I112" i="27"/>
  <c r="I111" i="27"/>
  <c r="J111" i="27" s="1"/>
  <c r="B108" i="27"/>
  <c r="I107" i="27"/>
  <c r="J107" i="27" s="1"/>
  <c r="I106" i="27"/>
  <c r="F106" i="27"/>
  <c r="I101" i="27"/>
  <c r="J101" i="27" s="1"/>
  <c r="I105" i="27"/>
  <c r="J105" i="27" s="1"/>
  <c r="Q104" i="27"/>
  <c r="I104" i="27"/>
  <c r="J104" i="27" s="1"/>
  <c r="Q103" i="27"/>
  <c r="I103" i="27"/>
  <c r="J103" i="27" s="1"/>
  <c r="I102" i="27"/>
  <c r="J102" i="27" s="1"/>
  <c r="Q100" i="27"/>
  <c r="Q99" i="27"/>
  <c r="I99" i="27"/>
  <c r="J99" i="27" s="1"/>
  <c r="Q98" i="27"/>
  <c r="I98" i="27"/>
  <c r="J98" i="27" s="1"/>
  <c r="Q97" i="27"/>
  <c r="I97" i="27"/>
  <c r="J97" i="27" s="1"/>
  <c r="I95" i="27"/>
  <c r="J95" i="27" s="1"/>
  <c r="I94" i="27"/>
  <c r="J94" i="27" s="1"/>
  <c r="B91" i="27"/>
  <c r="I90" i="27"/>
  <c r="J90" i="27" s="1"/>
  <c r="I88" i="27"/>
  <c r="I87" i="27"/>
  <c r="J87" i="27" s="1"/>
  <c r="I85" i="27"/>
  <c r="J85" i="27" s="1"/>
  <c r="I84" i="27"/>
  <c r="I83" i="27"/>
  <c r="I82" i="27"/>
  <c r="J82" i="27" s="1"/>
  <c r="I81" i="27"/>
  <c r="F81" i="27"/>
  <c r="I79" i="27"/>
  <c r="F79" i="27"/>
  <c r="I78" i="27"/>
  <c r="J78" i="27" s="1"/>
  <c r="B74" i="27"/>
  <c r="I73" i="27"/>
  <c r="J73" i="27" s="1"/>
  <c r="I71" i="27"/>
  <c r="J71" i="27" s="1"/>
  <c r="I70" i="27"/>
  <c r="J70" i="27" s="1"/>
  <c r="I69" i="27"/>
  <c r="J69" i="27" s="1"/>
  <c r="I66" i="27"/>
  <c r="I72" i="27"/>
  <c r="J72" i="27" s="1"/>
  <c r="I65" i="27"/>
  <c r="I64" i="27"/>
  <c r="I63" i="27"/>
  <c r="I60" i="27"/>
  <c r="I59" i="27"/>
  <c r="F59" i="27"/>
  <c r="I58" i="27"/>
  <c r="J58" i="27" s="1"/>
  <c r="I57" i="27"/>
  <c r="J57" i="27" s="1"/>
  <c r="I54" i="27"/>
  <c r="I53" i="27"/>
  <c r="F53" i="27"/>
  <c r="I52" i="27"/>
  <c r="F52" i="27"/>
  <c r="I51" i="27"/>
  <c r="F51" i="27"/>
  <c r="I50" i="27"/>
  <c r="I49" i="27"/>
  <c r="I48" i="27"/>
  <c r="I47" i="27"/>
  <c r="J47" i="27" s="1"/>
  <c r="I46" i="27"/>
  <c r="J46" i="27" s="1"/>
  <c r="I45" i="27"/>
  <c r="J45" i="27" s="1"/>
  <c r="I44" i="27"/>
  <c r="J44" i="27" s="1"/>
  <c r="I43" i="27"/>
  <c r="J43" i="27" s="1"/>
  <c r="I42" i="27"/>
  <c r="J42" i="27" s="1"/>
  <c r="I41" i="27"/>
  <c r="J41" i="27" s="1"/>
  <c r="I40" i="27"/>
  <c r="J40" i="27" s="1"/>
  <c r="B37" i="27"/>
  <c r="I36" i="27"/>
  <c r="J36" i="27" s="1"/>
  <c r="I35" i="27"/>
  <c r="J35" i="27" s="1"/>
  <c r="I34" i="27"/>
  <c r="I32" i="27"/>
  <c r="I30" i="27"/>
  <c r="J30" i="27" s="1"/>
  <c r="I29" i="27"/>
  <c r="I28" i="27"/>
  <c r="B25" i="27"/>
  <c r="I24" i="27"/>
  <c r="J24" i="27" s="1"/>
  <c r="I23" i="27"/>
  <c r="I21" i="27"/>
  <c r="J21" i="27" s="1"/>
  <c r="B16" i="27"/>
  <c r="I14" i="27"/>
  <c r="I13" i="27"/>
  <c r="J13" i="27" s="1"/>
  <c r="K22" i="2"/>
  <c r="F9" i="31" l="1"/>
  <c r="F11" i="31" s="1"/>
  <c r="E9" i="31"/>
  <c r="E11" i="31" s="1"/>
  <c r="J28" i="27"/>
  <c r="J132" i="27"/>
  <c r="Q102" i="27"/>
  <c r="J54" i="27"/>
  <c r="J81" i="27"/>
  <c r="J141" i="27"/>
  <c r="J59" i="27"/>
  <c r="J65" i="27"/>
  <c r="J88" i="27"/>
  <c r="J131" i="27"/>
  <c r="J112" i="27"/>
  <c r="J34" i="27"/>
  <c r="J32" i="27"/>
  <c r="J52" i="27"/>
  <c r="J60" i="27"/>
  <c r="J106" i="27"/>
  <c r="J127" i="27"/>
  <c r="J23" i="27"/>
  <c r="J25" i="27" s="1"/>
  <c r="J53" i="27"/>
  <c r="J136" i="27"/>
  <c r="J66" i="27"/>
  <c r="J51" i="27"/>
  <c r="J79" i="27"/>
  <c r="J14" i="27"/>
  <c r="J16" i="27" s="1"/>
  <c r="J29" i="27"/>
  <c r="J48" i="27"/>
  <c r="F135" i="27"/>
  <c r="J135" i="27" s="1"/>
  <c r="J142" i="27"/>
  <c r="J49" i="27"/>
  <c r="J63" i="27"/>
  <c r="Q105" i="27"/>
  <c r="J152" i="27"/>
  <c r="J64" i="27"/>
  <c r="J50" i="27"/>
  <c r="F134" i="27"/>
  <c r="J134" i="27" s="1"/>
  <c r="K21" i="2"/>
  <c r="E13" i="31" l="1"/>
  <c r="F13" i="31" s="1"/>
  <c r="G11" i="31"/>
  <c r="J146" i="27"/>
  <c r="S106" i="27"/>
  <c r="J83" i="27"/>
  <c r="J37" i="27"/>
  <c r="E21" i="2"/>
  <c r="I21" i="2"/>
  <c r="J21" i="2"/>
  <c r="F21" i="2"/>
  <c r="G21" i="2"/>
  <c r="H21" i="2"/>
  <c r="H7" i="31" l="1"/>
  <c r="H11" i="31"/>
  <c r="H9" i="31"/>
  <c r="F12" i="31"/>
  <c r="E12" i="31"/>
  <c r="J84" i="27"/>
  <c r="G12" i="31" l="1"/>
  <c r="E14" i="31"/>
  <c r="F14" i="31" s="1"/>
  <c r="I148" i="7"/>
  <c r="K133" i="7"/>
  <c r="H114" i="27" l="1"/>
  <c r="I114" i="27" s="1"/>
  <c r="J114" i="27" s="1"/>
  <c r="J116" i="27" s="1"/>
  <c r="I100" i="27"/>
  <c r="J100" i="27" s="1"/>
  <c r="J108" i="27" s="1"/>
  <c r="K109" i="7"/>
  <c r="K19" i="2" l="1"/>
  <c r="E59" i="7"/>
  <c r="F59" i="7" s="1"/>
  <c r="F61" i="7"/>
  <c r="F60" i="7"/>
  <c r="F47" i="7"/>
  <c r="F46" i="7"/>
  <c r="F45" i="7"/>
  <c r="F44" i="7"/>
  <c r="F43" i="7"/>
  <c r="F42" i="7"/>
  <c r="F52" i="7"/>
  <c r="F51" i="7"/>
  <c r="F50" i="7"/>
  <c r="F49" i="7"/>
  <c r="F48" i="7"/>
  <c r="K7" i="2" l="1"/>
  <c r="F53" i="7"/>
  <c r="F62" i="7"/>
  <c r="K9" i="2"/>
  <c r="K23" i="2"/>
  <c r="K25" i="2"/>
  <c r="H62" i="27" l="1"/>
  <c r="I62" i="27" s="1"/>
  <c r="J62" i="27" s="1"/>
  <c r="K17" i="2"/>
  <c r="K11" i="2"/>
  <c r="F29" i="7" l="1"/>
  <c r="F28" i="7"/>
  <c r="F27" i="7"/>
  <c r="F26" i="7"/>
  <c r="F25" i="7"/>
  <c r="F30" i="7" l="1"/>
  <c r="H68" i="27" s="1"/>
  <c r="I68" i="27" s="1"/>
  <c r="J68" i="27" s="1"/>
  <c r="J74" i="27" s="1"/>
  <c r="C16" i="7" l="1"/>
  <c r="C9" i="7"/>
  <c r="K13" i="2" l="1"/>
  <c r="F16" i="7"/>
  <c r="C15" i="7"/>
  <c r="F15" i="7" s="1"/>
  <c r="F9" i="7"/>
  <c r="C8" i="7"/>
  <c r="F8" i="7" s="1"/>
  <c r="H18" i="7"/>
  <c r="F17" i="7" l="1"/>
  <c r="F10" i="7"/>
  <c r="H89" i="27" l="1"/>
  <c r="I89" i="27" s="1"/>
  <c r="J89" i="27" s="1"/>
  <c r="J91" i="27" s="1"/>
  <c r="J153" i="27" s="1"/>
  <c r="K15" i="2" l="1"/>
  <c r="K26" i="2"/>
  <c r="K20" i="2"/>
  <c r="K18" i="2"/>
  <c r="K16" i="2"/>
  <c r="K14" i="2"/>
  <c r="K12" i="2"/>
  <c r="K10" i="2"/>
  <c r="K24" i="2"/>
  <c r="K8" i="2"/>
  <c r="G7" i="2" l="1"/>
  <c r="F7" i="2" l="1"/>
  <c r="J7" i="2"/>
  <c r="I7" i="2"/>
  <c r="H7" i="2"/>
  <c r="E7" i="2"/>
  <c r="I17" i="2" l="1"/>
  <c r="E17" i="2"/>
  <c r="F17" i="2"/>
  <c r="J17" i="2"/>
  <c r="G17" i="2"/>
  <c r="H17" i="2"/>
  <c r="J19" i="2"/>
  <c r="H19" i="2"/>
  <c r="I19" i="2"/>
  <c r="G19" i="2"/>
  <c r="F19" i="2"/>
  <c r="E19" i="2"/>
  <c r="H15" i="2" l="1"/>
  <c r="F15" i="2"/>
  <c r="E15" i="2"/>
  <c r="G15" i="2"/>
  <c r="I15" i="2"/>
  <c r="J15" i="2"/>
  <c r="I11" i="2" l="1"/>
  <c r="J11" i="2"/>
  <c r="H11" i="2"/>
  <c r="G11" i="2"/>
  <c r="E11" i="2"/>
  <c r="F11" i="2"/>
  <c r="F9" i="2"/>
  <c r="G9" i="2"/>
  <c r="E9" i="2"/>
  <c r="H9" i="2"/>
  <c r="I9" i="2"/>
  <c r="J9" i="2"/>
  <c r="I23" i="2" l="1"/>
  <c r="G23" i="2"/>
  <c r="J23" i="2"/>
  <c r="H23" i="2"/>
  <c r="F23" i="2"/>
  <c r="E23" i="2"/>
  <c r="G13" i="2" l="1"/>
  <c r="F13" i="2"/>
  <c r="H13" i="2"/>
  <c r="J13" i="2"/>
  <c r="I13" i="2"/>
  <c r="E13" i="2"/>
  <c r="I25" i="2" l="1"/>
  <c r="I27" i="2" s="1"/>
  <c r="E25" i="2"/>
  <c r="E27" i="2" s="1"/>
  <c r="H25" i="2"/>
  <c r="H27" i="2" s="1"/>
  <c r="J25" i="2"/>
  <c r="J27" i="2" s="1"/>
  <c r="G25" i="2"/>
  <c r="G27" i="2" s="1"/>
  <c r="F25" i="2"/>
  <c r="F27" i="2" s="1"/>
  <c r="K27" i="2" l="1"/>
  <c r="E29" i="2"/>
  <c r="F29" i="2" s="1"/>
  <c r="G29" i="2" s="1"/>
  <c r="H29" i="2" s="1"/>
  <c r="I29" i="2" s="1"/>
  <c r="J29" i="2" s="1"/>
  <c r="G28" i="2" l="1"/>
  <c r="L27" i="2"/>
  <c r="L21" i="2"/>
  <c r="L19" i="2"/>
  <c r="L25" i="2"/>
  <c r="L9" i="2"/>
  <c r="L23" i="2"/>
  <c r="L11" i="2"/>
  <c r="L17" i="2"/>
  <c r="L13" i="2"/>
  <c r="L15" i="2"/>
  <c r="I28" i="2"/>
  <c r="E28" i="2"/>
  <c r="E30" i="2" s="1"/>
  <c r="F28" i="2"/>
  <c r="J28" i="2"/>
  <c r="H28" i="2"/>
  <c r="L7" i="2"/>
  <c r="K28" i="2" l="1"/>
  <c r="F30" i="2"/>
  <c r="G30" i="2" s="1"/>
  <c r="H30" i="2" s="1"/>
  <c r="I30" i="2" s="1"/>
  <c r="J30" i="2" s="1"/>
</calcChain>
</file>

<file path=xl/sharedStrings.xml><?xml version="1.0" encoding="utf-8"?>
<sst xmlns="http://schemas.openxmlformats.org/spreadsheetml/2006/main" count="802" uniqueCount="380">
  <si>
    <t>ITEM</t>
  </si>
  <si>
    <t>SINAPI</t>
  </si>
  <si>
    <t>TOTAL DO ORÇAMENTO</t>
  </si>
  <si>
    <t>BDI:</t>
  </si>
  <si>
    <t>1.1</t>
  </si>
  <si>
    <t>QUANT.</t>
  </si>
  <si>
    <t>ORÇAMENTO GLOBAL</t>
  </si>
  <si>
    <t>DPPU - DEPARTAMENTO DE PROJETOS E PLANEJAMENTO URBANO</t>
  </si>
  <si>
    <t>Sinapi:</t>
  </si>
  <si>
    <t>Referências:</t>
  </si>
  <si>
    <t>OBRA:</t>
  </si>
  <si>
    <t>LOCAL:</t>
  </si>
  <si>
    <t>DATA:</t>
  </si>
  <si>
    <t>UNID.</t>
  </si>
  <si>
    <t>CÓDIGO</t>
  </si>
  <si>
    <t>FONTE</t>
  </si>
  <si>
    <t>DESCRIÇÃO DOS SERVIÇOS</t>
  </si>
  <si>
    <t>VALOR UNIT. SEM BDI (R$)</t>
  </si>
  <si>
    <t>VALOR UNIT. COM BDI (R$)</t>
  </si>
  <si>
    <t>M</t>
  </si>
  <si>
    <t>_______________________________________________________________</t>
  </si>
  <si>
    <t>CRONOGRAMA FÍSICO-FINANCEIRO</t>
  </si>
  <si>
    <t>TOTAL</t>
  </si>
  <si>
    <t>PERC. TOTAL</t>
  </si>
  <si>
    <t>Total da Etapa</t>
  </si>
  <si>
    <t>Total Acumulado</t>
  </si>
  <si>
    <t>M²</t>
  </si>
  <si>
    <t>1</t>
  </si>
  <si>
    <t>PESQUISA</t>
  </si>
  <si>
    <t>UN</t>
  </si>
  <si>
    <t>2</t>
  </si>
  <si>
    <t>2.1</t>
  </si>
  <si>
    <t>2.2</t>
  </si>
  <si>
    <t>3</t>
  </si>
  <si>
    <t>H</t>
  </si>
  <si>
    <t>3.1</t>
  </si>
  <si>
    <t>1º MÊS</t>
  </si>
  <si>
    <t>2º MÊS</t>
  </si>
  <si>
    <t>3º MÊS</t>
  </si>
  <si>
    <t>VALOR TOTAL (R$)</t>
  </si>
  <si>
    <t>3.2</t>
  </si>
  <si>
    <t>4</t>
  </si>
  <si>
    <t>4.1</t>
  </si>
  <si>
    <t>4.2</t>
  </si>
  <si>
    <t>4.3</t>
  </si>
  <si>
    <t>5</t>
  </si>
  <si>
    <t>5.1</t>
  </si>
  <si>
    <t>MUNICÍPIO DE FLORES DA CUNHA</t>
  </si>
  <si>
    <t>2.3</t>
  </si>
  <si>
    <t>SINAPI - I</t>
  </si>
  <si>
    <t>KG</t>
  </si>
  <si>
    <t>SERVENTE COM ENCARGOS COMPLEMENTARES</t>
  </si>
  <si>
    <t>5.2</t>
  </si>
  <si>
    <t>7</t>
  </si>
  <si>
    <t>7.1</t>
  </si>
  <si>
    <t>7.2</t>
  </si>
  <si>
    <t>8</t>
  </si>
  <si>
    <t>8.1</t>
  </si>
  <si>
    <t>8.2</t>
  </si>
  <si>
    <t>9</t>
  </si>
  <si>
    <t>9.1</t>
  </si>
  <si>
    <t>6</t>
  </si>
  <si>
    <t>6.1</t>
  </si>
  <si>
    <t>6.2</t>
  </si>
  <si>
    <t>4.4</t>
  </si>
  <si>
    <t>4.5</t>
  </si>
  <si>
    <t>4º MÊS</t>
  </si>
  <si>
    <t>5º MÊS</t>
  </si>
  <si>
    <t>UNID</t>
  </si>
  <si>
    <t>6.3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</si>
  <si>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</si>
  <si>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</si>
  <si>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</si>
  <si>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</si>
  <si>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</si>
  <si>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</si>
  <si>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</si>
  <si>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</si>
  <si>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</si>
  <si>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</si>
  <si>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</si>
  <si>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4.18</t>
  </si>
  <si>
    <t>TELHADO</t>
  </si>
  <si>
    <t>TELHADISTA COM ENCARGOS COMPLEMENTARES</t>
  </si>
  <si>
    <t>SERVIÇOS PRELIMINARES</t>
  </si>
  <si>
    <t>LIMPEZA DE PISO CERÂMICO OU PORCELANATO COM PANO ÚMIDO</t>
  </si>
  <si>
    <t>SERVIÇOS COMPLEMENTARES</t>
  </si>
  <si>
    <t>NATIELE FERRARI PAGLIARINI</t>
  </si>
  <si>
    <t>Engenheira Civil - CREA-RS 225534</t>
  </si>
  <si>
    <t>6º MÊS</t>
  </si>
  <si>
    <t>RODAPÉ EM MADEIRA, ALTURA 7CM, FIXADO COM COLA E PARAFUSOS</t>
  </si>
  <si>
    <t>TUBO, PVC, SOLDÁVEL, DE 20MM, INSTALADO EM RAMAL OU SUB-RAMAL DE ÁGUA - FORNECIMENTO E INSTALAÇÃO</t>
  </si>
  <si>
    <t>LUVA, PVC, SOLDÁVEL, DN 20MM, INSTALADO EM RAMAL OU SUB-RAMAL DE ÁGUA - FORNECIMENTO E INSTALAÇÃO.</t>
  </si>
  <si>
    <t>JOELHO 90 GRAUS, PVC, SOLDÁVEL, DN 20MM, INSTALADO EM RAMAL OU SUB-RAMAL DE ÁGUA - FORNECIMENTO E INSTALAÇÃO</t>
  </si>
  <si>
    <t>ENGATE FLEXÍVEL EM PLÁSTICO BRANCO, 1/2" X 40CM - FORNECIMENTO E INSTALAÇÃO</t>
  </si>
  <si>
    <t>CHUMBAMENTO LINEAR EM ALVENARIA PARA RAMAIS/DISTRIBUIÇÃO DE INSTALAÇÕES HIDRÁULICAS COM DIÂMETROS MENORES OU IGUAIS A 40 MM</t>
  </si>
  <si>
    <t>IMPERMEABILIZAÇÃO DE SUPERFÍCIE COM ARGAMASSA POLIMÉRICA / MEMBRANA ACRÍLICA, 3 DEMÃOS</t>
  </si>
  <si>
    <t>LIXAMENTO DE MADEIRA PARA APLICAÇÃO DE FUNDO OU PINTURA</t>
  </si>
  <si>
    <t>9.3</t>
  </si>
  <si>
    <t>M³</t>
  </si>
  <si>
    <t>Quant.</t>
  </si>
  <si>
    <t>Valor</t>
  </si>
  <si>
    <t>COMPOSIÇÃO 01 (SINAPI JAN/2025)</t>
  </si>
  <si>
    <t>4.17</t>
  </si>
  <si>
    <t>PINTURA</t>
  </si>
  <si>
    <t>APLICAÇÃO MANUAL DE TINTA LÁTEX EMBORRACHADA EM PAREDE EXTERNAS DE CASAS, DUAS DEMÃOS</t>
  </si>
  <si>
    <t>PINTOR COM ENCARGOS COMPLEMENTARES</t>
  </si>
  <si>
    <t>TINTA LATEX ACRILICA PREMIUM, COR BRANCO FOSCO</t>
  </si>
  <si>
    <t>L</t>
  </si>
  <si>
    <t>R$</t>
  </si>
  <si>
    <t xml:space="preserve">rendimento </t>
  </si>
  <si>
    <t>76 m²</t>
  </si>
  <si>
    <t>5.1.1</t>
  </si>
  <si>
    <t>5.1.2</t>
  </si>
  <si>
    <t>5.2.1</t>
  </si>
  <si>
    <t>5.2.2</t>
  </si>
  <si>
    <t>5.2.3</t>
  </si>
  <si>
    <t>5.2.4</t>
  </si>
  <si>
    <t>APLICAÇÃO MANUAL DE TINTA EMBORRACHADA EM TETO, DUAS DEMÃOS</t>
  </si>
  <si>
    <t>FUNDO SELADOR ACRÍLICO, APLICAÇÃO MANUAL EM PAREDE, UMA DEMÃO</t>
  </si>
  <si>
    <t>PINTURA LÁTEX ACRÍLICA PREMIUM, APLICAÇÃO MANUAL EM PAREDES, DUAS DEMÃOS</t>
  </si>
  <si>
    <t>REMOÇÃO DE TELHAS DE FIBROCIMENTO, METÁLICA E CERÂMICA, DE FORMA MECANIZADA, COM USO DE GUINDASTE, SEM REAPROVEITAMENTO</t>
  </si>
  <si>
    <t>REMOÇÃO DE TRAMA DE MADEIRA PARA COBERTURA, DE FORMA MANUAL, SEM REAPROVEITAMENTO</t>
  </si>
  <si>
    <t>TELHAMENTO COM TELHA DE AÇO/ALUMÍNIO E = 0,5 MM, COM ATÉ 2 ÁGUAS, INCLUSO IÇAMENTO</t>
  </si>
  <si>
    <t>CALHA EM CHAPA DE AÇO GALVANIZADO NÚMERO 24, DESENVOLVIMENTO DE 33 CM, INCLUSO TRANSPORTE VERTICAL.</t>
  </si>
  <si>
    <t>RUFO EXTERNO/INTERNO EM CHAPA DE AÇO GALVANIZADO NÚMERO 26, CORTE DE 33 CM, INCLUSO IÇAMENTO</t>
  </si>
  <si>
    <t>MONTAGEM E DESMONTAGEM DE ANDAIME MODULAR FACHADEIRO, COM PISO METÁLICO, PARA EDIFÍCIOS COM MULTIPLOS PAVIMENTOS (EXCLUSIVE ANDAIME E LIMPEZA)</t>
  </si>
  <si>
    <t>LOCACAO DE ANDAIME METALICO TUBULAR DE ENCAIXE, TIPO DE TORRE, CADA PAINEL COM LARGURA DE 1 ATE 1,5 M E ALTURA DE *1,00* M, INCLUINDO DIAGONAL, BARRAS DE LIGACAO, SAPATAS OU RODIZIOS E DEMAIS ITENS NECESSARIOS A MONTAGEM (NAO INCLUI INSTALACAO)</t>
  </si>
  <si>
    <t>MXMES</t>
  </si>
  <si>
    <t>SINAPI - ADAP</t>
  </si>
  <si>
    <t>CUMEEIRA EM CHAPA DE AÇO GALVANIZADO NÚMERO 24, INCLUSO TRANSPORTE VERTICAL.</t>
  </si>
  <si>
    <t>CHP</t>
  </si>
  <si>
    <t>CHI</t>
  </si>
  <si>
    <t>REMOÇÃO DE TUBULAÇÕES (TUBOS E CONEXÕES) DE ÁGUA FRIA, DE FORMA MANUAL, SEM REAPROVEITAMENTO</t>
  </si>
  <si>
    <t>REFORMA BANHEIROS</t>
  </si>
  <si>
    <t>DEMOLIÇÃO DE REVESTIMENTO CERÂMICO, DE FORMA MECANIZADA COM MARTELETE, SEM REAPROVEITAMENTO</t>
  </si>
  <si>
    <t>4.20</t>
  </si>
  <si>
    <t>9.2</t>
  </si>
  <si>
    <t>EMASSAMENTO COM MASSA LÁTEX, APLICAÇÃO EM PAREDE, DUAS DEMÃOS, LIXAMENTO MANUAL</t>
  </si>
  <si>
    <t>8.3</t>
  </si>
  <si>
    <t>8.4</t>
  </si>
  <si>
    <t>8.5</t>
  </si>
  <si>
    <t>PINTURA TINTA DE ACABAMENTO (PIGMENTADA) ESMALTE SINTÉTICO ACETINADO EM MADEIRA, 2 DEMÃOS.</t>
  </si>
  <si>
    <t>PARAFUSO NIQUELADO COM ACABAMENTO CROMADO PARA FIXAR PECA SANITARIA, INCLUI PORCA CEGA, ARRUELA E BUCHA DE
NYLON TAMANHO S-10</t>
  </si>
  <si>
    <t>ANEL DE VEDACAO, PVC FLEXIVEL, 100 MM, PARA SAIDA DE BACIA / VASO SANITARIO</t>
  </si>
  <si>
    <t>REJUNTE EPOXI, QUALQUER COR</t>
  </si>
  <si>
    <t>ENCANADOR OU BOMBEIRO HIDRÁULICO COM ENCARGOS COMPLEMENTARES</t>
  </si>
  <si>
    <t>UNI</t>
  </si>
  <si>
    <t>VASO SANITÁRIO INFANTIL COM CAIXA ACOPLADA LOUÇA BRANCA - FORNECIMENTO E INSTALACAO</t>
  </si>
  <si>
    <t>VASO SANITÁRIO SIFONADO COM CAIXA ACOPLADA LOUÇA BRANCA - FORNECIMENTO E INSTALAÇÃO</t>
  </si>
  <si>
    <t>ASSENTO SANITÁRIO CONVENCIONAL - FORNECIMENTO E INSTALACAO</t>
  </si>
  <si>
    <t>TUBO PVC, SERIE NORMAL, ESGOTO PREDIAL, DN 100 MM, FORNECIDO E INSTALADO EM RAMAL DE DESCARGA OU RAMAL DE ESGOTO SANITÁRIO</t>
  </si>
  <si>
    <t>CHUMBAMENTO LINEAR EM CONTRAPISO PARA RAMAIS/DISTRIBUIÇÃO DE INSTALAÇÕES HIDRÁULICAS COM DIÂMETROS MAIORES QUE 75 MM E MENORES OU IGUAIS A 100 MM</t>
  </si>
  <si>
    <t>LIXAMENTO MANUAL EM SUPERFÍCIES METÁLICAS EM OBRA.</t>
  </si>
  <si>
    <t>7.3</t>
  </si>
  <si>
    <t>7.4</t>
  </si>
  <si>
    <t>7.5</t>
  </si>
  <si>
    <t>PLACA E LETRAS CAIXA COM O NOME A ESCOLA EM ACM COLORIDO - FORNECIMENTO E INSTALAÇÃO</t>
  </si>
  <si>
    <t>R. Dom Pedro I, 280 - União, Flores da Cunha - RS</t>
  </si>
  <si>
    <t>FORNECIMENTO E INSTALAÇÃO DE PLACA DE OBRA COM CHAPA GALVANIZADA E ESTRUTURA DE MADEIRA.</t>
  </si>
  <si>
    <t>REMOÇÃO DE FORROS DE MADEIRA, DE FORMA MANUAL, SEM REAPROVEITAMENTO</t>
  </si>
  <si>
    <t>REPARO PISOS E RODAPÉS SALAS</t>
  </si>
  <si>
    <t>RASGO LINEAR MECANIZADO EM CONCRETO, PARA RAMAIS/ DISTRIBUIÇÃO DE INSTALAÇÕES HIDRÁULICAS, DIÂMETROS MAIORES QUE 75 MM E MENORES OU IGUAIS A 100 MM.</t>
  </si>
  <si>
    <t>RASGO LINEAR MECANIZADO EM ALVENARIA, PARA RAMAIS/ DISTRIBUIÇÃO DE INSTALAÇÕES HIDRÁULICAS, DIÂMETROS MENORES OU IGUAIS A 40 MM.</t>
  </si>
  <si>
    <t>JOELHO 45 GRAUS, PVC, SERIE NORMAL, ESGOTO PREDIAL, DN 100 MM, JUNTA ELÁSTICA, FORNECIDO E INSTALADO EM RAMAL DE DESCARGA OU RAMAL DE ESGOTO SANITÁRIO.</t>
  </si>
  <si>
    <t>JUNÇÃO SIMPLES, PVC, SERIE NORMAL, ESGOTO PREDIAL, DN 100 X 100 MM, JUNTA ELÁSTICA, FORNECIDO E INSTALADO EM RAMAL DE DESCARGA OU RAMAL DE ESGOTO SANITÁRIO</t>
  </si>
  <si>
    <t>TE, PVC, SOLDÁVEL, DN 20MM, INSTALADO EM RAMAL OU SUB-RAMAL DE ÁGUA - FORNECIMENTO E INSTALAÇÃO</t>
  </si>
  <si>
    <t>PAREDE COM SISTEMA EM CHAPAS DE GESSO VERDE, RESISTENTE A UMIDADE, USO INTERNO, COM DUAS FACES SIMPLES E ESTRUTURA METÁLICA COM GUIAS DUPLAS PARA PAREDES COM ÁREA LÍQUIDA MAIOR OU IGUAL A 6 M2, COM VÃOS.</t>
  </si>
  <si>
    <t>PINO DE ACO COM ARRUELA CONICA, DIAMETRO ARRUELA = *23* MM E COMP HASTE = *27* MM (ACAO INDIRETA)</t>
  </si>
  <si>
    <t>PERFIL GUIA, FORMATO U, EM ACO ZINCADO, PARA ESTRUTURA PAREDE DRYWALL, E = 0,5 MM, 70 X 3000 MM (L X C)</t>
  </si>
  <si>
    <t>PERFIL MONTANTE, FORMATO C, EM ACO ZINCADO, PARA ESTRUTURA PAREDE DRYWALL, E = 0,5 MM, 70 X 3000 MM (L X C)</t>
  </si>
  <si>
    <t>FITA DE PAPEL MICROPERFURADO, 50 X 150 MM, PARA TRATAMENTO DE JUNTAS DE CHAPA DE GESSO PARA DRYWALL</t>
  </si>
  <si>
    <t>FITA DE PAPEL REFORCADA COM LAMINA DE METAL PARA REFORCO DE CANTOS DE CHAPA DE GESSO PARA DRYWALL</t>
  </si>
  <si>
    <t>MASSA DE REJUNTE EM PO PARA DRYWALL, A BASE DE GESSO, SECAGEM RAPIDA, PARA TRATAMENTO DE JUNTAS DE CHAPA DE GESSO
(NECESSITA ADICAO DE AGUA)</t>
  </si>
  <si>
    <t>PARAFUSO DRY WALL, EM ACO FOSFATIZADO, CABECA TROMBETA E PONTA AGULHA (TA), COMPRIMENTO 25 MM</t>
  </si>
  <si>
    <t>PARAFUSO DRY WALL, EM ACO ZINCADO, CABECA LENTILHA E PONTA BROCA (LB), LARGURA 4,2 MM, COMPRIMENTO 13 MM</t>
  </si>
  <si>
    <t>MONTADOR DE ESTRUTURA METÁLICA COM ENCARGOS COMPLEMENTARES</t>
  </si>
  <si>
    <t>PLACA / CHAPA DE GESSO ACARTONADO, RESISTENTE A UMIDADE (RU), COR VERDE, E = 12,5 MM, 1200 X 2400 MM (L X C)</t>
  </si>
  <si>
    <t>CENTO</t>
  </si>
  <si>
    <t>CUBA DE EMBUTIR OVAL EM LOUÇA BRANCA, 35 X 50CM OU EQUIVALENTE, INCLUSO VÁLVULA EM METAL CROMADO E SIFÃO FLEXÍVEL EM PVC - FORNECIMENTO E INSTALAÇÃO.</t>
  </si>
  <si>
    <t>4.21</t>
  </si>
  <si>
    <t>4.22</t>
  </si>
  <si>
    <t>4.23</t>
  </si>
  <si>
    <t>4.24</t>
  </si>
  <si>
    <t>4.25</t>
  </si>
  <si>
    <t>4.26</t>
  </si>
  <si>
    <t>4.27</t>
  </si>
  <si>
    <t>4.28</t>
  </si>
  <si>
    <t>4.29</t>
  </si>
  <si>
    <t>4.30</t>
  </si>
  <si>
    <t>4.31</t>
  </si>
  <si>
    <t>4.32</t>
  </si>
  <si>
    <t>4.33</t>
  </si>
  <si>
    <t>4.34</t>
  </si>
  <si>
    <t>REVESTIMENTO CERÂMICO PARA PISO COM PLACAS TIPO ESMALTADA DE DIMENSÕES 60X60 CM APLICADA EM AMBIENTES DE ÁREA ENTRE 5 M2 E 10 M2</t>
  </si>
  <si>
    <t>PINTURA INTERNA - FORROS</t>
  </si>
  <si>
    <t>PINTURA COM TINTA ALQUÍDICA DE ACABAMENTO (ESMALTE SINTÉTICO ACETINADO) APLICADA A ROLO OU PINCEL SOBRE SUPERFÍCIES METÁLICAS (EXCETO PERFIL) EXECUTADO EM OBRA (02 DEMÃOS)</t>
  </si>
  <si>
    <t>QTDE</t>
  </si>
  <si>
    <t>LUMINÁRIA TIPO PLAFON QUADRADA, DE SOBREPOR, COM LED DE 24 W - FORNECIMENTO E INSTALAÇÃO</t>
  </si>
  <si>
    <t>AUXILIAR DE ELETRICISTA COM ENCARGOS COMPLEMENTARES</t>
  </si>
  <si>
    <t>ELETRICISTA COM ENCARGOS COMPLEMENTARES</t>
  </si>
  <si>
    <t>LUMINARIA PAINEL PLAFON, DE SOBREPOR, QUADRADA *30 X 30* CM, EM ALUMINIO ACABAMENTO BRANCO, COM ACRILICO, COM
LAMPADAS LED 24W, BIVOLT</t>
  </si>
  <si>
    <t>CANALETA BRANCA PARA AR CONDICIONADAO EM BARRA 85 x 70mm</t>
  </si>
  <si>
    <t>CANALETA</t>
  </si>
  <si>
    <t>TERMINAL DE ACABAMENTO PARA CANALETA DE AR CONDICIONADO 85mm</t>
  </si>
  <si>
    <t>REPARO DE ESTRUTURA - LIXAMENTO MANUAL EM SUPERFÍCIES METÁLICAS EM OBRA.</t>
  </si>
  <si>
    <t>REPARO DE ESTRUTURA - PINTURA ANTICORROSIVA DE PERFIL METÁLICO</t>
  </si>
  <si>
    <t xml:space="preserve">CHUMBAMENTO PONTUAL DE ABERTURA EM LAJE </t>
  </si>
  <si>
    <t>FIXAÇÃO DE TUBOS HORIZONTAIS DE PVC ÁGUA/PVC ESGOTO/PVC PLUVIAL/CPVC/PPR/COBRE OU AÇO,DIÂMETROS MENORES OU IGUAIS A 40 MM, COM ABRAÇADEIRA METÁLICA RÍGIDA TIPO D COM PARAFUSO DE FIXAÇÃO 1 1/4", FIXADA DIRETAMENTE NA LAJE OU PAREDE</t>
  </si>
  <si>
    <t>REPAROS INTERNOS GERAIS</t>
  </si>
  <si>
    <t>REPAROS EXTERNOS GERAIS</t>
  </si>
  <si>
    <t>LIMPEZA MANUAL DE VEGETAÇÃO EM TERRENO COM ENXADA.</t>
  </si>
  <si>
    <t>CANCHA AREIA - LASTRO COM MATERIAL GRANULAR (AREIA MÉDIA), APLICADO EM PISOS OU LAJES SOBRE SOLO, ESPESSURA DE *10 CM*</t>
  </si>
  <si>
    <t>TELA DE ARAME ONDULADA, FIO *2,77* MM (12 BWG), MALHA 5 X 5 CM, H = 2 M</t>
  </si>
  <si>
    <t>REMOÇÃO CALHAS E RUFOS, DE FORMA MANUAL, SEM REAPROVEITAMENTO</t>
  </si>
  <si>
    <t>TRAMA DE MADEIRA COMPOSTA POR TERÇAS PARA TELHADOS DE ATÉ 2 ÁGUAS PARA TELHA ONDULADA DE FIBROCIMENTO, METÁLICA, PLÁSTICA OU TERMOACÚSTICA, INCLUSO TRANSPORTE VERTICAL</t>
  </si>
  <si>
    <t>6 meses</t>
  </si>
  <si>
    <t>REPARO FORROS - BIBLIOTECA</t>
  </si>
  <si>
    <t xml:space="preserve">PAR DE REDE PARA TRAVE, PARA FUTSAL/FUTEBOL DE SALÃO EM NYLON VÉU, FIO 6MM </t>
  </si>
  <si>
    <t>BEIRAIS - REMOÇÃO DE FORROS DE DRYWALL, PVC E FIBROMINERAL, DE FORMA MANUAL, SEM REAPROVEITAMENTO</t>
  </si>
  <si>
    <t>BEIRAIS - FORRO EM RÉGUAS DE PVC, LISO, PARA AMBIENTES COMERCIAIS, INCLUSIVE ESTRUTURA BIDIRECIONAL DE FIXAÇÃO.</t>
  </si>
  <si>
    <t>GUINDASTE HIDRÁULICO COM CESTO, COM LANÇA TELESCÓPICA 40 M, CAPACIDADE MÁXIMA 60 T, POTÊNCIA 260 KW - CHP DIURNO</t>
  </si>
  <si>
    <t>1.2</t>
  </si>
  <si>
    <t>ENGENHEIRO CIVIL DE OBRA PLENO COM ENCARGOS COMPLEMENTARES</t>
  </si>
  <si>
    <t>Reforma Escola Municipal de Ensino Fundamental Tancredo de Almeida Neves</t>
  </si>
  <si>
    <t>REFORMA ESCOLA MUNICIPAL DE ENSINO FUNDAMENTAL TANCREDO DE ALMEIDA NEVES</t>
  </si>
  <si>
    <t>3.3</t>
  </si>
  <si>
    <t>3.4</t>
  </si>
  <si>
    <t>3.5</t>
  </si>
  <si>
    <t>3.6</t>
  </si>
  <si>
    <t>3.7</t>
  </si>
  <si>
    <t>PISO DE TACOS - PINTURA VERNIZ (INCOLOR) POLIURETÂNICO (RESINA ALQUÍDICA MODIFICADA) EM MADEIRA, 2 DEMÃOS</t>
  </si>
  <si>
    <t>RODAPÉ - LIXAMENTO DE MADEIRA PARA APLICAÇÃO DE FUNDO OU PINTURA</t>
  </si>
  <si>
    <t>PISO DE TACOS - POLIDORA DE PISO (POLITRIZ), PESO DE 100KG, DIÂMETRO 450 MM, MOTOR ELÉTRICO, POTÊNCIA 4 HP - CHI DIURNO.</t>
  </si>
  <si>
    <t>PISO DE TACOS - POLIDORA DE PISO (POLITRIZ), PESO DE 100KG, DIÂMETRO 450 MM, MOTOR ELÉTRICO, POTÊNCIA 4 HP - CHP DIURNO.</t>
  </si>
  <si>
    <t>4.19</t>
  </si>
  <si>
    <t>9.4</t>
  </si>
  <si>
    <t xml:space="preserve">CAÇAMBA DE ENTULHO GRANDE </t>
  </si>
  <si>
    <t>ASSENTO SANITÁRIO INFANTIL - FORNECIMENTO E INSTALACAO</t>
  </si>
  <si>
    <t>Flores da Cunha, 19 de maio de 2025.</t>
  </si>
  <si>
    <t>5.2.5</t>
  </si>
  <si>
    <t>5.3</t>
  </si>
  <si>
    <t>PINTURA EXTERNA</t>
  </si>
  <si>
    <t>LIXAMENTO E LIMPEZA DE PAREDE EXISTENTE</t>
  </si>
  <si>
    <t>COMP 03</t>
  </si>
  <si>
    <t>APLICAÇÃO MANUAL DE TINTA EMBORRACHADA EM PAREDE EXTERNAS DE CASAS, DUAS DEMÃOS</t>
  </si>
  <si>
    <t>5.3.1</t>
  </si>
  <si>
    <t>5.3.2</t>
  </si>
  <si>
    <t>COMPOSIÇÃO xx (SINAPI JAN/2025)</t>
  </si>
  <si>
    <t>COMPOSIÇÃO 02 - ADAPTAÇÃO SINAPI - 100848</t>
  </si>
  <si>
    <t>COMPOSIÇÃO 03 - ADAPTAÇÃO SINAPI - 96361</t>
  </si>
  <si>
    <t>COMPOSIÇÃO 04 - ADAPTAÇÃO SINAPI - 103785</t>
  </si>
  <si>
    <t>COMP 01</t>
  </si>
  <si>
    <t>COMP 02</t>
  </si>
  <si>
    <t>PAV 01</t>
  </si>
  <si>
    <t>PAV 02</t>
  </si>
  <si>
    <t>ESQUADRIA  ABERTURAS</t>
  </si>
  <si>
    <t>pav 01</t>
  </si>
  <si>
    <t>m²</t>
  </si>
  <si>
    <t>pav 02</t>
  </si>
  <si>
    <t>TOTAL PINTURA EXTERNA</t>
  </si>
  <si>
    <t>5.3.3</t>
  </si>
  <si>
    <t>REPAROS PAREDES APLICAÇÃO MANUAL DE MASSA ACRÍLICA EM PAREDES, UMA DEMÃO</t>
  </si>
  <si>
    <t>INSTALAÇÕES ELÉTRICAS</t>
  </si>
  <si>
    <t>AGUARDAR ORÇAMENTO FERRI</t>
  </si>
  <si>
    <t>9.5</t>
  </si>
  <si>
    <t>9.6</t>
  </si>
  <si>
    <t>9.7</t>
  </si>
  <si>
    <t>9.8</t>
  </si>
  <si>
    <t>9.9</t>
  </si>
  <si>
    <t>9.10</t>
  </si>
  <si>
    <t>9.11</t>
  </si>
  <si>
    <t>9.12</t>
  </si>
  <si>
    <t>9.13</t>
  </si>
  <si>
    <t>9.14</t>
  </si>
  <si>
    <t>10</t>
  </si>
  <si>
    <t>10.1</t>
  </si>
  <si>
    <t>10.2</t>
  </si>
  <si>
    <t>10.4</t>
  </si>
  <si>
    <t>,</t>
  </si>
  <si>
    <t>5.3.4</t>
  </si>
  <si>
    <t>PINTURA LÁTEX ACRÍLICA PREMIUM, APLICAÇÃO MANUAL EM TETO, DUAS DEMÃOS.</t>
  </si>
  <si>
    <t>20% das paredes</t>
  </si>
  <si>
    <t>BANCADA DE GRANITO CINZA POLIDO, DE 5,40 X 0,60 M, 2 ALTURAS,  PARA LAVATÓRIO - FORNECIMENTO E INSTALAÇÃO</t>
  </si>
  <si>
    <t>BANCADA DE GRANITO CINZA POLIDO, DE 5,60 X 0,60 M, 2 ALTURAS, PARA LAVATÓRIO - FORNECIMENTO E INSTALAÇÃO</t>
  </si>
  <si>
    <t xml:space="preserve">TORNEIRA CROMADA TUBO MÓVEL, DE PAREDE, 1/2" OU 3/4", PARA PIA, PADRÃO MÉDIO - FORNECIMENTO E INSTALAÇÃO. </t>
  </si>
  <si>
    <t>ENGATE FLEXÍVEL EM INOX, 1/2 X 40CM - FORNECIMENTO E INSTALAÇÃO.</t>
  </si>
  <si>
    <t>REMOÇÃO DE TRAMA METÁLICA OU DE MADEIRA PARA FORRO, DE FORMA MANUAL, SEM REAPROVEITAMENTO</t>
  </si>
  <si>
    <t>2.4</t>
  </si>
  <si>
    <t>2.5</t>
  </si>
  <si>
    <t xml:space="preserve">SINAPI </t>
  </si>
  <si>
    <t>REMOÇÃO DE LUMINÁRIAS, DE FORMA MANUAL, SEM REAPROVEITAMENTO</t>
  </si>
  <si>
    <t>REPARO FORROS</t>
  </si>
  <si>
    <t>JOELHO 90 GRAUS, PVC, SERIE NORMAL, ESGOTO PREDIAL, DN 100 MM, JUNTA ELÁSTICA, FORNECIDO E INSTALADO EM RAMAL DE DESCARGA OU RAMAL DE ESGOTO SANITÁRIO. AF_08/2022</t>
  </si>
  <si>
    <t>39511 (A)</t>
  </si>
  <si>
    <t>*PISO TOTAL = 747m² - 5% de reparo</t>
  </si>
  <si>
    <t>1.3</t>
  </si>
  <si>
    <t>FORRO DE LÃ DE PET EM PLACAS DE 625 X 625 MM, E = 15 MM, BORDA RETA, COM PINTURA ANTIMOFO, APOIADO EM PERFIL DE ACO GALVANIZADO COM 24 MM DE BASE - INSTALADO</t>
  </si>
  <si>
    <t>REMOÇÃO DE CABOS ELÉTRICOS, COM SEÇÃO MAIOR QUE 2,5 MM² E MENOR QUE 10 MM², DE FORMA MANUAL, SEM REAPROVEITAMENTO. AF_09/2023</t>
  </si>
  <si>
    <t>2.6</t>
  </si>
  <si>
    <t>PISO EM TACO DE MADEIRA 7X21CM, FIXADO COM COLA PU. AF_02/2026_PS</t>
  </si>
  <si>
    <t>*RODAPÉ TOTAL =  496,16 m - 10 % de reparo</t>
  </si>
  <si>
    <t>3.8</t>
  </si>
  <si>
    <t>3.9</t>
  </si>
  <si>
    <t>RODAPÉ - PINTURA FUNDO NIVELADOR ALQUÍDICO BRANCO EM MADEIRA. AF_01/2021</t>
  </si>
  <si>
    <t>RODAPÉ -PINTURA TINTA DE ACABAMENTO (PIGMENTADA) ESMALTE SINTÉTICO BRILHANTE EM MADEIRA, 3 DEMÃOS. AF_01/2021</t>
  </si>
  <si>
    <t>PIAS - DEMOLIÇÃO DE LAJES, EM CONCRETO ARMADO, DE FORMA MANUAL, SEM REAPROVEITAMENTO. AF_09/2023</t>
  </si>
  <si>
    <t>RODAPÉ CERÂMICO DE 7CM DE ALTURA COM PLACAS TIPO ESMALTADA DE DIMENSÕES 60X60CM. AF_02/2023</t>
  </si>
  <si>
    <t>PORTA SANITÁRIOS -PORTA EM ALUMÍNIO DE ABRIR TIPO VENEZIANA COM GUARNIÇÃO, FIXAÇÃO COM PARAFUSOS - FORNECIMENTO E INSTALAÇÃO</t>
  </si>
  <si>
    <t>CONTRAMARCO DE ALUMÍNIO, FIXAÇÃO COM PARAFUSO - FORNECIMENTO E INSTALAÇÃO. AF_11/2024</t>
  </si>
  <si>
    <t>LICITACON</t>
  </si>
  <si>
    <t>PESQUISA LICITACON - VASO SANITÁRIO INFANTIL, COM CAIXA ACOPLADA, COR BRANCO</t>
  </si>
  <si>
    <t>VASO SANITÁRIO INFANTIL, COM CAIXA ACOPLADA, COR BRANCO, 01
BOTÃO DESCARGA 3,6 LITROS. CONFORME NORMAS VIGENTES ABNT/NBR -
INMETRO.</t>
  </si>
  <si>
    <t>PM DE IMBÉ - ATA DE REGISTRO DE PREÇO - EDITAL 0015/2026 PROCESSO 7011</t>
  </si>
  <si>
    <t>PM DE QUARAÍ - REGISTRO DE PREÇO 059/2025</t>
  </si>
  <si>
    <t>PM DE TEOTÔNIA - REGISTRO DE PREÇO 044-01/2025</t>
  </si>
  <si>
    <t>MÉDIA</t>
  </si>
  <si>
    <t>DESCONTO BDI</t>
  </si>
  <si>
    <t xml:space="preserve">VASO SANITÁRIO INFANTIL, CAIXA ACOPLADA, 3,6 LITROS, LOUÇA BRANCA - FORNECIMENTO E INSTALAÇÃO </t>
  </si>
  <si>
    <t>JANELAS E PORTAS</t>
  </si>
  <si>
    <t>LEVANTAMENTO PINTURA ESQUADRIAS</t>
  </si>
  <si>
    <t>PINTURA 2 LADOS</t>
  </si>
  <si>
    <t>PAREDES INTERNAS</t>
  </si>
  <si>
    <t>cozinha e refeitório</t>
  </si>
  <si>
    <t>pátio coberto sob salas</t>
  </si>
  <si>
    <t>desconto aberturas</t>
  </si>
  <si>
    <t>area</t>
  </si>
  <si>
    <t>excessão 2m</t>
  </si>
  <si>
    <t>qtde</t>
  </si>
  <si>
    <t>total de desconto</t>
  </si>
  <si>
    <t>aberturas pátio coberto</t>
  </si>
  <si>
    <t>desconto esquadrias da pintura</t>
  </si>
  <si>
    <t>total</t>
  </si>
  <si>
    <t>PINTURA DE PORTAS EM METAL E MADEIRA, JANELAS BASCULANTES E GRADES DE PROTEÇÃO</t>
  </si>
  <si>
    <t>PAREDES EXTERNAS</t>
  </si>
  <si>
    <t>PINTURA INTERNA precisa?</t>
  </si>
  <si>
    <t>canaleta</t>
  </si>
  <si>
    <t>média</t>
  </si>
  <si>
    <t>por metro</t>
  </si>
  <si>
    <t>terminal de acabamento</t>
  </si>
  <si>
    <t>unidade</t>
  </si>
  <si>
    <t xml:space="preserve">Curva </t>
  </si>
  <si>
    <t>24 ares 3 metros cada</t>
  </si>
  <si>
    <t>CURVA 90 PARA CANALETA CB80 - COR BRANCA</t>
  </si>
  <si>
    <t xml:space="preserve">COMPOSIÇÃO 05 </t>
  </si>
  <si>
    <t>PM DE BARÃO DO COTEGIPE - ATA DE REGISTRO DE PREÇO - Nº 45-2025</t>
  </si>
  <si>
    <t>CEASA - CONTRATO Nº 014/2025</t>
  </si>
  <si>
    <t>FUNDARTE MONTENEGRO - CONTRATO Nº 30.019/2025</t>
  </si>
  <si>
    <t>BEBEDOURO DE COLUNA, CONJUGADO ADULTO E INFANTIL, COM 2 TORNEIRAS, UMA DE JATO PARA A BOCA E OUTRA DE JATO PARA COPO, PURIFICADOR RE-FRIGERADO40, EM INOX, 220 V 60 HZ.</t>
  </si>
  <si>
    <t>BEBEDOURO DE COLUNA, CONJUGADO ADULTO E INFANTIL, COM 2 TORNEIRAS, PURIFICADOR RE-FRIGERADO, EM INOX, 220 V 60 HZ.</t>
  </si>
  <si>
    <t>BEBEDOURO DE COLUNA, CONJUGADO ADULTO E INFANTIL, COM 2 TORNEIRAS, PURIFICADOR RE-FRIGERADO, EM INOX - FORNECIMENTO E INSTALAÇÃO</t>
  </si>
  <si>
    <t>COMPOSIÇÃO</t>
  </si>
  <si>
    <t>9.15</t>
  </si>
  <si>
    <t>ESPELHO - TABUA NAO APARELHADA *2,5 X 15* CM, EM MACARANDUBA/ MASSARANDUBA, ANGELIM OU EQUIVALENTE DA REGIAO - BRUTA</t>
  </si>
  <si>
    <t>9.16</t>
  </si>
  <si>
    <t>INCLUI LIGAÇÃO ENTRE AS EDIFICAÇÕES QUE HOJE NÃO TEM BEIRAL</t>
  </si>
  <si>
    <t>9.17</t>
  </si>
  <si>
    <t>ESPELHOS - LIXAMENTO DE MADEIRA PARA APLICAÇÃO DE FUNDO OU PINTURA. AF_01/2021</t>
  </si>
  <si>
    <t>9.18</t>
  </si>
  <si>
    <t>ESPELHOS - PINTURA FUNDO NIVELADOR ALQUÍDICO BRANCO EM MADEIRA. AF_01/2021</t>
  </si>
  <si>
    <t>ESPELHOS - PINTURA TINTA DE ACABAMENTO (PIGMENTADA) ESMALTE SINTÉTICO ACETINADO EM MADEIRA, 2 DEMÃOS. AF_01/2021</t>
  </si>
  <si>
    <t>consideração de 30% do telhado + ligação dos prédios a refazer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</si>
  <si>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</si>
  <si>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</si>
  <si>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</si>
  <si>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</si>
  <si>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</si>
  <si>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</si>
  <si>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</si>
  <si>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</si>
  <si>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</si>
  <si>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</si>
  <si>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</si>
  <si>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</si>
  <si>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</si>
  <si>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Reforma Telhado da Escola Municipal de Ensino Fundamental Tancredo de Almeida Neves</t>
  </si>
  <si>
    <t>REFORMA TELHADO ESCOLA MUNICIPAL DE ENSINO FUNDAMENTAL TANCREDO DE ALMEIDA NEVES</t>
  </si>
  <si>
    <t>Flores da Cunha, 30 de abril de 2026.</t>
  </si>
  <si>
    <t>LOCACAO DE ANDAIME METALICO TIPO FACHADEIRO, PECAS COM
APROXIMADAMENTE 1,20 M DE LARGURA E 2,0 M DE ALTURA, INCLUINDO
DIAGONAIS EM X, BARRAS DE LIGACAO, SAPATAS E DEMAIS ITENS NECESSARIOS A MONTAGEM (NAO INCLUI INSTALACAO)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</si>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</sst>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R$-416]\ #,##0.00;[Red]\-[$R$-416]\ #,##0.00"/>
    <numFmt numFmtId="165" formatCode="_(* #,##0.00_);_(* \(#,##0.00\);_(* &quot;-&quot;??_);_(@_)"/>
    <numFmt numFmtId="166" formatCode="&quot;R$&quot;\ #,##0.00"/>
  </numFmts>
  <fonts count="47" x14ac:knownFonts="1">
    <font>
      <sz val="11"/>
      <color rgb="FF333333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333333"/>
      <name val="Arial"/>
      <family val="2"/>
      <charset val="1"/>
    </font>
    <font>
      <b/>
      <sz val="11"/>
      <name val="Arial"/>
      <family val="2"/>
      <charset val="1"/>
    </font>
    <font>
      <sz val="10.5"/>
      <name val="Arial"/>
      <family val="2"/>
      <charset val="1"/>
    </font>
    <font>
      <b/>
      <sz val="11"/>
      <color rgb="FF333333"/>
      <name val="Arial"/>
      <family val="2"/>
      <charset val="1"/>
    </font>
    <font>
      <sz val="12"/>
      <color rgb="FF000000"/>
      <name val="Arial"/>
      <family val="2"/>
    </font>
    <font>
      <sz val="12"/>
      <color rgb="FF333333"/>
      <name val="Arial"/>
      <family val="2"/>
    </font>
    <font>
      <sz val="12"/>
      <name val="Arial"/>
      <family val="2"/>
    </font>
    <font>
      <b/>
      <sz val="20"/>
      <color rgb="FF000000"/>
      <name val="Calibri"/>
      <family val="2"/>
      <charset val="1"/>
    </font>
    <font>
      <sz val="11"/>
      <color rgb="FF333333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6"/>
      <color theme="0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rgb="FF333333"/>
      <name val="Calibri"/>
      <family val="2"/>
      <charset val="1"/>
    </font>
    <font>
      <sz val="12"/>
      <color rgb="FF333333"/>
      <name val="Arial"/>
      <family val="2"/>
      <charset val="1"/>
    </font>
    <font>
      <sz val="12"/>
      <name val="Arial"/>
      <family val="2"/>
      <charset val="1"/>
    </font>
    <font>
      <sz val="11"/>
      <name val="Calibri"/>
      <family val="2"/>
      <charset val="1"/>
    </font>
    <font>
      <sz val="11"/>
      <color rgb="FF333333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333333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charset val="1"/>
    </font>
    <font>
      <sz val="10"/>
      <color rgb="FF333333"/>
      <name val="Calibri"/>
      <family val="2"/>
      <charset val="1"/>
      <scheme val="minor"/>
    </font>
    <font>
      <b/>
      <sz val="12"/>
      <name val="Arial"/>
      <family val="2"/>
      <charset val="1"/>
    </font>
    <font>
      <b/>
      <sz val="12"/>
      <name val="Arial"/>
      <family val="2"/>
    </font>
    <font>
      <b/>
      <sz val="20"/>
      <name val="Calibri"/>
      <family val="2"/>
      <charset val="1"/>
    </font>
    <font>
      <b/>
      <sz val="11"/>
      <name val="Arial"/>
      <family val="2"/>
    </font>
    <font>
      <sz val="11"/>
      <name val="Arial"/>
      <family val="2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sz val="10"/>
      <color rgb="FFFF0000"/>
      <name val="Calibri"/>
      <family val="2"/>
      <charset val="1"/>
      <scheme val="minor"/>
    </font>
    <font>
      <b/>
      <sz val="11"/>
      <color rgb="FF333333"/>
      <name val="Calibri"/>
      <family val="2"/>
    </font>
    <font>
      <b/>
      <sz val="11"/>
      <color rgb="FFFF0000"/>
      <name val="Calibri"/>
      <family val="2"/>
    </font>
    <font>
      <b/>
      <sz val="10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999999"/>
        <bgColor rgb="FF808080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C0C0C0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rgb="FFCCCCCC"/>
      </patternFill>
    </fill>
    <fill>
      <patternFill patternType="solid">
        <fgColor theme="2"/>
        <bgColor rgb="FFC0C0C0"/>
      </patternFill>
    </fill>
  </fills>
  <borders count="54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</borders>
  <cellStyleXfs count="10">
    <xf numFmtId="0" fontId="0" fillId="0" borderId="0"/>
    <xf numFmtId="0" fontId="19" fillId="0" borderId="0"/>
    <xf numFmtId="0" fontId="20" fillId="0" borderId="0"/>
    <xf numFmtId="165" fontId="20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9" fillId="0" borderId="0"/>
    <xf numFmtId="43" fontId="20" fillId="0" borderId="0" applyFont="0" applyFill="0" applyBorder="0" applyAlignment="0" applyProtection="0"/>
    <xf numFmtId="9" fontId="21" fillId="0" borderId="0" applyFont="0" applyFill="0" applyBorder="0" applyAlignment="0" applyProtection="0"/>
    <xf numFmtId="44" fontId="21" fillId="0" borderId="0" applyFont="0" applyFill="0" applyBorder="0" applyAlignment="0" applyProtection="0"/>
  </cellStyleXfs>
  <cellXfs count="405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9" fontId="9" fillId="0" borderId="3" xfId="0" applyNumberFormat="1" applyFont="1" applyBorder="1"/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10" fontId="10" fillId="0" borderId="3" xfId="0" applyNumberFormat="1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2" fillId="0" borderId="0" xfId="0" applyFont="1"/>
    <xf numFmtId="0" fontId="12" fillId="0" borderId="0" xfId="0" applyFont="1" applyAlignment="1">
      <alignment horizontal="left"/>
    </xf>
    <xf numFmtId="0" fontId="8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 wrapText="1"/>
    </xf>
    <xf numFmtId="0" fontId="18" fillId="5" borderId="0" xfId="0" applyFont="1" applyFill="1"/>
    <xf numFmtId="0" fontId="0" fillId="0" borderId="0" xfId="0" applyAlignment="1">
      <alignment horizontal="right" vertical="center"/>
    </xf>
    <xf numFmtId="0" fontId="22" fillId="0" borderId="0" xfId="0" applyFont="1"/>
    <xf numFmtId="0" fontId="23" fillId="0" borderId="0" xfId="0" applyFont="1"/>
    <xf numFmtId="0" fontId="24" fillId="0" borderId="0" xfId="0" applyFont="1"/>
    <xf numFmtId="0" fontId="25" fillId="0" borderId="0" xfId="0" applyFont="1" applyAlignment="1">
      <alignment vertical="center"/>
    </xf>
    <xf numFmtId="0" fontId="25" fillId="6" borderId="0" xfId="0" applyFont="1" applyFill="1" applyAlignment="1">
      <alignment vertical="center"/>
    </xf>
    <xf numFmtId="0" fontId="25" fillId="0" borderId="0" xfId="0" applyFont="1" applyAlignment="1">
      <alignment horizontal="center" vertical="center"/>
    </xf>
    <xf numFmtId="0" fontId="27" fillId="7" borderId="0" xfId="0" applyFont="1" applyFill="1" applyAlignment="1">
      <alignment vertical="center"/>
    </xf>
    <xf numFmtId="49" fontId="28" fillId="4" borderId="13" xfId="1" applyNumberFormat="1" applyFont="1" applyFill="1" applyBorder="1" applyAlignment="1">
      <alignment horizontal="center" vertical="center"/>
    </xf>
    <xf numFmtId="49" fontId="28" fillId="4" borderId="13" xfId="2" applyNumberFormat="1" applyFont="1" applyFill="1" applyBorder="1" applyAlignment="1">
      <alignment horizontal="center" vertical="center"/>
    </xf>
    <xf numFmtId="165" fontId="28" fillId="4" borderId="13" xfId="3" applyFont="1" applyFill="1" applyBorder="1" applyAlignment="1">
      <alignment horizontal="center" vertical="center"/>
    </xf>
    <xf numFmtId="49" fontId="28" fillId="0" borderId="0" xfId="1" applyNumberFormat="1" applyFont="1" applyAlignment="1">
      <alignment horizontal="center" vertical="center"/>
    </xf>
    <xf numFmtId="49" fontId="28" fillId="0" borderId="0" xfId="2" applyNumberFormat="1" applyFont="1" applyAlignment="1">
      <alignment horizontal="center" vertical="center"/>
    </xf>
    <xf numFmtId="165" fontId="28" fillId="0" borderId="0" xfId="3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horizontal="right" vertical="center"/>
    </xf>
    <xf numFmtId="4" fontId="26" fillId="0" borderId="0" xfId="0" applyNumberFormat="1" applyFont="1" applyAlignment="1">
      <alignment horizontal="center" vertical="center" wrapText="1"/>
    </xf>
    <xf numFmtId="4" fontId="26" fillId="0" borderId="0" xfId="0" applyNumberFormat="1" applyFont="1" applyAlignment="1">
      <alignment horizontal="center" vertical="center"/>
    </xf>
    <xf numFmtId="4" fontId="26" fillId="0" borderId="0" xfId="0" applyNumberFormat="1" applyFont="1" applyAlignment="1">
      <alignment vertical="center"/>
    </xf>
    <xf numFmtId="0" fontId="28" fillId="0" borderId="0" xfId="0" applyFont="1" applyAlignment="1">
      <alignment horizontal="center" vertical="center" wrapText="1"/>
    </xf>
    <xf numFmtId="0" fontId="25" fillId="9" borderId="0" xfId="0" applyFont="1" applyFill="1" applyAlignment="1">
      <alignment vertical="center"/>
    </xf>
    <xf numFmtId="4" fontId="9" fillId="0" borderId="0" xfId="0" applyNumberFormat="1" applyFont="1" applyAlignment="1">
      <alignment horizontal="center" vertical="center" wrapText="1"/>
    </xf>
    <xf numFmtId="4" fontId="9" fillId="0" borderId="5" xfId="0" applyNumberFormat="1" applyFont="1" applyBorder="1" applyAlignment="1">
      <alignment horizontal="center" vertical="center" wrapText="1"/>
    </xf>
    <xf numFmtId="0" fontId="18" fillId="5" borderId="0" xfId="0" applyFont="1" applyFill="1" applyAlignment="1">
      <alignment horizontal="left"/>
    </xf>
    <xf numFmtId="0" fontId="25" fillId="6" borderId="0" xfId="0" applyFont="1" applyFill="1" applyAlignment="1">
      <alignment horizontal="left" vertical="center"/>
    </xf>
    <xf numFmtId="0" fontId="25" fillId="9" borderId="0" xfId="0" applyFont="1" applyFill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28" fillId="0" borderId="0" xfId="0" applyNumberFormat="1" applyFont="1" applyAlignment="1">
      <alignment horizontal="center" vertical="center" wrapText="1"/>
    </xf>
    <xf numFmtId="4" fontId="28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0" fillId="0" borderId="0" xfId="0" applyFont="1"/>
    <xf numFmtId="166" fontId="30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vertical="center"/>
    </xf>
    <xf numFmtId="49" fontId="28" fillId="4" borderId="13" xfId="1" applyNumberFormat="1" applyFont="1" applyFill="1" applyBorder="1" applyAlignment="1">
      <alignment vertical="center"/>
    </xf>
    <xf numFmtId="49" fontId="28" fillId="0" borderId="0" xfId="1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0" fillId="0" borderId="0" xfId="0" applyAlignment="1">
      <alignment horizontal="center" wrapText="1"/>
    </xf>
    <xf numFmtId="0" fontId="9" fillId="0" borderId="0" xfId="0" applyFont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10" fontId="4" fillId="0" borderId="0" xfId="0" applyNumberFormat="1" applyFont="1" applyAlignment="1">
      <alignment horizontal="center"/>
    </xf>
    <xf numFmtId="0" fontId="7" fillId="2" borderId="0" xfId="0" applyFont="1" applyFill="1" applyAlignment="1">
      <alignment horizontal="center"/>
    </xf>
    <xf numFmtId="10" fontId="4" fillId="2" borderId="0" xfId="0" applyNumberFormat="1" applyFont="1" applyFill="1" applyAlignment="1">
      <alignment horizontal="center"/>
    </xf>
    <xf numFmtId="164" fontId="28" fillId="7" borderId="0" xfId="0" applyNumberFormat="1" applyFont="1" applyFill="1" applyAlignment="1">
      <alignment horizontal="right" vertical="center"/>
    </xf>
    <xf numFmtId="49" fontId="28" fillId="8" borderId="16" xfId="1" applyNumberFormat="1" applyFont="1" applyFill="1" applyBorder="1" applyAlignment="1">
      <alignment vertical="center"/>
    </xf>
    <xf numFmtId="49" fontId="28" fillId="8" borderId="16" xfId="1" applyNumberFormat="1" applyFont="1" applyFill="1" applyBorder="1" applyAlignment="1">
      <alignment horizontal="center" vertical="center"/>
    </xf>
    <xf numFmtId="49" fontId="28" fillId="8" borderId="16" xfId="2" applyNumberFormat="1" applyFont="1" applyFill="1" applyBorder="1" applyAlignment="1">
      <alignment horizontal="center" vertical="center"/>
    </xf>
    <xf numFmtId="165" fontId="28" fillId="8" borderId="16" xfId="3" applyFont="1" applyFill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left"/>
    </xf>
    <xf numFmtId="10" fontId="24" fillId="0" borderId="27" xfId="0" applyNumberFormat="1" applyFont="1" applyBorder="1"/>
    <xf numFmtId="10" fontId="31" fillId="0" borderId="27" xfId="0" applyNumberFormat="1" applyFont="1" applyBorder="1" applyAlignment="1">
      <alignment horizontal="center"/>
    </xf>
    <xf numFmtId="0" fontId="31" fillId="0" borderId="0" xfId="0" applyFont="1" applyAlignment="1">
      <alignment vertical="center"/>
    </xf>
    <xf numFmtId="0" fontId="23" fillId="0" borderId="2" xfId="0" applyFont="1" applyBorder="1" applyAlignment="1">
      <alignment horizontal="right"/>
    </xf>
    <xf numFmtId="0" fontId="23" fillId="0" borderId="2" xfId="0" applyFont="1" applyBorder="1"/>
    <xf numFmtId="0" fontId="23" fillId="0" borderId="4" xfId="0" applyFont="1" applyBorder="1"/>
    <xf numFmtId="0" fontId="23" fillId="0" borderId="5" xfId="0" applyFont="1" applyBorder="1" applyAlignment="1">
      <alignment horizontal="left"/>
    </xf>
    <xf numFmtId="0" fontId="31" fillId="0" borderId="3" xfId="0" applyFont="1" applyBorder="1" applyAlignment="1">
      <alignment horizontal="center" vertical="center"/>
    </xf>
    <xf numFmtId="0" fontId="22" fillId="10" borderId="0" xfId="0" applyFont="1" applyFill="1" applyAlignment="1">
      <alignment horizontal="center" vertical="center"/>
    </xf>
    <xf numFmtId="0" fontId="31" fillId="10" borderId="0" xfId="0" applyFont="1" applyFill="1" applyAlignment="1">
      <alignment vertical="center"/>
    </xf>
    <xf numFmtId="0" fontId="24" fillId="10" borderId="0" xfId="0" applyFon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4" fontId="26" fillId="0" borderId="14" xfId="0" applyNumberFormat="1" applyFont="1" applyBorder="1" applyAlignment="1">
      <alignment horizontal="center" vertical="center" wrapText="1"/>
    </xf>
    <xf numFmtId="49" fontId="28" fillId="9" borderId="7" xfId="1" applyNumberFormat="1" applyFont="1" applyFill="1" applyBorder="1" applyAlignment="1">
      <alignment vertical="center"/>
    </xf>
    <xf numFmtId="49" fontId="28" fillId="9" borderId="7" xfId="1" applyNumberFormat="1" applyFont="1" applyFill="1" applyBorder="1" applyAlignment="1">
      <alignment horizontal="center" vertical="center"/>
    </xf>
    <xf numFmtId="49" fontId="28" fillId="9" borderId="7" xfId="2" applyNumberFormat="1" applyFont="1" applyFill="1" applyBorder="1" applyAlignment="1">
      <alignment horizontal="center" vertical="center"/>
    </xf>
    <xf numFmtId="165" fontId="28" fillId="9" borderId="7" xfId="3" applyFont="1" applyFill="1" applyBorder="1" applyAlignment="1">
      <alignment horizontal="center" vertical="center"/>
    </xf>
    <xf numFmtId="0" fontId="0" fillId="0" borderId="22" xfId="0" applyBorder="1"/>
    <xf numFmtId="0" fontId="31" fillId="0" borderId="15" xfId="0" applyFont="1" applyBorder="1"/>
    <xf numFmtId="0" fontId="31" fillId="0" borderId="32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5" fillId="0" borderId="2" xfId="0" applyFont="1" applyBorder="1" applyAlignment="1">
      <alignment horizontal="right"/>
    </xf>
    <xf numFmtId="0" fontId="35" fillId="0" borderId="2" xfId="0" applyFont="1" applyBorder="1"/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left"/>
    </xf>
    <xf numFmtId="0" fontId="26" fillId="0" borderId="14" xfId="0" applyFont="1" applyBorder="1" applyAlignment="1">
      <alignment horizontal="left" wrapText="1"/>
    </xf>
    <xf numFmtId="0" fontId="26" fillId="0" borderId="14" xfId="0" applyFont="1" applyBorder="1" applyAlignment="1">
      <alignment horizontal="right" vertical="center"/>
    </xf>
    <xf numFmtId="0" fontId="26" fillId="0" borderId="14" xfId="0" applyFont="1" applyBorder="1" applyAlignment="1">
      <alignment vertical="center"/>
    </xf>
    <xf numFmtId="4" fontId="26" fillId="0" borderId="14" xfId="0" applyNumberFormat="1" applyFont="1" applyBorder="1" applyAlignment="1">
      <alignment horizontal="left" vertical="center" wrapText="1"/>
    </xf>
    <xf numFmtId="4" fontId="26" fillId="0" borderId="14" xfId="0" applyNumberFormat="1" applyFont="1" applyBorder="1" applyAlignment="1">
      <alignment horizontal="center" vertical="center"/>
    </xf>
    <xf numFmtId="0" fontId="26" fillId="0" borderId="7" xfId="0" applyFont="1" applyBorder="1" applyAlignment="1">
      <alignment vertical="center"/>
    </xf>
    <xf numFmtId="2" fontId="18" fillId="0" borderId="14" xfId="0" applyNumberFormat="1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/>
    </xf>
    <xf numFmtId="0" fontId="18" fillId="0" borderId="7" xfId="0" applyFont="1" applyBorder="1" applyAlignment="1">
      <alignment horizontal="left" vertical="center" wrapText="1"/>
    </xf>
    <xf numFmtId="4" fontId="26" fillId="0" borderId="7" xfId="0" applyNumberFormat="1" applyFont="1" applyBorder="1" applyAlignment="1">
      <alignment horizontal="center" vertical="center" wrapText="1"/>
    </xf>
    <xf numFmtId="4" fontId="26" fillId="0" borderId="7" xfId="0" applyNumberFormat="1" applyFont="1" applyBorder="1" applyAlignment="1">
      <alignment horizontal="center" vertical="center"/>
    </xf>
    <xf numFmtId="44" fontId="0" fillId="0" borderId="0" xfId="9" applyFont="1" applyAlignment="1">
      <alignment horizontal="left"/>
    </xf>
    <xf numFmtId="44" fontId="0" fillId="0" borderId="0" xfId="9" applyFont="1" applyAlignment="1">
      <alignment horizontal="left" vertical="center"/>
    </xf>
    <xf numFmtId="44" fontId="14" fillId="0" borderId="2" xfId="9" applyFont="1" applyBorder="1" applyAlignment="1">
      <alignment horizontal="left"/>
    </xf>
    <xf numFmtId="44" fontId="14" fillId="0" borderId="2" xfId="9" applyFont="1" applyBorder="1" applyAlignment="1">
      <alignment horizontal="left" vertical="center" wrapText="1"/>
    </xf>
    <xf numFmtId="44" fontId="10" fillId="0" borderId="4" xfId="9" applyFont="1" applyBorder="1" applyAlignment="1">
      <alignment horizontal="left" vertical="center" wrapText="1"/>
    </xf>
    <xf numFmtId="44" fontId="10" fillId="0" borderId="5" xfId="9" applyFont="1" applyBorder="1" applyAlignment="1">
      <alignment horizontal="left" vertical="center" wrapText="1"/>
    </xf>
    <xf numFmtId="44" fontId="28" fillId="4" borderId="13" xfId="9" applyFont="1" applyFill="1" applyBorder="1" applyAlignment="1">
      <alignment horizontal="left" vertical="center" wrapText="1"/>
    </xf>
    <xf numFmtId="44" fontId="28" fillId="0" borderId="0" xfId="9" applyFont="1" applyFill="1" applyBorder="1" applyAlignment="1">
      <alignment horizontal="left" vertical="center" wrapText="1"/>
    </xf>
    <xf numFmtId="44" fontId="28" fillId="8" borderId="16" xfId="9" applyFont="1" applyFill="1" applyBorder="1" applyAlignment="1">
      <alignment horizontal="left" vertical="center" wrapText="1"/>
    </xf>
    <xf numFmtId="44" fontId="26" fillId="0" borderId="14" xfId="9" applyFont="1" applyBorder="1" applyAlignment="1">
      <alignment horizontal="left" vertical="center" wrapText="1"/>
    </xf>
    <xf numFmtId="44" fontId="26" fillId="0" borderId="0" xfId="9" applyFont="1" applyAlignment="1">
      <alignment horizontal="left" vertical="center"/>
    </xf>
    <xf numFmtId="44" fontId="28" fillId="9" borderId="7" xfId="9" applyFont="1" applyFill="1" applyBorder="1" applyAlignment="1">
      <alignment horizontal="left" vertical="center" wrapText="1"/>
    </xf>
    <xf numFmtId="44" fontId="26" fillId="0" borderId="7" xfId="9" applyFont="1" applyBorder="1" applyAlignment="1">
      <alignment horizontal="left" vertical="center" wrapText="1"/>
    </xf>
    <xf numFmtId="10" fontId="23" fillId="0" borderId="33" xfId="8" applyNumberFormat="1" applyFont="1" applyBorder="1" applyAlignment="1" applyProtection="1">
      <alignment horizontal="right" vertical="center"/>
    </xf>
    <xf numFmtId="10" fontId="23" fillId="0" borderId="35" xfId="8" applyNumberFormat="1" applyFont="1" applyBorder="1" applyAlignment="1" applyProtection="1">
      <alignment horizontal="right" vertical="center"/>
    </xf>
    <xf numFmtId="10" fontId="23" fillId="0" borderId="14" xfId="8" applyNumberFormat="1" applyFont="1" applyBorder="1" applyAlignment="1" applyProtection="1">
      <alignment horizontal="right" vertical="center"/>
    </xf>
    <xf numFmtId="10" fontId="23" fillId="0" borderId="30" xfId="8" applyNumberFormat="1" applyFont="1" applyBorder="1" applyAlignment="1" applyProtection="1">
      <alignment horizontal="right" vertical="center"/>
    </xf>
    <xf numFmtId="0" fontId="23" fillId="0" borderId="6" xfId="0" applyFont="1" applyBorder="1" applyAlignment="1">
      <alignment horizontal="right" vertical="center"/>
    </xf>
    <xf numFmtId="10" fontId="23" fillId="0" borderId="0" xfId="8" applyNumberFormat="1" applyFont="1" applyBorder="1" applyAlignment="1" applyProtection="1">
      <alignment horizontal="right" vertical="center"/>
    </xf>
    <xf numFmtId="0" fontId="23" fillId="0" borderId="0" xfId="0" applyFont="1" applyAlignment="1">
      <alignment horizontal="right" vertical="center"/>
    </xf>
    <xf numFmtId="10" fontId="24" fillId="0" borderId="0" xfId="0" applyNumberFormat="1" applyFont="1"/>
    <xf numFmtId="0" fontId="25" fillId="0" borderId="14" xfId="0" applyFont="1" applyBorder="1" applyAlignment="1">
      <alignment horizontal="right" vertical="center"/>
    </xf>
    <xf numFmtId="0" fontId="25" fillId="0" borderId="14" xfId="0" applyFont="1" applyBorder="1" applyAlignment="1">
      <alignment horizontal="center" vertical="center"/>
    </xf>
    <xf numFmtId="0" fontId="25" fillId="0" borderId="14" xfId="0" applyFont="1" applyBorder="1" applyAlignment="1">
      <alignment vertical="center" wrapText="1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horizontal="left" vertical="center" wrapText="1"/>
    </xf>
    <xf numFmtId="2" fontId="26" fillId="0" borderId="14" xfId="0" applyNumberFormat="1" applyFont="1" applyBorder="1" applyAlignment="1">
      <alignment horizontal="center" vertical="center" wrapText="1"/>
    </xf>
    <xf numFmtId="2" fontId="26" fillId="0" borderId="14" xfId="0" applyNumberFormat="1" applyFont="1" applyBorder="1" applyAlignment="1">
      <alignment horizontal="center" vertical="center"/>
    </xf>
    <xf numFmtId="4" fontId="26" fillId="0" borderId="0" xfId="0" applyNumberFormat="1" applyFont="1" applyAlignment="1">
      <alignment horizontal="right" vertical="center" wrapText="1"/>
    </xf>
    <xf numFmtId="0" fontId="11" fillId="0" borderId="34" xfId="0" applyFont="1" applyBorder="1" applyAlignment="1">
      <alignment horizontal="right" vertical="center" wrapText="1"/>
    </xf>
    <xf numFmtId="0" fontId="11" fillId="0" borderId="15" xfId="0" applyFont="1" applyBorder="1" applyAlignment="1">
      <alignment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23" xfId="0" applyFont="1" applyBorder="1" applyAlignment="1">
      <alignment vertical="center" wrapText="1"/>
    </xf>
    <xf numFmtId="44" fontId="11" fillId="0" borderId="22" xfId="9" applyFont="1" applyBorder="1" applyAlignment="1">
      <alignment horizontal="left" vertical="center"/>
    </xf>
    <xf numFmtId="44" fontId="11" fillId="0" borderId="15" xfId="9" applyFont="1" applyBorder="1" applyAlignment="1">
      <alignment horizontal="left" vertical="center"/>
    </xf>
    <xf numFmtId="44" fontId="0" fillId="0" borderId="32" xfId="9" applyFont="1" applyBorder="1" applyAlignment="1">
      <alignment horizontal="left" vertical="center"/>
    </xf>
    <xf numFmtId="0" fontId="11" fillId="0" borderId="8" xfId="0" applyFont="1" applyBorder="1" applyAlignment="1">
      <alignment horizontal="right" vertical="center" wrapText="1"/>
    </xf>
    <xf numFmtId="44" fontId="24" fillId="0" borderId="37" xfId="9" applyFont="1" applyBorder="1" applyAlignment="1">
      <alignment horizontal="left" vertical="center"/>
    </xf>
    <xf numFmtId="0" fontId="8" fillId="0" borderId="8" xfId="0" applyFont="1" applyBorder="1" applyAlignment="1">
      <alignment horizontal="right" vertical="center"/>
    </xf>
    <xf numFmtId="10" fontId="13" fillId="0" borderId="0" xfId="8" applyNumberFormat="1" applyFont="1" applyBorder="1" applyAlignment="1">
      <alignment horizontal="left" vertical="center" wrapText="1"/>
    </xf>
    <xf numFmtId="44" fontId="5" fillId="0" borderId="37" xfId="9" applyFont="1" applyBorder="1" applyAlignment="1">
      <alignment horizontal="left" vertical="center" wrapText="1"/>
    </xf>
    <xf numFmtId="0" fontId="8" fillId="0" borderId="38" xfId="0" applyFont="1" applyBorder="1" applyAlignment="1">
      <alignment horizontal="right" vertical="center"/>
    </xf>
    <xf numFmtId="44" fontId="6" fillId="0" borderId="39" xfId="9" applyFont="1" applyBorder="1" applyAlignment="1">
      <alignment horizontal="left" vertical="center" wrapText="1"/>
    </xf>
    <xf numFmtId="49" fontId="28" fillId="4" borderId="44" xfId="1" applyNumberFormat="1" applyFont="1" applyFill="1" applyBorder="1" applyAlignment="1">
      <alignment horizontal="center" vertical="center"/>
    </xf>
    <xf numFmtId="44" fontId="28" fillId="4" borderId="45" xfId="9" applyFont="1" applyFill="1" applyBorder="1" applyAlignment="1">
      <alignment horizontal="left" vertical="center" wrapText="1"/>
    </xf>
    <xf numFmtId="49" fontId="28" fillId="0" borderId="8" xfId="1" applyNumberFormat="1" applyFont="1" applyBorder="1" applyAlignment="1">
      <alignment horizontal="right" vertical="center"/>
    </xf>
    <xf numFmtId="44" fontId="28" fillId="0" borderId="37" xfId="9" applyFont="1" applyFill="1" applyBorder="1" applyAlignment="1">
      <alignment horizontal="left" vertical="center"/>
    </xf>
    <xf numFmtId="49" fontId="28" fillId="8" borderId="46" xfId="1" applyNumberFormat="1" applyFont="1" applyFill="1" applyBorder="1" applyAlignment="1">
      <alignment horizontal="right" vertical="center"/>
    </xf>
    <xf numFmtId="44" fontId="28" fillId="8" borderId="47" xfId="9" applyFont="1" applyFill="1" applyBorder="1" applyAlignment="1">
      <alignment horizontal="left" vertical="center"/>
    </xf>
    <xf numFmtId="0" fontId="28" fillId="0" borderId="8" xfId="0" applyFont="1" applyBorder="1" applyAlignment="1">
      <alignment horizontal="left" vertical="center"/>
    </xf>
    <xf numFmtId="44" fontId="26" fillId="0" borderId="0" xfId="9" applyFont="1" applyBorder="1" applyAlignment="1">
      <alignment horizontal="left" vertical="center"/>
    </xf>
    <xf numFmtId="44" fontId="26" fillId="0" borderId="37" xfId="9" applyFont="1" applyBorder="1" applyAlignment="1">
      <alignment horizontal="left" vertical="center"/>
    </xf>
    <xf numFmtId="49" fontId="28" fillId="9" borderId="36" xfId="1" applyNumberFormat="1" applyFont="1" applyFill="1" applyBorder="1" applyAlignment="1">
      <alignment horizontal="right" vertical="center"/>
    </xf>
    <xf numFmtId="44" fontId="28" fillId="9" borderId="49" xfId="9" applyFont="1" applyFill="1" applyBorder="1" applyAlignment="1">
      <alignment horizontal="left" vertical="center"/>
    </xf>
    <xf numFmtId="0" fontId="26" fillId="0" borderId="36" xfId="0" applyFont="1" applyBorder="1" applyAlignment="1">
      <alignment horizontal="right" vertical="center"/>
    </xf>
    <xf numFmtId="44" fontId="26" fillId="0" borderId="49" xfId="9" applyFont="1" applyBorder="1" applyAlignment="1">
      <alignment horizontal="left" vertical="center" wrapText="1"/>
    </xf>
    <xf numFmtId="0" fontId="26" fillId="0" borderId="8" xfId="0" applyFont="1" applyBorder="1" applyAlignment="1">
      <alignment horizontal="right" vertical="center"/>
    </xf>
    <xf numFmtId="0" fontId="26" fillId="0" borderId="7" xfId="0" applyFont="1" applyBorder="1" applyAlignment="1">
      <alignment horizontal="center" vertical="center"/>
    </xf>
    <xf numFmtId="164" fontId="26" fillId="0" borderId="7" xfId="0" applyNumberFormat="1" applyFont="1" applyBorder="1" applyAlignment="1">
      <alignment horizontal="center" vertical="center" wrapText="1"/>
    </xf>
    <xf numFmtId="4" fontId="26" fillId="0" borderId="7" xfId="0" applyNumberFormat="1" applyFont="1" applyBorder="1" applyAlignment="1">
      <alignment vertical="center"/>
    </xf>
    <xf numFmtId="44" fontId="26" fillId="0" borderId="7" xfId="9" applyFont="1" applyBorder="1" applyAlignment="1">
      <alignment horizontal="left" vertical="center"/>
    </xf>
    <xf numFmtId="44" fontId="26" fillId="0" borderId="49" xfId="9" applyFont="1" applyBorder="1" applyAlignment="1">
      <alignment horizontal="left" vertical="center"/>
    </xf>
    <xf numFmtId="44" fontId="28" fillId="0" borderId="0" xfId="9" applyFont="1" applyFill="1" applyBorder="1" applyAlignment="1">
      <alignment horizontal="left" vertical="center"/>
    </xf>
    <xf numFmtId="0" fontId="0" fillId="11" borderId="0" xfId="0" applyFill="1" applyAlignment="1">
      <alignment vertical="center"/>
    </xf>
    <xf numFmtId="0" fontId="0" fillId="11" borderId="0" xfId="0" applyFill="1" applyAlignment="1">
      <alignment horizontal="center" vertical="center"/>
    </xf>
    <xf numFmtId="0" fontId="0" fillId="11" borderId="0" xfId="0" applyFill="1" applyAlignment="1">
      <alignment horizontal="center" wrapText="1"/>
    </xf>
    <xf numFmtId="0" fontId="0" fillId="11" borderId="0" xfId="0" applyFill="1" applyAlignment="1">
      <alignment horizontal="center" vertical="center" wrapText="1"/>
    </xf>
    <xf numFmtId="0" fontId="0" fillId="11" borderId="0" xfId="0" applyFill="1" applyAlignment="1">
      <alignment horizontal="center"/>
    </xf>
    <xf numFmtId="44" fontId="0" fillId="11" borderId="0" xfId="9" applyFont="1" applyFill="1" applyAlignment="1">
      <alignment horizontal="left"/>
    </xf>
    <xf numFmtId="0" fontId="38" fillId="11" borderId="0" xfId="0" applyFont="1" applyFill="1" applyAlignment="1">
      <alignment vertical="center"/>
    </xf>
    <xf numFmtId="0" fontId="37" fillId="14" borderId="14" xfId="0" applyFont="1" applyFill="1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0" fontId="0" fillId="0" borderId="14" xfId="0" applyBorder="1" applyAlignment="1">
      <alignment horizontal="center"/>
    </xf>
    <xf numFmtId="0" fontId="0" fillId="0" borderId="14" xfId="0" applyBorder="1"/>
    <xf numFmtId="8" fontId="37" fillId="13" borderId="14" xfId="0" applyNumberFormat="1" applyFont="1" applyFill="1" applyBorder="1"/>
    <xf numFmtId="8" fontId="0" fillId="0" borderId="14" xfId="0" applyNumberFormat="1" applyBorder="1" applyAlignment="1">
      <alignment horizontal="center" vertical="center"/>
    </xf>
    <xf numFmtId="0" fontId="30" fillId="0" borderId="0" xfId="0" applyFont="1" applyAlignment="1">
      <alignment horizontal="left"/>
    </xf>
    <xf numFmtId="0" fontId="30" fillId="0" borderId="0" xfId="0" applyFont="1" applyAlignment="1">
      <alignment horizontal="right"/>
    </xf>
    <xf numFmtId="44" fontId="26" fillId="0" borderId="14" xfId="9" applyFont="1" applyFill="1" applyBorder="1" applyAlignment="1">
      <alignment horizontal="left" vertical="center" wrapText="1"/>
    </xf>
    <xf numFmtId="0" fontId="25" fillId="0" borderId="0" xfId="0" applyFont="1" applyAlignment="1">
      <alignment horizontal="right" vertical="center"/>
    </xf>
    <xf numFmtId="0" fontId="39" fillId="0" borderId="14" xfId="0" applyFont="1" applyBorder="1" applyAlignment="1">
      <alignment horizontal="left" vertical="center" wrapText="1"/>
    </xf>
    <xf numFmtId="2" fontId="39" fillId="0" borderId="14" xfId="0" applyNumberFormat="1" applyFont="1" applyBorder="1" applyAlignment="1">
      <alignment horizontal="center" vertical="center" wrapText="1"/>
    </xf>
    <xf numFmtId="4" fontId="39" fillId="0" borderId="14" xfId="0" applyNumberFormat="1" applyFont="1" applyBorder="1" applyAlignment="1">
      <alignment horizontal="center" vertical="center"/>
    </xf>
    <xf numFmtId="0" fontId="40" fillId="0" borderId="0" xfId="0" applyFont="1" applyAlignment="1">
      <alignment vertical="center"/>
    </xf>
    <xf numFmtId="0" fontId="18" fillId="0" borderId="15" xfId="0" applyFont="1" applyBorder="1" applyAlignment="1">
      <alignment horizontal="left" vertical="center" wrapText="1"/>
    </xf>
    <xf numFmtId="0" fontId="37" fillId="0" borderId="8" xfId="0" applyFont="1" applyBorder="1"/>
    <xf numFmtId="0" fontId="37" fillId="0" borderId="0" xfId="0" applyFont="1"/>
    <xf numFmtId="0" fontId="37" fillId="0" borderId="37" xfId="0" applyFont="1" applyBorder="1"/>
    <xf numFmtId="0" fontId="41" fillId="0" borderId="14" xfId="0" applyFont="1" applyBorder="1" applyAlignment="1">
      <alignment horizontal="left" vertical="center" wrapText="1"/>
    </xf>
    <xf numFmtId="0" fontId="28" fillId="15" borderId="11" xfId="0" applyFont="1" applyFill="1" applyBorder="1" applyAlignment="1">
      <alignment vertical="center"/>
    </xf>
    <xf numFmtId="0" fontId="28" fillId="15" borderId="11" xfId="0" applyFont="1" applyFill="1" applyBorder="1" applyAlignment="1">
      <alignment horizontal="center" vertical="center"/>
    </xf>
    <xf numFmtId="0" fontId="28" fillId="15" borderId="11" xfId="0" applyFont="1" applyFill="1" applyBorder="1" applyAlignment="1">
      <alignment horizontal="center" vertical="center" wrapText="1"/>
    </xf>
    <xf numFmtId="4" fontId="28" fillId="15" borderId="11" xfId="0" applyNumberFormat="1" applyFont="1" applyFill="1" applyBorder="1" applyAlignment="1">
      <alignment horizontal="center" vertical="center" wrapText="1"/>
    </xf>
    <xf numFmtId="4" fontId="28" fillId="15" borderId="11" xfId="0" applyNumberFormat="1" applyFont="1" applyFill="1" applyBorder="1" applyAlignment="1">
      <alignment horizontal="center" vertical="center"/>
    </xf>
    <xf numFmtId="44" fontId="28" fillId="15" borderId="11" xfId="9" applyFont="1" applyFill="1" applyBorder="1" applyAlignment="1">
      <alignment horizontal="left" vertical="center"/>
    </xf>
    <xf numFmtId="0" fontId="0" fillId="0" borderId="8" xfId="0" applyBorder="1" applyAlignment="1">
      <alignment horizontal="center"/>
    </xf>
    <xf numFmtId="8" fontId="37" fillId="0" borderId="37" xfId="0" applyNumberFormat="1" applyFont="1" applyBorder="1"/>
    <xf numFmtId="0" fontId="27" fillId="0" borderId="0" xfId="9" applyNumberFormat="1" applyFont="1" applyAlignment="1">
      <alignment vertical="center"/>
    </xf>
    <xf numFmtId="9" fontId="25" fillId="0" borderId="0" xfId="0" applyNumberFormat="1" applyFont="1" applyAlignment="1">
      <alignment vertical="center"/>
    </xf>
    <xf numFmtId="0" fontId="38" fillId="0" borderId="0" xfId="0" applyFont="1" applyAlignment="1">
      <alignment vertical="center"/>
    </xf>
    <xf numFmtId="0" fontId="28" fillId="15" borderId="42" xfId="0" applyFont="1" applyFill="1" applyBorder="1" applyAlignment="1">
      <alignment horizontal="right" vertical="center"/>
    </xf>
    <xf numFmtId="0" fontId="26" fillId="15" borderId="1" xfId="0" applyFont="1" applyFill="1" applyBorder="1" applyAlignment="1">
      <alignment vertical="center"/>
    </xf>
    <xf numFmtId="0" fontId="18" fillId="15" borderId="0" xfId="0" applyFont="1" applyFill="1" applyAlignment="1">
      <alignment horizontal="center"/>
    </xf>
    <xf numFmtId="0" fontId="28" fillId="15" borderId="1" xfId="0" applyFont="1" applyFill="1" applyBorder="1" applyAlignment="1">
      <alignment horizontal="right" vertical="center"/>
    </xf>
    <xf numFmtId="0" fontId="28" fillId="15" borderId="38" xfId="0" applyFont="1" applyFill="1" applyBorder="1" applyAlignment="1">
      <alignment horizontal="right" vertical="center"/>
    </xf>
    <xf numFmtId="0" fontId="28" fillId="15" borderId="5" xfId="0" applyFont="1" applyFill="1" applyBorder="1" applyAlignment="1">
      <alignment horizontal="right" vertical="center"/>
    </xf>
    <xf numFmtId="44" fontId="28" fillId="15" borderId="39" xfId="9" applyFont="1" applyFill="1" applyBorder="1" applyAlignment="1">
      <alignment horizontal="left" vertical="center"/>
    </xf>
    <xf numFmtId="0" fontId="28" fillId="15" borderId="26" xfId="0" applyFont="1" applyFill="1" applyBorder="1" applyAlignment="1">
      <alignment horizontal="left" vertical="center"/>
    </xf>
    <xf numFmtId="0" fontId="28" fillId="15" borderId="20" xfId="0" applyFont="1" applyFill="1" applyBorder="1" applyAlignment="1">
      <alignment vertical="center"/>
    </xf>
    <xf numFmtId="0" fontId="28" fillId="15" borderId="20" xfId="0" applyFont="1" applyFill="1" applyBorder="1" applyAlignment="1">
      <alignment horizontal="center" vertical="center"/>
    </xf>
    <xf numFmtId="0" fontId="25" fillId="15" borderId="20" xfId="0" applyFont="1" applyFill="1" applyBorder="1" applyAlignment="1">
      <alignment vertical="center"/>
    </xf>
    <xf numFmtId="4" fontId="28" fillId="15" borderId="20" xfId="0" applyNumberFormat="1" applyFont="1" applyFill="1" applyBorder="1" applyAlignment="1">
      <alignment horizontal="center" vertical="center" wrapText="1"/>
    </xf>
    <xf numFmtId="4" fontId="28" fillId="15" borderId="20" xfId="0" applyNumberFormat="1" applyFont="1" applyFill="1" applyBorder="1" applyAlignment="1">
      <alignment horizontal="center" vertical="center"/>
    </xf>
    <xf numFmtId="44" fontId="28" fillId="15" borderId="20" xfId="9" applyFont="1" applyFill="1" applyBorder="1" applyAlignment="1">
      <alignment horizontal="left" vertical="center"/>
    </xf>
    <xf numFmtId="44" fontId="28" fillId="15" borderId="48" xfId="9" applyFont="1" applyFill="1" applyBorder="1" applyAlignment="1">
      <alignment horizontal="left" vertical="center"/>
    </xf>
    <xf numFmtId="0" fontId="28" fillId="16" borderId="26" xfId="0" applyFont="1" applyFill="1" applyBorder="1" applyAlignment="1">
      <alignment horizontal="left" vertical="center"/>
    </xf>
    <xf numFmtId="0" fontId="28" fillId="16" borderId="20" xfId="0" applyFont="1" applyFill="1" applyBorder="1" applyAlignment="1">
      <alignment vertical="center"/>
    </xf>
    <xf numFmtId="0" fontId="28" fillId="16" borderId="20" xfId="0" applyFont="1" applyFill="1" applyBorder="1" applyAlignment="1">
      <alignment horizontal="center" vertical="center"/>
    </xf>
    <xf numFmtId="4" fontId="28" fillId="16" borderId="20" xfId="0" applyNumberFormat="1" applyFont="1" applyFill="1" applyBorder="1" applyAlignment="1">
      <alignment horizontal="center" vertical="center" wrapText="1"/>
    </xf>
    <xf numFmtId="4" fontId="28" fillId="16" borderId="20" xfId="0" applyNumberFormat="1" applyFont="1" applyFill="1" applyBorder="1" applyAlignment="1">
      <alignment horizontal="center" vertical="center"/>
    </xf>
    <xf numFmtId="44" fontId="28" fillId="16" borderId="20" xfId="9" applyFont="1" applyFill="1" applyBorder="1" applyAlignment="1">
      <alignment horizontal="left" vertical="center"/>
    </xf>
    <xf numFmtId="44" fontId="28" fillId="16" borderId="48" xfId="9" applyFont="1" applyFill="1" applyBorder="1" applyAlignment="1">
      <alignment horizontal="left" vertical="center"/>
    </xf>
    <xf numFmtId="0" fontId="28" fillId="15" borderId="20" xfId="0" applyFont="1" applyFill="1" applyBorder="1" applyAlignment="1">
      <alignment horizontal="left" vertical="center" wrapText="1"/>
    </xf>
    <xf numFmtId="0" fontId="28" fillId="15" borderId="40" xfId="0" applyFont="1" applyFill="1" applyBorder="1" applyAlignment="1">
      <alignment horizontal="right" vertical="center"/>
    </xf>
    <xf numFmtId="44" fontId="28" fillId="15" borderId="41" xfId="9" applyFont="1" applyFill="1" applyBorder="1" applyAlignment="1">
      <alignment horizontal="left" vertical="center"/>
    </xf>
    <xf numFmtId="0" fontId="42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25" fillId="0" borderId="14" xfId="0" applyFont="1" applyBorder="1" applyAlignment="1">
      <alignment vertical="center"/>
    </xf>
    <xf numFmtId="0" fontId="27" fillId="0" borderId="14" xfId="0" applyFont="1" applyBorder="1" applyAlignment="1">
      <alignment vertical="center"/>
    </xf>
    <xf numFmtId="44" fontId="30" fillId="0" borderId="0" xfId="9" applyFont="1"/>
    <xf numFmtId="44" fontId="43" fillId="0" borderId="0" xfId="9" applyFont="1"/>
    <xf numFmtId="44" fontId="43" fillId="0" borderId="0" xfId="9" applyFont="1" applyAlignment="1">
      <alignment horizontal="center"/>
    </xf>
    <xf numFmtId="49" fontId="26" fillId="0" borderId="36" xfId="1" applyNumberFormat="1" applyFont="1" applyBorder="1" applyAlignment="1">
      <alignment horizontal="right" vertical="center"/>
    </xf>
    <xf numFmtId="0" fontId="18" fillId="0" borderId="50" xfId="0" applyFont="1" applyBorder="1" applyAlignment="1">
      <alignment horizontal="center" vertical="center"/>
    </xf>
    <xf numFmtId="4" fontId="26" fillId="0" borderId="0" xfId="0" applyNumberFormat="1" applyFont="1" applyAlignment="1">
      <alignment horizontal="right" vertical="center"/>
    </xf>
    <xf numFmtId="4" fontId="26" fillId="0" borderId="37" xfId="0" applyNumberFormat="1" applyFont="1" applyBorder="1" applyAlignment="1">
      <alignment horizontal="right" vertical="center"/>
    </xf>
    <xf numFmtId="0" fontId="18" fillId="0" borderId="14" xfId="0" applyFont="1" applyBorder="1" applyAlignment="1">
      <alignment horizontal="left" vertical="center"/>
    </xf>
    <xf numFmtId="44" fontId="26" fillId="0" borderId="14" xfId="9" applyFont="1" applyBorder="1" applyAlignment="1">
      <alignment horizontal="center" vertical="center" wrapText="1"/>
    </xf>
    <xf numFmtId="49" fontId="28" fillId="8" borderId="36" xfId="1" applyNumberFormat="1" applyFont="1" applyFill="1" applyBorder="1" applyAlignment="1">
      <alignment horizontal="right" vertical="center"/>
    </xf>
    <xf numFmtId="49" fontId="28" fillId="8" borderId="7" xfId="1" applyNumberFormat="1" applyFont="1" applyFill="1" applyBorder="1" applyAlignment="1">
      <alignment vertical="center"/>
    </xf>
    <xf numFmtId="49" fontId="28" fillId="8" borderId="7" xfId="1" applyNumberFormat="1" applyFont="1" applyFill="1" applyBorder="1" applyAlignment="1">
      <alignment horizontal="center" vertical="center"/>
    </xf>
    <xf numFmtId="49" fontId="28" fillId="8" borderId="7" xfId="2" applyNumberFormat="1" applyFont="1" applyFill="1" applyBorder="1" applyAlignment="1">
      <alignment horizontal="center" vertical="center"/>
    </xf>
    <xf numFmtId="165" fontId="28" fillId="8" borderId="7" xfId="3" applyFont="1" applyFill="1" applyBorder="1" applyAlignment="1">
      <alignment horizontal="center" vertical="center"/>
    </xf>
    <xf numFmtId="44" fontId="28" fillId="8" borderId="7" xfId="9" applyFont="1" applyFill="1" applyBorder="1" applyAlignment="1">
      <alignment horizontal="left" vertical="center" wrapText="1"/>
    </xf>
    <xf numFmtId="44" fontId="28" fillId="8" borderId="49" xfId="9" applyFont="1" applyFill="1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44" fontId="26" fillId="0" borderId="0" xfId="9" applyFont="1" applyBorder="1" applyAlignment="1">
      <alignment horizontal="left" vertical="center" wrapText="1"/>
    </xf>
    <xf numFmtId="44" fontId="26" fillId="0" borderId="37" xfId="9" applyFont="1" applyBorder="1" applyAlignment="1">
      <alignment horizontal="left" vertical="center" wrapText="1"/>
    </xf>
    <xf numFmtId="49" fontId="28" fillId="8" borderId="14" xfId="1" applyNumberFormat="1" applyFont="1" applyFill="1" applyBorder="1" applyAlignment="1">
      <alignment horizontal="right" vertical="center"/>
    </xf>
    <xf numFmtId="49" fontId="28" fillId="8" borderId="14" xfId="1" applyNumberFormat="1" applyFont="1" applyFill="1" applyBorder="1" applyAlignment="1">
      <alignment vertical="center"/>
    </xf>
    <xf numFmtId="49" fontId="28" fillId="8" borderId="14" xfId="1" applyNumberFormat="1" applyFont="1" applyFill="1" applyBorder="1" applyAlignment="1">
      <alignment horizontal="center" vertical="center"/>
    </xf>
    <xf numFmtId="49" fontId="28" fillId="8" borderId="14" xfId="2" applyNumberFormat="1" applyFont="1" applyFill="1" applyBorder="1" applyAlignment="1">
      <alignment horizontal="center" vertical="center"/>
    </xf>
    <xf numFmtId="165" fontId="28" fillId="8" borderId="14" xfId="3" applyFont="1" applyFill="1" applyBorder="1" applyAlignment="1">
      <alignment horizontal="center" vertical="center"/>
    </xf>
    <xf numFmtId="44" fontId="28" fillId="8" borderId="14" xfId="9" applyFont="1" applyFill="1" applyBorder="1" applyAlignment="1">
      <alignment horizontal="left" vertical="center" wrapText="1"/>
    </xf>
    <xf numFmtId="44" fontId="28" fillId="8" borderId="14" xfId="9" applyFont="1" applyFill="1" applyBorder="1" applyAlignment="1">
      <alignment horizontal="left" vertical="center"/>
    </xf>
    <xf numFmtId="49" fontId="28" fillId="0" borderId="14" xfId="1" applyNumberFormat="1" applyFont="1" applyBorder="1" applyAlignment="1">
      <alignment vertical="center"/>
    </xf>
    <xf numFmtId="49" fontId="28" fillId="0" borderId="14" xfId="1" applyNumberFormat="1" applyFont="1" applyBorder="1" applyAlignment="1">
      <alignment horizontal="center" vertical="center"/>
    </xf>
    <xf numFmtId="49" fontId="28" fillId="11" borderId="14" xfId="1" applyNumberFormat="1" applyFont="1" applyFill="1" applyBorder="1" applyAlignment="1">
      <alignment horizontal="center" vertical="center"/>
    </xf>
    <xf numFmtId="49" fontId="28" fillId="0" borderId="14" xfId="2" applyNumberFormat="1" applyFont="1" applyBorder="1" applyAlignment="1">
      <alignment horizontal="center" vertical="center"/>
    </xf>
    <xf numFmtId="165" fontId="28" fillId="0" borderId="14" xfId="3" applyFont="1" applyFill="1" applyBorder="1" applyAlignment="1">
      <alignment horizontal="center" vertical="center"/>
    </xf>
    <xf numFmtId="44" fontId="28" fillId="0" borderId="14" xfId="9" applyFont="1" applyFill="1" applyBorder="1" applyAlignment="1">
      <alignment horizontal="left" vertical="center" wrapText="1"/>
    </xf>
    <xf numFmtId="44" fontId="28" fillId="0" borderId="14" xfId="9" applyFont="1" applyFill="1" applyBorder="1" applyAlignment="1">
      <alignment horizontal="left" vertical="center"/>
    </xf>
    <xf numFmtId="49" fontId="28" fillId="8" borderId="20" xfId="1" applyNumberFormat="1" applyFont="1" applyFill="1" applyBorder="1" applyAlignment="1">
      <alignment vertical="center"/>
    </xf>
    <xf numFmtId="49" fontId="28" fillId="8" borderId="20" xfId="1" applyNumberFormat="1" applyFont="1" applyFill="1" applyBorder="1" applyAlignment="1">
      <alignment horizontal="center" vertical="center"/>
    </xf>
    <xf numFmtId="49" fontId="28" fillId="8" borderId="20" xfId="2" applyNumberFormat="1" applyFont="1" applyFill="1" applyBorder="1" applyAlignment="1">
      <alignment horizontal="center" vertical="center"/>
    </xf>
    <xf numFmtId="165" fontId="28" fillId="8" borderId="20" xfId="3" applyFont="1" applyFill="1" applyBorder="1" applyAlignment="1">
      <alignment horizontal="center" vertical="center"/>
    </xf>
    <xf numFmtId="44" fontId="28" fillId="8" borderId="20" xfId="9" applyFont="1" applyFill="1" applyBorder="1" applyAlignment="1">
      <alignment horizontal="left" vertical="center" wrapText="1"/>
    </xf>
    <xf numFmtId="0" fontId="22" fillId="17" borderId="0" xfId="0" applyFont="1" applyFill="1"/>
    <xf numFmtId="0" fontId="34" fillId="17" borderId="17" xfId="0" applyFont="1" applyFill="1" applyBorder="1" applyAlignment="1">
      <alignment horizontal="right"/>
    </xf>
    <xf numFmtId="0" fontId="32" fillId="17" borderId="9" xfId="0" applyFont="1" applyFill="1" applyBorder="1" applyAlignment="1">
      <alignment horizontal="left"/>
    </xf>
    <xf numFmtId="49" fontId="36" fillId="14" borderId="9" xfId="1" applyNumberFormat="1" applyFont="1" applyFill="1" applyBorder="1" applyAlignment="1">
      <alignment horizontal="left" vertical="center"/>
    </xf>
    <xf numFmtId="44" fontId="23" fillId="17" borderId="14" xfId="0" applyNumberFormat="1" applyFont="1" applyFill="1" applyBorder="1" applyAlignment="1">
      <alignment horizontal="right" vertical="center"/>
    </xf>
    <xf numFmtId="44" fontId="23" fillId="17" borderId="25" xfId="0" applyNumberFormat="1" applyFont="1" applyFill="1" applyBorder="1" applyAlignment="1">
      <alignment horizontal="right" vertical="center"/>
    </xf>
    <xf numFmtId="10" fontId="23" fillId="17" borderId="27" xfId="0" applyNumberFormat="1" applyFont="1" applyFill="1" applyBorder="1"/>
    <xf numFmtId="0" fontId="24" fillId="17" borderId="0" xfId="0" applyFont="1" applyFill="1"/>
    <xf numFmtId="0" fontId="0" fillId="17" borderId="0" xfId="0" applyFill="1"/>
    <xf numFmtId="0" fontId="23" fillId="17" borderId="0" xfId="0" applyFont="1" applyFill="1"/>
    <xf numFmtId="0" fontId="23" fillId="14" borderId="0" xfId="0" applyFont="1" applyFill="1"/>
    <xf numFmtId="0" fontId="24" fillId="14" borderId="0" xfId="0" applyFont="1" applyFill="1"/>
    <xf numFmtId="4" fontId="24" fillId="17" borderId="0" xfId="0" applyNumberFormat="1" applyFont="1" applyFill="1"/>
    <xf numFmtId="164" fontId="22" fillId="17" borderId="0" xfId="0" applyNumberFormat="1" applyFont="1" applyFill="1"/>
    <xf numFmtId="164" fontId="23" fillId="17" borderId="17" xfId="0" applyNumberFormat="1" applyFont="1" applyFill="1" applyBorder="1" applyAlignment="1">
      <alignment horizontal="right"/>
    </xf>
    <xf numFmtId="164" fontId="23" fillId="17" borderId="9" xfId="0" applyNumberFormat="1" applyFont="1" applyFill="1" applyBorder="1" applyAlignment="1">
      <alignment horizontal="left"/>
    </xf>
    <xf numFmtId="0" fontId="31" fillId="17" borderId="9" xfId="0" applyFont="1" applyFill="1" applyBorder="1" applyAlignment="1">
      <alignment horizontal="left"/>
    </xf>
    <xf numFmtId="44" fontId="31" fillId="17" borderId="14" xfId="0" applyNumberFormat="1" applyFont="1" applyFill="1" applyBorder="1" applyAlignment="1">
      <alignment horizontal="right" vertical="center"/>
    </xf>
    <xf numFmtId="44" fontId="31" fillId="17" borderId="31" xfId="0" applyNumberFormat="1" applyFont="1" applyFill="1" applyBorder="1" applyAlignment="1">
      <alignment horizontal="right" vertical="center"/>
    </xf>
    <xf numFmtId="164" fontId="24" fillId="17" borderId="0" xfId="0" applyNumberFormat="1" applyFont="1" applyFill="1"/>
    <xf numFmtId="164" fontId="0" fillId="17" borderId="0" xfId="0" applyNumberFormat="1" applyFill="1"/>
    <xf numFmtId="44" fontId="31" fillId="17" borderId="18" xfId="0" applyNumberFormat="1" applyFont="1" applyFill="1" applyBorder="1" applyAlignment="1">
      <alignment horizontal="right" vertical="center"/>
    </xf>
    <xf numFmtId="164" fontId="24" fillId="17" borderId="27" xfId="0" applyNumberFormat="1" applyFont="1" applyFill="1" applyBorder="1"/>
    <xf numFmtId="49" fontId="26" fillId="0" borderId="14" xfId="1" applyNumberFormat="1" applyFont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 wrapText="1"/>
    </xf>
    <xf numFmtId="0" fontId="0" fillId="0" borderId="51" xfId="0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8" fontId="0" fillId="0" borderId="9" xfId="0" applyNumberFormat="1" applyBorder="1" applyAlignment="1">
      <alignment horizontal="center" vertical="center"/>
    </xf>
    <xf numFmtId="8" fontId="44" fillId="0" borderId="14" xfId="0" applyNumberFormat="1" applyFont="1" applyBorder="1" applyAlignment="1">
      <alignment horizontal="center" vertical="center"/>
    </xf>
    <xf numFmtId="8" fontId="2" fillId="0" borderId="14" xfId="0" applyNumberFormat="1" applyFont="1" applyBorder="1" applyAlignment="1">
      <alignment horizontal="center" vertical="center"/>
    </xf>
    <xf numFmtId="8" fontId="37" fillId="13" borderId="14" xfId="0" applyNumberFormat="1" applyFont="1" applyFill="1" applyBorder="1" applyAlignment="1">
      <alignment horizontal="center"/>
    </xf>
    <xf numFmtId="8" fontId="38" fillId="0" borderId="14" xfId="0" applyNumberFormat="1" applyFont="1" applyBorder="1" applyAlignment="1">
      <alignment horizontal="center" vertical="center"/>
    </xf>
    <xf numFmtId="44" fontId="26" fillId="0" borderId="14" xfId="9" applyFont="1" applyBorder="1" applyAlignment="1">
      <alignment horizontal="right" vertical="center" wrapText="1"/>
    </xf>
    <xf numFmtId="0" fontId="38" fillId="0" borderId="0" xfId="0" applyFont="1"/>
    <xf numFmtId="0" fontId="45" fillId="0" borderId="0" xfId="0" applyFont="1"/>
    <xf numFmtId="0" fontId="0" fillId="0" borderId="15" xfId="0" applyBorder="1"/>
    <xf numFmtId="0" fontId="0" fillId="0" borderId="32" xfId="0" applyBorder="1"/>
    <xf numFmtId="0" fontId="0" fillId="0" borderId="37" xfId="0" applyBorder="1"/>
    <xf numFmtId="0" fontId="0" fillId="0" borderId="8" xfId="0" applyBorder="1"/>
    <xf numFmtId="0" fontId="0" fillId="0" borderId="36" xfId="0" applyBorder="1"/>
    <xf numFmtId="0" fontId="0" fillId="0" borderId="7" xfId="0" applyBorder="1"/>
    <xf numFmtId="0" fontId="0" fillId="0" borderId="49" xfId="0" applyBorder="1"/>
    <xf numFmtId="0" fontId="38" fillId="0" borderId="0" xfId="0" applyFont="1" applyAlignment="1">
      <alignment horizontal="center"/>
    </xf>
    <xf numFmtId="44" fontId="30" fillId="0" borderId="0" xfId="0" applyNumberFormat="1" applyFont="1"/>
    <xf numFmtId="44" fontId="46" fillId="0" borderId="0" xfId="9" applyFont="1"/>
    <xf numFmtId="44" fontId="39" fillId="0" borderId="14" xfId="9" applyFont="1" applyBorder="1" applyAlignment="1">
      <alignment horizontal="right" vertical="center" wrapText="1"/>
    </xf>
    <xf numFmtId="0" fontId="1" fillId="0" borderId="14" xfId="0" applyFont="1" applyBorder="1" applyAlignment="1">
      <alignment horizontal="left" vertical="center" wrapText="1"/>
    </xf>
    <xf numFmtId="0" fontId="41" fillId="0" borderId="7" xfId="0" applyFont="1" applyBorder="1" applyAlignment="1">
      <alignment horizontal="left" vertical="center" wrapText="1"/>
    </xf>
    <xf numFmtId="0" fontId="18" fillId="0" borderId="15" xfId="0" applyFont="1" applyBorder="1" applyAlignment="1">
      <alignment horizontal="center" vertical="center"/>
    </xf>
    <xf numFmtId="164" fontId="26" fillId="0" borderId="0" xfId="0" applyNumberFormat="1" applyFont="1" applyAlignment="1">
      <alignment horizontal="center" vertical="center" wrapText="1"/>
    </xf>
    <xf numFmtId="0" fontId="0" fillId="0" borderId="34" xfId="0" applyBorder="1"/>
    <xf numFmtId="0" fontId="0" fillId="0" borderId="15" xfId="0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1" fillId="0" borderId="37" xfId="0" applyFont="1" applyBorder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34" fillId="17" borderId="51" xfId="0" applyFont="1" applyFill="1" applyBorder="1" applyAlignment="1">
      <alignment horizontal="right"/>
    </xf>
    <xf numFmtId="0" fontId="35" fillId="0" borderId="8" xfId="0" applyFont="1" applyBorder="1" applyAlignment="1">
      <alignment horizontal="right"/>
    </xf>
    <xf numFmtId="164" fontId="23" fillId="17" borderId="51" xfId="0" applyNumberFormat="1" applyFont="1" applyFill="1" applyBorder="1" applyAlignment="1">
      <alignment horizontal="right"/>
    </xf>
    <xf numFmtId="0" fontId="23" fillId="0" borderId="8" xfId="0" applyFont="1" applyBorder="1"/>
    <xf numFmtId="10" fontId="23" fillId="0" borderId="53" xfId="8" applyNumberFormat="1" applyFont="1" applyBorder="1" applyAlignment="1" applyProtection="1">
      <alignment horizontal="right" vertical="center"/>
    </xf>
    <xf numFmtId="44" fontId="31" fillId="17" borderId="52" xfId="0" applyNumberFormat="1" applyFont="1" applyFill="1" applyBorder="1" applyAlignment="1">
      <alignment horizontal="right" vertical="center"/>
    </xf>
    <xf numFmtId="0" fontId="23" fillId="0" borderId="38" xfId="0" applyFont="1" applyBorder="1"/>
    <xf numFmtId="0" fontId="23" fillId="0" borderId="39" xfId="0" applyFont="1" applyBorder="1" applyAlignment="1">
      <alignment horizontal="right" vertical="center"/>
    </xf>
    <xf numFmtId="0" fontId="23" fillId="0" borderId="37" xfId="0" applyFont="1" applyBorder="1" applyAlignment="1">
      <alignment horizontal="right" vertical="center"/>
    </xf>
    <xf numFmtId="0" fontId="0" fillId="0" borderId="37" xfId="0" applyBorder="1" applyAlignment="1">
      <alignment horizontal="center" vertical="center"/>
    </xf>
    <xf numFmtId="0" fontId="23" fillId="0" borderId="36" xfId="0" applyFont="1" applyBorder="1"/>
    <xf numFmtId="0" fontId="23" fillId="0" borderId="7" xfId="0" applyFont="1" applyBorder="1" applyAlignment="1">
      <alignment horizontal="left"/>
    </xf>
    <xf numFmtId="10" fontId="23" fillId="0" borderId="7" xfId="8" applyNumberFormat="1" applyFont="1" applyBorder="1" applyAlignment="1" applyProtection="1">
      <alignment horizontal="right" vertical="center"/>
    </xf>
    <xf numFmtId="0" fontId="23" fillId="0" borderId="49" xfId="0" applyFont="1" applyBorder="1" applyAlignment="1">
      <alignment horizontal="right" vertical="center"/>
    </xf>
    <xf numFmtId="0" fontId="44" fillId="9" borderId="51" xfId="0" applyFont="1" applyFill="1" applyBorder="1" applyAlignment="1">
      <alignment horizontal="center" vertical="center" wrapText="1"/>
    </xf>
    <xf numFmtId="0" fontId="44" fillId="9" borderId="9" xfId="0" applyFont="1" applyFill="1" applyBorder="1" applyAlignment="1">
      <alignment horizontal="center" vertical="center"/>
    </xf>
    <xf numFmtId="0" fontId="44" fillId="9" borderId="52" xfId="0" applyFont="1" applyFill="1" applyBorder="1" applyAlignment="1">
      <alignment horizontal="center" vertical="center"/>
    </xf>
    <xf numFmtId="0" fontId="37" fillId="12" borderId="14" xfId="0" applyFont="1" applyFill="1" applyBorder="1" applyAlignment="1">
      <alignment horizontal="center"/>
    </xf>
    <xf numFmtId="0" fontId="37" fillId="13" borderId="14" xfId="0" applyFont="1" applyFill="1" applyBorder="1" applyAlignment="1">
      <alignment horizontal="center"/>
    </xf>
    <xf numFmtId="0" fontId="37" fillId="13" borderId="14" xfId="0" applyFont="1" applyFill="1" applyBorder="1" applyAlignment="1">
      <alignment horizontal="center" wrapText="1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4" fontId="26" fillId="0" borderId="0" xfId="0" applyNumberFormat="1" applyFont="1" applyAlignment="1">
      <alignment horizontal="right" vertical="center"/>
    </xf>
    <xf numFmtId="4" fontId="26" fillId="0" borderId="37" xfId="0" applyNumberFormat="1" applyFont="1" applyBorder="1" applyAlignment="1">
      <alignment horizontal="right" vertical="center"/>
    </xf>
    <xf numFmtId="0" fontId="33" fillId="0" borderId="0" xfId="0" applyFont="1" applyAlignment="1">
      <alignment horizontal="center" vertical="center" wrapText="1"/>
    </xf>
    <xf numFmtId="44" fontId="14" fillId="0" borderId="2" xfId="9" applyFont="1" applyBorder="1" applyAlignment="1">
      <alignment horizontal="left"/>
    </xf>
    <xf numFmtId="44" fontId="14" fillId="0" borderId="0" xfId="9" applyFont="1" applyBorder="1" applyAlignment="1">
      <alignment horizontal="left"/>
    </xf>
    <xf numFmtId="17" fontId="13" fillId="0" borderId="0" xfId="9" applyNumberFormat="1" applyFont="1" applyBorder="1" applyAlignment="1">
      <alignment horizontal="left"/>
    </xf>
    <xf numFmtId="44" fontId="13" fillId="0" borderId="37" xfId="9" applyFont="1" applyBorder="1" applyAlignment="1">
      <alignment horizontal="left"/>
    </xf>
    <xf numFmtId="0" fontId="17" fillId="3" borderId="40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0" fontId="17" fillId="3" borderId="41" xfId="0" applyFont="1" applyFill="1" applyBorder="1" applyAlignment="1">
      <alignment horizontal="center" vertical="center"/>
    </xf>
    <xf numFmtId="14" fontId="26" fillId="15" borderId="1" xfId="0" applyNumberFormat="1" applyFont="1" applyFill="1" applyBorder="1" applyAlignment="1">
      <alignment horizontal="left" vertical="center"/>
    </xf>
    <xf numFmtId="0" fontId="26" fillId="15" borderId="1" xfId="0" applyFont="1" applyFill="1" applyBorder="1" applyAlignment="1">
      <alignment horizontal="left" vertical="center"/>
    </xf>
    <xf numFmtId="0" fontId="26" fillId="15" borderId="43" xfId="0" applyFont="1" applyFill="1" applyBorder="1" applyAlignment="1">
      <alignment horizontal="left" vertical="center"/>
    </xf>
    <xf numFmtId="14" fontId="26" fillId="15" borderId="5" xfId="0" applyNumberFormat="1" applyFont="1" applyFill="1" applyBorder="1" applyAlignment="1">
      <alignment horizontal="left" vertical="center"/>
    </xf>
    <xf numFmtId="0" fontId="26" fillId="15" borderId="5" xfId="0" applyFont="1" applyFill="1" applyBorder="1" applyAlignment="1">
      <alignment horizontal="left" vertical="center"/>
    </xf>
    <xf numFmtId="0" fontId="0" fillId="0" borderId="3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2" xfId="0" applyBorder="1" applyAlignment="1">
      <alignment horizontal="center"/>
    </xf>
    <xf numFmtId="4" fontId="15" fillId="0" borderId="0" xfId="0" applyNumberFormat="1" applyFont="1" applyAlignment="1">
      <alignment horizontal="center" vertical="center"/>
    </xf>
    <xf numFmtId="0" fontId="23" fillId="0" borderId="2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31" fillId="17" borderId="10" xfId="0" applyFont="1" applyFill="1" applyBorder="1" applyAlignment="1">
      <alignment horizontal="center" vertical="center"/>
    </xf>
    <xf numFmtId="0" fontId="31" fillId="17" borderId="11" xfId="0" applyFont="1" applyFill="1" applyBorder="1" applyAlignment="1">
      <alignment horizontal="center" vertical="center"/>
    </xf>
    <xf numFmtId="0" fontId="31" fillId="17" borderId="12" xfId="0" applyFont="1" applyFill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1" fillId="0" borderId="7" xfId="0" applyFont="1" applyBorder="1" applyAlignment="1">
      <alignment horizontal="center" vertical="center"/>
    </xf>
    <xf numFmtId="0" fontId="31" fillId="0" borderId="29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20" xfId="0" applyFont="1" applyBorder="1" applyAlignment="1">
      <alignment horizontal="center" vertical="center"/>
    </xf>
    <xf numFmtId="0" fontId="31" fillId="0" borderId="21" xfId="0" applyFont="1" applyBorder="1" applyAlignment="1">
      <alignment horizontal="center" vertical="center"/>
    </xf>
    <xf numFmtId="4" fontId="16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164" fontId="26" fillId="0" borderId="0" xfId="0" applyNumberFormat="1" applyFont="1" applyAlignment="1">
      <alignment horizontal="center" vertical="center" wrapText="1"/>
    </xf>
    <xf numFmtId="10" fontId="23" fillId="0" borderId="0" xfId="8" applyNumberFormat="1" applyFont="1" applyBorder="1" applyAlignment="1" applyProtection="1">
      <alignment horizontal="center" vertical="center"/>
    </xf>
    <xf numFmtId="0" fontId="31" fillId="17" borderId="40" xfId="0" applyFont="1" applyFill="1" applyBorder="1" applyAlignment="1">
      <alignment horizontal="center" vertical="center"/>
    </xf>
    <xf numFmtId="0" fontId="31" fillId="17" borderId="41" xfId="0" applyFont="1" applyFill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0" borderId="49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/>
    </xf>
  </cellXfs>
  <cellStyles count="10">
    <cellStyle name="Moeda" xfId="9" builtinId="4"/>
    <cellStyle name="Moeda 2" xfId="5" xr:uid="{00000000-0005-0000-0000-000000000000}"/>
    <cellStyle name="Normal" xfId="0" builtinId="0"/>
    <cellStyle name="Normal 2" xfId="1" xr:uid="{00000000-0005-0000-0000-000002000000}"/>
    <cellStyle name="Normal 2 2" xfId="6" xr:uid="{00000000-0005-0000-0000-000003000000}"/>
    <cellStyle name="Normal 2 2 2" xfId="2" xr:uid="{00000000-0005-0000-0000-000004000000}"/>
    <cellStyle name="Normal 3" xfId="4" xr:uid="{00000000-0005-0000-0000-000005000000}"/>
    <cellStyle name="Porcentagem" xfId="8" builtinId="5"/>
    <cellStyle name="Vírgula 5" xfId="3" xr:uid="{00000000-0005-0000-0000-000008000000}"/>
    <cellStyle name="Vírgula 5 2" xfId="7" xr:uid="{00000000-0005-0000-0000-000009000000}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FE7F5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FBDBD"/>
      <color rgb="FFCADFFE"/>
      <color rgb="FFFFFFCC"/>
      <color rgb="FFFFFF99"/>
      <color rgb="FFFF6600"/>
      <color rgb="FFFFE7FF"/>
      <color rgb="FFFFCCFF"/>
      <color rgb="FFC9C9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169050</xdr:colOff>
      <xdr:row>3</xdr:row>
      <xdr:rowOff>0</xdr:rowOff>
    </xdr:from>
    <xdr:to>
      <xdr:col>7</xdr:col>
      <xdr:colOff>3106304</xdr:colOff>
      <xdr:row>16</xdr:row>
      <xdr:rowOff>57825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5998A56-29E1-41A7-30DC-F3C2D153F6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55900" y="4800600"/>
          <a:ext cx="4232654" cy="2477175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180975</xdr:colOff>
      <xdr:row>56</xdr:row>
      <xdr:rowOff>93948</xdr:rowOff>
    </xdr:from>
    <xdr:to>
      <xdr:col>7</xdr:col>
      <xdr:colOff>152400</xdr:colOff>
      <xdr:row>66</xdr:row>
      <xdr:rowOff>86377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143F0D0C-0428-0C3B-C86E-6BF39A8C0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267825" y="25744773"/>
          <a:ext cx="1266825" cy="2278429"/>
        </a:xfrm>
        <a:prstGeom prst="rect">
          <a:avLst/>
        </a:prstGeom>
      </xdr:spPr>
    </xdr:pic>
    <xdr:clientData/>
  </xdr:twoCellAnchor>
  <xdr:twoCellAnchor editAs="oneCell">
    <xdr:from>
      <xdr:col>7</xdr:col>
      <xdr:colOff>159315</xdr:colOff>
      <xdr:row>56</xdr:row>
      <xdr:rowOff>1631</xdr:rowOff>
    </xdr:from>
    <xdr:to>
      <xdr:col>7</xdr:col>
      <xdr:colOff>1609725</xdr:colOff>
      <xdr:row>66</xdr:row>
      <xdr:rowOff>362629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5065F51C-DF4F-9DE7-8A3A-564F531D82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541565" y="25652456"/>
          <a:ext cx="1450410" cy="2646998"/>
        </a:xfrm>
        <a:prstGeom prst="rect">
          <a:avLst/>
        </a:prstGeom>
      </xdr:spPr>
    </xdr:pic>
    <xdr:clientData/>
  </xdr:twoCellAnchor>
  <xdr:twoCellAnchor editAs="oneCell">
    <xdr:from>
      <xdr:col>7</xdr:col>
      <xdr:colOff>1781175</xdr:colOff>
      <xdr:row>55</xdr:row>
      <xdr:rowOff>133350</xdr:rowOff>
    </xdr:from>
    <xdr:to>
      <xdr:col>7</xdr:col>
      <xdr:colOff>3318930</xdr:colOff>
      <xdr:row>66</xdr:row>
      <xdr:rowOff>476955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F89E277E-FF0F-3BA7-AD42-CCCEB5126D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163425" y="25593675"/>
          <a:ext cx="1537755" cy="2820105"/>
        </a:xfrm>
        <a:prstGeom prst="rect">
          <a:avLst/>
        </a:prstGeom>
      </xdr:spPr>
    </xdr:pic>
    <xdr:clientData/>
  </xdr:twoCellAnchor>
  <xdr:twoCellAnchor editAs="oneCell">
    <xdr:from>
      <xdr:col>6</xdr:col>
      <xdr:colOff>209550</xdr:colOff>
      <xdr:row>139</xdr:row>
      <xdr:rowOff>152400</xdr:rowOff>
    </xdr:from>
    <xdr:to>
      <xdr:col>7</xdr:col>
      <xdr:colOff>266889</xdr:colOff>
      <xdr:row>156</xdr:row>
      <xdr:rowOff>38468</xdr:rowOff>
    </xdr:to>
    <xdr:pic>
      <xdr:nvPicPr>
        <xdr:cNvPr id="17" name="Imagem 16">
          <a:extLst>
            <a:ext uri="{FF2B5EF4-FFF2-40B4-BE49-F238E27FC236}">
              <a16:creationId xmlns:a16="http://schemas.microsoft.com/office/drawing/2014/main" id="{A8C28769-635D-382E-3249-434BC185EA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296400" y="38909625"/>
          <a:ext cx="1352739" cy="2638793"/>
        </a:xfrm>
        <a:prstGeom prst="rect">
          <a:avLst/>
        </a:prstGeom>
      </xdr:spPr>
    </xdr:pic>
    <xdr:clientData/>
  </xdr:twoCellAnchor>
  <xdr:twoCellAnchor editAs="oneCell">
    <xdr:from>
      <xdr:col>7</xdr:col>
      <xdr:colOff>323850</xdr:colOff>
      <xdr:row>139</xdr:row>
      <xdr:rowOff>104775</xdr:rowOff>
    </xdr:from>
    <xdr:to>
      <xdr:col>7</xdr:col>
      <xdr:colOff>1619431</xdr:colOff>
      <xdr:row>155</xdr:row>
      <xdr:rowOff>124189</xdr:rowOff>
    </xdr:to>
    <xdr:pic>
      <xdr:nvPicPr>
        <xdr:cNvPr id="18" name="Imagem 17">
          <a:extLst>
            <a:ext uri="{FF2B5EF4-FFF2-40B4-BE49-F238E27FC236}">
              <a16:creationId xmlns:a16="http://schemas.microsoft.com/office/drawing/2014/main" id="{8CFFD344-2584-3632-10E1-20699BF2CC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706100" y="38862000"/>
          <a:ext cx="1295581" cy="2610214"/>
        </a:xfrm>
        <a:prstGeom prst="rect">
          <a:avLst/>
        </a:prstGeom>
      </xdr:spPr>
    </xdr:pic>
    <xdr:clientData/>
  </xdr:twoCellAnchor>
  <xdr:twoCellAnchor editAs="oneCell">
    <xdr:from>
      <xdr:col>7</xdr:col>
      <xdr:colOff>1638300</xdr:colOff>
      <xdr:row>139</xdr:row>
      <xdr:rowOff>152400</xdr:rowOff>
    </xdr:from>
    <xdr:to>
      <xdr:col>7</xdr:col>
      <xdr:colOff>2828471</xdr:colOff>
      <xdr:row>155</xdr:row>
      <xdr:rowOff>152400</xdr:rowOff>
    </xdr:to>
    <xdr:pic>
      <xdr:nvPicPr>
        <xdr:cNvPr id="19" name="Imagem 18">
          <a:extLst>
            <a:ext uri="{FF2B5EF4-FFF2-40B4-BE49-F238E27FC236}">
              <a16:creationId xmlns:a16="http://schemas.microsoft.com/office/drawing/2014/main" id="{083DE7E0-6A06-CEFC-333E-91E27730C9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2020550" y="38909625"/>
          <a:ext cx="1190171" cy="2590800"/>
        </a:xfrm>
        <a:prstGeom prst="rect">
          <a:avLst/>
        </a:prstGeom>
      </xdr:spPr>
    </xdr:pic>
    <xdr:clientData/>
  </xdr:twoCellAnchor>
  <xdr:twoCellAnchor>
    <xdr:from>
      <xdr:col>5</xdr:col>
      <xdr:colOff>247650</xdr:colOff>
      <xdr:row>23</xdr:row>
      <xdr:rowOff>361950</xdr:rowOff>
    </xdr:from>
    <xdr:to>
      <xdr:col>5</xdr:col>
      <xdr:colOff>247650</xdr:colOff>
      <xdr:row>35</xdr:row>
      <xdr:rowOff>114300</xdr:rowOff>
    </xdr:to>
    <xdr:cxnSp macro="">
      <xdr:nvCxnSpPr>
        <xdr:cNvPr id="4" name="Conector de Seta Reta 3">
          <a:extLst>
            <a:ext uri="{FF2B5EF4-FFF2-40B4-BE49-F238E27FC236}">
              <a16:creationId xmlns:a16="http://schemas.microsoft.com/office/drawing/2014/main" id="{D655F70E-19E3-E095-8DDB-BB3E52E15B60}"/>
            </a:ext>
          </a:extLst>
        </xdr:cNvPr>
        <xdr:cNvCxnSpPr/>
      </xdr:nvCxnSpPr>
      <xdr:spPr>
        <a:xfrm flipV="1">
          <a:off x="8191500" y="4543425"/>
          <a:ext cx="0" cy="2990850"/>
        </a:xfrm>
        <a:prstGeom prst="straightConnector1">
          <a:avLst/>
        </a:prstGeom>
        <a:ln>
          <a:solidFill>
            <a:srgbClr val="C0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190500</xdr:colOff>
      <xdr:row>76</xdr:row>
      <xdr:rowOff>1</xdr:rowOff>
    </xdr:from>
    <xdr:to>
      <xdr:col>3</xdr:col>
      <xdr:colOff>542925</xdr:colOff>
      <xdr:row>96</xdr:row>
      <xdr:rowOff>161481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3CD19D10-B842-49C5-C1DA-19DE8DD011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90500" y="16373476"/>
          <a:ext cx="6438900" cy="3399980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266700</xdr:colOff>
      <xdr:row>96</xdr:row>
      <xdr:rowOff>133351</xdr:rowOff>
    </xdr:from>
    <xdr:to>
      <xdr:col>1</xdr:col>
      <xdr:colOff>3495675</xdr:colOff>
      <xdr:row>112</xdr:row>
      <xdr:rowOff>135173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C3FE215A-2F49-4E66-E785-7512598454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66700" y="19745326"/>
          <a:ext cx="3990975" cy="2592622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333375</xdr:colOff>
      <xdr:row>113</xdr:row>
      <xdr:rowOff>85725</xdr:rowOff>
    </xdr:from>
    <xdr:to>
      <xdr:col>1</xdr:col>
      <xdr:colOff>4295775</xdr:colOff>
      <xdr:row>128</xdr:row>
      <xdr:rowOff>59314</xdr:rowOff>
    </xdr:to>
    <xdr:pic>
      <xdr:nvPicPr>
        <xdr:cNvPr id="21" name="Imagem 20">
          <a:extLst>
            <a:ext uri="{FF2B5EF4-FFF2-40B4-BE49-F238E27FC236}">
              <a16:creationId xmlns:a16="http://schemas.microsoft.com/office/drawing/2014/main" id="{7AC136A4-3C2C-83C9-E174-AA8CAD2D3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33375" y="22450425"/>
          <a:ext cx="4724400" cy="2402464"/>
        </a:xfrm>
        <a:prstGeom prst="rect">
          <a:avLst/>
        </a:prstGeom>
      </xdr:spPr>
    </xdr:pic>
    <xdr:clientData/>
  </xdr:twoCellAnchor>
  <xdr:twoCellAnchor>
    <xdr:from>
      <xdr:col>5</xdr:col>
      <xdr:colOff>247650</xdr:colOff>
      <xdr:row>66</xdr:row>
      <xdr:rowOff>361950</xdr:rowOff>
    </xdr:from>
    <xdr:to>
      <xdr:col>5</xdr:col>
      <xdr:colOff>247650</xdr:colOff>
      <xdr:row>74</xdr:row>
      <xdr:rowOff>114300</xdr:rowOff>
    </xdr:to>
    <xdr:cxnSp macro="">
      <xdr:nvCxnSpPr>
        <xdr:cNvPr id="3" name="Conector de Seta Reta 2">
          <a:extLst>
            <a:ext uri="{FF2B5EF4-FFF2-40B4-BE49-F238E27FC236}">
              <a16:creationId xmlns:a16="http://schemas.microsoft.com/office/drawing/2014/main" id="{8141878F-8BA3-4E32-B55F-19D05E319360}"/>
            </a:ext>
          </a:extLst>
        </xdr:cNvPr>
        <xdr:cNvCxnSpPr/>
      </xdr:nvCxnSpPr>
      <xdr:spPr>
        <a:xfrm flipV="1">
          <a:off x="8191500" y="4543425"/>
          <a:ext cx="0" cy="2990850"/>
        </a:xfrm>
        <a:prstGeom prst="straightConnector1">
          <a:avLst/>
        </a:prstGeom>
        <a:ln>
          <a:solidFill>
            <a:srgbClr val="C0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259770</xdr:colOff>
      <xdr:row>1</xdr:row>
      <xdr:rowOff>108238</xdr:rowOff>
    </xdr:from>
    <xdr:to>
      <xdr:col>4</xdr:col>
      <xdr:colOff>483609</xdr:colOff>
      <xdr:row>5</xdr:row>
      <xdr:rowOff>94593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9735680-41E5-4226-BBA5-4340DF474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9370" y="298738"/>
          <a:ext cx="2671764" cy="80550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259770</xdr:colOff>
      <xdr:row>1</xdr:row>
      <xdr:rowOff>108238</xdr:rowOff>
    </xdr:from>
    <xdr:to>
      <xdr:col>4</xdr:col>
      <xdr:colOff>483609</xdr:colOff>
      <xdr:row>5</xdr:row>
      <xdr:rowOff>94593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03FA5F4-EA3D-4A72-B934-C79BE94B0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9370" y="298738"/>
          <a:ext cx="2671764" cy="8055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65536"/>
  <sheetViews>
    <sheetView view="pageBreakPreview" topLeftCell="A7" zoomScale="80" zoomScaleNormal="70" zoomScaleSheetLayoutView="80" workbookViewId="0">
      <selection activeCell="F36" sqref="F36"/>
    </sheetView>
  </sheetViews>
  <sheetFormatPr defaultRowHeight="15" x14ac:dyDescent="0.25"/>
  <cols>
    <col min="2" max="2" width="4.5703125" customWidth="1"/>
    <col min="3" max="3" width="1.28515625" style="1" customWidth="1"/>
    <col min="4" max="4" width="54" style="1" customWidth="1"/>
    <col min="5" max="10" width="18" style="41" customWidth="1"/>
    <col min="11" max="11" width="18.7109375" style="41" customWidth="1"/>
    <col min="12" max="12" width="16.7109375" bestFit="1" customWidth="1"/>
  </cols>
  <sheetData>
    <row r="1" spans="1:13" ht="15.75" thickBot="1" x14ac:dyDescent="0.3"/>
    <row r="2" spans="1:13" s="84" customFormat="1" ht="20.100000000000001" customHeight="1" thickBot="1" x14ac:dyDescent="0.3">
      <c r="A2" s="81"/>
      <c r="B2" s="385" t="s">
        <v>21</v>
      </c>
      <c r="C2" s="386"/>
      <c r="D2" s="386"/>
      <c r="E2" s="386"/>
      <c r="F2" s="386"/>
      <c r="G2" s="386"/>
      <c r="H2" s="386"/>
      <c r="I2" s="386"/>
      <c r="J2" s="386"/>
      <c r="K2" s="387"/>
      <c r="L2" s="82"/>
      <c r="M2" s="83"/>
    </row>
    <row r="3" spans="1:13" s="41" customFormat="1" ht="17.100000000000001" customHeight="1" x14ac:dyDescent="0.25">
      <c r="A3" s="40"/>
      <c r="B3" s="388" t="s">
        <v>224</v>
      </c>
      <c r="C3" s="389"/>
      <c r="D3" s="389"/>
      <c r="E3" s="389"/>
      <c r="F3" s="389"/>
      <c r="G3" s="389"/>
      <c r="H3" s="389"/>
      <c r="I3" s="389"/>
      <c r="J3" s="389"/>
      <c r="K3" s="390"/>
      <c r="L3" s="75"/>
      <c r="M3" s="71"/>
    </row>
    <row r="4" spans="1:13" s="41" customFormat="1" ht="17.100000000000001" customHeight="1" thickBot="1" x14ac:dyDescent="0.3">
      <c r="A4" s="40"/>
      <c r="B4" s="391" t="s">
        <v>47</v>
      </c>
      <c r="C4" s="392"/>
      <c r="D4" s="392"/>
      <c r="E4" s="392"/>
      <c r="F4" s="392"/>
      <c r="G4" s="392"/>
      <c r="H4" s="392"/>
      <c r="I4" s="392"/>
      <c r="J4" s="392"/>
      <c r="K4" s="393"/>
      <c r="L4" s="75"/>
      <c r="M4" s="71"/>
    </row>
    <row r="5" spans="1:13" ht="6.95" customHeight="1" x14ac:dyDescent="0.25">
      <c r="A5" s="14"/>
      <c r="B5" s="383"/>
      <c r="C5" s="384"/>
      <c r="D5" s="384"/>
      <c r="E5" s="97"/>
      <c r="F5" s="97"/>
      <c r="G5" s="97"/>
      <c r="H5" s="97"/>
      <c r="I5" s="97"/>
      <c r="J5" s="97"/>
      <c r="K5" s="80"/>
      <c r="L5" s="16"/>
      <c r="M5" s="16"/>
    </row>
    <row r="6" spans="1:13" ht="15.75" customHeight="1" x14ac:dyDescent="0.25">
      <c r="A6" s="14"/>
      <c r="B6" s="90"/>
      <c r="C6" s="91"/>
      <c r="D6" s="92" t="s">
        <v>0</v>
      </c>
      <c r="E6" s="92" t="s">
        <v>36</v>
      </c>
      <c r="F6" s="93" t="s">
        <v>37</v>
      </c>
      <c r="G6" s="93" t="s">
        <v>38</v>
      </c>
      <c r="H6" s="93" t="s">
        <v>66</v>
      </c>
      <c r="I6" s="93" t="s">
        <v>67</v>
      </c>
      <c r="J6" s="93" t="s">
        <v>89</v>
      </c>
      <c r="K6" s="94" t="s">
        <v>22</v>
      </c>
      <c r="L6" s="74" t="s">
        <v>23</v>
      </c>
      <c r="M6" s="16"/>
    </row>
    <row r="7" spans="1:13" s="287" customFormat="1" ht="15.75" customHeight="1" x14ac:dyDescent="0.25">
      <c r="A7" s="279"/>
      <c r="B7" s="280">
        <v>1</v>
      </c>
      <c r="C7" s="281"/>
      <c r="D7" s="282" t="s">
        <v>84</v>
      </c>
      <c r="E7" s="283" t="e">
        <f t="shared" ref="E7:J7" si="0">E8*$K$7</f>
        <v>#REF!</v>
      </c>
      <c r="F7" s="283" t="e">
        <f t="shared" si="0"/>
        <v>#REF!</v>
      </c>
      <c r="G7" s="283" t="e">
        <f t="shared" si="0"/>
        <v>#REF!</v>
      </c>
      <c r="H7" s="283" t="e">
        <f t="shared" si="0"/>
        <v>#REF!</v>
      </c>
      <c r="I7" s="283" t="e">
        <f t="shared" si="0"/>
        <v>#REF!</v>
      </c>
      <c r="J7" s="283" t="e">
        <f t="shared" si="0"/>
        <v>#REF!</v>
      </c>
      <c r="K7" s="284" t="e">
        <f>#REF!</f>
        <v>#REF!</v>
      </c>
      <c r="L7" s="285" t="e">
        <f>K7/$K$27</f>
        <v>#REF!</v>
      </c>
      <c r="M7" s="286"/>
    </row>
    <row r="8" spans="1:13" s="16" customFormat="1" ht="15.75" customHeight="1" x14ac:dyDescent="0.25">
      <c r="A8" s="15"/>
      <c r="B8" s="95"/>
      <c r="C8" s="98"/>
      <c r="D8" s="98"/>
      <c r="E8" s="123">
        <v>0.25</v>
      </c>
      <c r="F8" s="123">
        <v>0.15</v>
      </c>
      <c r="G8" s="123">
        <v>0.15</v>
      </c>
      <c r="H8" s="123">
        <v>0.15</v>
      </c>
      <c r="I8" s="123">
        <v>0.15</v>
      </c>
      <c r="J8" s="123">
        <v>0.15</v>
      </c>
      <c r="K8" s="124">
        <f>SUM(E8:J8)</f>
        <v>1</v>
      </c>
      <c r="L8" s="285"/>
    </row>
    <row r="9" spans="1:13" s="286" customFormat="1" ht="15.75" x14ac:dyDescent="0.25">
      <c r="A9" s="288"/>
      <c r="B9" s="280">
        <v>2</v>
      </c>
      <c r="C9" s="281"/>
      <c r="D9" s="282" t="s">
        <v>217</v>
      </c>
      <c r="E9" s="283" t="e">
        <f t="shared" ref="E9:J9" si="1">E10*$K$9</f>
        <v>#REF!</v>
      </c>
      <c r="F9" s="283" t="e">
        <f t="shared" si="1"/>
        <v>#REF!</v>
      </c>
      <c r="G9" s="283" t="e">
        <f t="shared" si="1"/>
        <v>#REF!</v>
      </c>
      <c r="H9" s="283" t="e">
        <f t="shared" si="1"/>
        <v>#REF!</v>
      </c>
      <c r="I9" s="283" t="e">
        <f t="shared" si="1"/>
        <v>#REF!</v>
      </c>
      <c r="J9" s="283" t="e">
        <f t="shared" si="1"/>
        <v>#REF!</v>
      </c>
      <c r="K9" s="284" t="e">
        <f>#REF!</f>
        <v>#REF!</v>
      </c>
      <c r="L9" s="285" t="e">
        <f t="shared" ref="L9:L27" si="2">K9/$K$27</f>
        <v>#REF!</v>
      </c>
    </row>
    <row r="10" spans="1:13" s="16" customFormat="1" ht="17.100000000000001" customHeight="1" x14ac:dyDescent="0.25">
      <c r="A10" s="15"/>
      <c r="B10" s="96"/>
      <c r="C10" s="98"/>
      <c r="D10" s="98"/>
      <c r="E10" s="123">
        <v>1</v>
      </c>
      <c r="F10" s="123"/>
      <c r="G10" s="123"/>
      <c r="H10" s="123"/>
      <c r="I10" s="123"/>
      <c r="J10" s="123"/>
      <c r="K10" s="124">
        <f>SUM(E10:J10)</f>
        <v>1</v>
      </c>
      <c r="L10" s="285"/>
    </row>
    <row r="11" spans="1:13" s="290" customFormat="1" ht="17.100000000000001" customHeight="1" x14ac:dyDescent="0.25">
      <c r="A11" s="289"/>
      <c r="B11" s="280">
        <v>3</v>
      </c>
      <c r="C11" s="281"/>
      <c r="D11" s="282" t="s">
        <v>161</v>
      </c>
      <c r="E11" s="283" t="e">
        <f t="shared" ref="E11:J11" si="3">E12*$K$11</f>
        <v>#REF!</v>
      </c>
      <c r="F11" s="283" t="e">
        <f t="shared" si="3"/>
        <v>#REF!</v>
      </c>
      <c r="G11" s="283" t="e">
        <f t="shared" si="3"/>
        <v>#REF!</v>
      </c>
      <c r="H11" s="283" t="e">
        <f t="shared" si="3"/>
        <v>#REF!</v>
      </c>
      <c r="I11" s="283" t="e">
        <f t="shared" si="3"/>
        <v>#REF!</v>
      </c>
      <c r="J11" s="283" t="e">
        <f t="shared" si="3"/>
        <v>#REF!</v>
      </c>
      <c r="K11" s="284" t="e">
        <f>#REF!</f>
        <v>#REF!</v>
      </c>
      <c r="L11" s="285" t="e">
        <f t="shared" si="2"/>
        <v>#REF!</v>
      </c>
    </row>
    <row r="12" spans="1:13" s="16" customFormat="1" ht="17.100000000000001" customHeight="1" x14ac:dyDescent="0.25">
      <c r="A12" s="15"/>
      <c r="B12" s="95"/>
      <c r="C12" s="98"/>
      <c r="D12" s="98"/>
      <c r="E12" s="123"/>
      <c r="F12" s="123">
        <v>1</v>
      </c>
      <c r="G12" s="123"/>
      <c r="H12" s="123"/>
      <c r="I12" s="123"/>
      <c r="J12" s="123"/>
      <c r="K12" s="124">
        <f>SUM(E12:J12)</f>
        <v>1</v>
      </c>
      <c r="L12" s="285"/>
    </row>
    <row r="13" spans="1:13" s="290" customFormat="1" ht="16.5" customHeight="1" x14ac:dyDescent="0.25">
      <c r="A13" s="289"/>
      <c r="B13" s="280">
        <v>4</v>
      </c>
      <c r="C13" s="281"/>
      <c r="D13" s="282" t="s">
        <v>134</v>
      </c>
      <c r="E13" s="283" t="e">
        <f t="shared" ref="E13:J13" si="4">E14*$K$13</f>
        <v>#REF!</v>
      </c>
      <c r="F13" s="283" t="e">
        <f t="shared" si="4"/>
        <v>#REF!</v>
      </c>
      <c r="G13" s="283" t="e">
        <f t="shared" si="4"/>
        <v>#REF!</v>
      </c>
      <c r="H13" s="283" t="e">
        <f t="shared" si="4"/>
        <v>#REF!</v>
      </c>
      <c r="I13" s="283" t="e">
        <f t="shared" si="4"/>
        <v>#REF!</v>
      </c>
      <c r="J13" s="283" t="e">
        <f t="shared" si="4"/>
        <v>#REF!</v>
      </c>
      <c r="K13" s="284" t="e">
        <f>#REF!</f>
        <v>#REF!</v>
      </c>
      <c r="L13" s="285" t="e">
        <f t="shared" si="2"/>
        <v>#REF!</v>
      </c>
    </row>
    <row r="14" spans="1:13" s="16" customFormat="1" ht="17.100000000000001" customHeight="1" x14ac:dyDescent="0.25">
      <c r="A14" s="15"/>
      <c r="B14" s="96"/>
      <c r="C14" s="98"/>
      <c r="D14" s="98"/>
      <c r="E14" s="123"/>
      <c r="F14" s="123"/>
      <c r="G14" s="123">
        <v>0.3</v>
      </c>
      <c r="H14" s="123">
        <v>0.3</v>
      </c>
      <c r="I14" s="123">
        <v>0.4</v>
      </c>
      <c r="J14" s="123"/>
      <c r="K14" s="124">
        <f>SUM(E14:J14)</f>
        <v>1</v>
      </c>
      <c r="L14" s="285"/>
    </row>
    <row r="15" spans="1:13" s="290" customFormat="1" ht="17.100000000000001" customHeight="1" x14ac:dyDescent="0.25">
      <c r="A15" s="289"/>
      <c r="B15" s="280">
        <v>5</v>
      </c>
      <c r="C15" s="281"/>
      <c r="D15" s="282" t="s">
        <v>104</v>
      </c>
      <c r="E15" s="283" t="e">
        <f t="shared" ref="E15:J15" si="5">E16*$K$15</f>
        <v>#REF!</v>
      </c>
      <c r="F15" s="283" t="e">
        <f t="shared" si="5"/>
        <v>#REF!</v>
      </c>
      <c r="G15" s="283" t="e">
        <f t="shared" si="5"/>
        <v>#REF!</v>
      </c>
      <c r="H15" s="283" t="e">
        <f t="shared" si="5"/>
        <v>#REF!</v>
      </c>
      <c r="I15" s="283" t="e">
        <f t="shared" si="5"/>
        <v>#REF!</v>
      </c>
      <c r="J15" s="283" t="e">
        <f t="shared" si="5"/>
        <v>#REF!</v>
      </c>
      <c r="K15" s="284" t="e">
        <f>#REF!</f>
        <v>#REF!</v>
      </c>
      <c r="L15" s="285" t="e">
        <f t="shared" si="2"/>
        <v>#REF!</v>
      </c>
    </row>
    <row r="16" spans="1:13" s="16" customFormat="1" ht="17.100000000000001" customHeight="1" x14ac:dyDescent="0.25">
      <c r="A16" s="15"/>
      <c r="B16" s="95"/>
      <c r="C16" s="98"/>
      <c r="D16" s="98"/>
      <c r="E16" s="123"/>
      <c r="F16" s="123"/>
      <c r="G16" s="123">
        <v>0.25</v>
      </c>
      <c r="H16" s="123">
        <v>0.25</v>
      </c>
      <c r="I16" s="123">
        <v>0.25</v>
      </c>
      <c r="J16" s="123">
        <v>0.25</v>
      </c>
      <c r="K16" s="124">
        <f>SUM(E16:J16)</f>
        <v>1</v>
      </c>
      <c r="L16" s="285"/>
    </row>
    <row r="17" spans="1:13" s="290" customFormat="1" ht="17.100000000000001" customHeight="1" x14ac:dyDescent="0.25">
      <c r="A17" s="289"/>
      <c r="B17" s="280">
        <v>6</v>
      </c>
      <c r="C17" s="281"/>
      <c r="D17" s="282" t="s">
        <v>209</v>
      </c>
      <c r="E17" s="283" t="e">
        <f t="shared" ref="E17:J17" si="6">E18*$K$17</f>
        <v>#REF!</v>
      </c>
      <c r="F17" s="283" t="e">
        <f t="shared" si="6"/>
        <v>#REF!</v>
      </c>
      <c r="G17" s="283" t="e">
        <f t="shared" si="6"/>
        <v>#REF!</v>
      </c>
      <c r="H17" s="283" t="e">
        <f t="shared" si="6"/>
        <v>#REF!</v>
      </c>
      <c r="I17" s="283" t="e">
        <f t="shared" si="6"/>
        <v>#REF!</v>
      </c>
      <c r="J17" s="283" t="e">
        <f t="shared" si="6"/>
        <v>#REF!</v>
      </c>
      <c r="K17" s="284" t="e">
        <f>#REF!</f>
        <v>#REF!</v>
      </c>
      <c r="L17" s="285" t="e">
        <f t="shared" si="2"/>
        <v>#REF!</v>
      </c>
    </row>
    <row r="18" spans="1:13" s="16" customFormat="1" ht="17.100000000000001" customHeight="1" x14ac:dyDescent="0.25">
      <c r="A18" s="15"/>
      <c r="B18" s="96"/>
      <c r="C18" s="98"/>
      <c r="D18" s="98"/>
      <c r="E18" s="123"/>
      <c r="F18" s="123"/>
      <c r="G18" s="123">
        <v>0.5</v>
      </c>
      <c r="H18" s="123">
        <v>0.5</v>
      </c>
      <c r="I18" s="123"/>
      <c r="J18" s="123"/>
      <c r="K18" s="124">
        <f>SUM(E18:J18)</f>
        <v>1</v>
      </c>
      <c r="L18" s="285"/>
    </row>
    <row r="19" spans="1:13" s="290" customFormat="1" ht="17.100000000000001" customHeight="1" x14ac:dyDescent="0.25">
      <c r="A19" s="289"/>
      <c r="B19" s="280">
        <v>7</v>
      </c>
      <c r="C19" s="281"/>
      <c r="D19" s="282" t="s">
        <v>210</v>
      </c>
      <c r="E19" s="283" t="e">
        <f t="shared" ref="E19:J19" si="7">E20*$K$19</f>
        <v>#REF!</v>
      </c>
      <c r="F19" s="283" t="e">
        <f t="shared" si="7"/>
        <v>#REF!</v>
      </c>
      <c r="G19" s="283" t="e">
        <f t="shared" si="7"/>
        <v>#REF!</v>
      </c>
      <c r="H19" s="283" t="e">
        <f t="shared" si="7"/>
        <v>#REF!</v>
      </c>
      <c r="I19" s="283" t="e">
        <f t="shared" si="7"/>
        <v>#REF!</v>
      </c>
      <c r="J19" s="283" t="e">
        <f t="shared" si="7"/>
        <v>#REF!</v>
      </c>
      <c r="K19" s="284" t="e">
        <f>#REF!</f>
        <v>#REF!</v>
      </c>
      <c r="L19" s="285" t="e">
        <f t="shared" si="2"/>
        <v>#REF!</v>
      </c>
    </row>
    <row r="20" spans="1:13" s="16" customFormat="1" ht="17.100000000000001" customHeight="1" x14ac:dyDescent="0.25">
      <c r="A20" s="15"/>
      <c r="B20" s="95"/>
      <c r="C20" s="98"/>
      <c r="D20" s="98"/>
      <c r="E20" s="123"/>
      <c r="F20" s="123"/>
      <c r="G20" s="123"/>
      <c r="H20" s="123"/>
      <c r="I20" s="123">
        <v>0.5</v>
      </c>
      <c r="J20" s="123">
        <v>0.5</v>
      </c>
      <c r="K20" s="124">
        <f>SUM(E20:J20)</f>
        <v>1</v>
      </c>
      <c r="L20" s="285"/>
    </row>
    <row r="21" spans="1:13" s="290" customFormat="1" ht="17.100000000000001" customHeight="1" x14ac:dyDescent="0.25">
      <c r="A21" s="289"/>
      <c r="B21" s="280">
        <v>8</v>
      </c>
      <c r="C21" s="281"/>
      <c r="D21" s="282" t="s">
        <v>263</v>
      </c>
      <c r="E21" s="283" t="e">
        <f>E22*$K$21</f>
        <v>#REF!</v>
      </c>
      <c r="F21" s="283" t="e">
        <f t="shared" ref="F21:J21" si="8">F22*$K$21</f>
        <v>#REF!</v>
      </c>
      <c r="G21" s="283" t="e">
        <f t="shared" si="8"/>
        <v>#REF!</v>
      </c>
      <c r="H21" s="283" t="e">
        <f t="shared" si="8"/>
        <v>#REF!</v>
      </c>
      <c r="I21" s="283" t="e">
        <f t="shared" si="8"/>
        <v>#REF!</v>
      </c>
      <c r="J21" s="283" t="e">
        <f t="shared" si="8"/>
        <v>#REF!</v>
      </c>
      <c r="K21" s="284" t="e">
        <f>#REF!</f>
        <v>#REF!</v>
      </c>
      <c r="L21" s="285" t="e">
        <f t="shared" si="2"/>
        <v>#REF!</v>
      </c>
    </row>
    <row r="22" spans="1:13" s="16" customFormat="1" ht="17.100000000000001" customHeight="1" x14ac:dyDescent="0.25">
      <c r="A22" s="15"/>
      <c r="B22" s="95"/>
      <c r="C22" s="98"/>
      <c r="D22" s="98"/>
      <c r="E22" s="123">
        <v>0.25</v>
      </c>
      <c r="F22" s="123">
        <v>0.25</v>
      </c>
      <c r="G22" s="123">
        <v>0.25</v>
      </c>
      <c r="H22" s="123">
        <v>0.25</v>
      </c>
      <c r="I22" s="123"/>
      <c r="J22" s="123"/>
      <c r="K22" s="124">
        <f>SUM(E22:J22)</f>
        <v>1</v>
      </c>
      <c r="L22" s="285"/>
    </row>
    <row r="23" spans="1:13" s="287" customFormat="1" ht="15.75" customHeight="1" x14ac:dyDescent="0.25">
      <c r="A23" s="279"/>
      <c r="B23" s="280">
        <v>9</v>
      </c>
      <c r="C23" s="281"/>
      <c r="D23" s="282" t="s">
        <v>82</v>
      </c>
      <c r="E23" s="283" t="e">
        <f t="shared" ref="E23:J23" si="9">E24*$K$23</f>
        <v>#REF!</v>
      </c>
      <c r="F23" s="283" t="e">
        <f t="shared" si="9"/>
        <v>#REF!</v>
      </c>
      <c r="G23" s="283" t="e">
        <f t="shared" si="9"/>
        <v>#REF!</v>
      </c>
      <c r="H23" s="283" t="e">
        <f t="shared" si="9"/>
        <v>#REF!</v>
      </c>
      <c r="I23" s="283" t="e">
        <f t="shared" si="9"/>
        <v>#REF!</v>
      </c>
      <c r="J23" s="283" t="e">
        <f t="shared" si="9"/>
        <v>#REF!</v>
      </c>
      <c r="K23" s="284" t="e">
        <f>#REF!</f>
        <v>#REF!</v>
      </c>
      <c r="L23" s="285" t="e">
        <f t="shared" si="2"/>
        <v>#REF!</v>
      </c>
      <c r="M23" s="291"/>
    </row>
    <row r="24" spans="1:13" s="16" customFormat="1" ht="15.75" customHeight="1" x14ac:dyDescent="0.25">
      <c r="A24" s="15"/>
      <c r="B24" s="95" t="s">
        <v>279</v>
      </c>
      <c r="C24" s="98"/>
      <c r="D24" s="98"/>
      <c r="E24" s="123">
        <v>0.1</v>
      </c>
      <c r="F24" s="123">
        <v>0.2</v>
      </c>
      <c r="G24" s="123">
        <v>0.2</v>
      </c>
      <c r="H24" s="123">
        <v>0.2</v>
      </c>
      <c r="I24" s="123">
        <v>0.2</v>
      </c>
      <c r="J24" s="123">
        <v>0.1</v>
      </c>
      <c r="K24" s="124">
        <f>SUM(E24:J24)</f>
        <v>0.99999999999999989</v>
      </c>
      <c r="L24" s="285"/>
    </row>
    <row r="25" spans="1:13" s="290" customFormat="1" ht="15.75" customHeight="1" x14ac:dyDescent="0.25">
      <c r="A25" s="289"/>
      <c r="B25" s="280">
        <v>10</v>
      </c>
      <c r="C25" s="281"/>
      <c r="D25" s="282" t="s">
        <v>86</v>
      </c>
      <c r="E25" s="283" t="e">
        <f t="shared" ref="E25:J25" si="10">E26*$K$25</f>
        <v>#REF!</v>
      </c>
      <c r="F25" s="283" t="e">
        <f t="shared" si="10"/>
        <v>#REF!</v>
      </c>
      <c r="G25" s="283" t="e">
        <f t="shared" si="10"/>
        <v>#REF!</v>
      </c>
      <c r="H25" s="283" t="e">
        <f t="shared" si="10"/>
        <v>#REF!</v>
      </c>
      <c r="I25" s="283" t="e">
        <f t="shared" si="10"/>
        <v>#REF!</v>
      </c>
      <c r="J25" s="283" t="e">
        <f t="shared" si="10"/>
        <v>#REF!</v>
      </c>
      <c r="K25" s="284" t="e">
        <f>#REF!</f>
        <v>#REF!</v>
      </c>
      <c r="L25" s="285" t="e">
        <f t="shared" si="2"/>
        <v>#REF!</v>
      </c>
    </row>
    <row r="26" spans="1:13" s="16" customFormat="1" ht="15.75" customHeight="1" x14ac:dyDescent="0.25">
      <c r="A26" s="15"/>
      <c r="B26" s="76"/>
      <c r="C26" s="98"/>
      <c r="D26" s="98"/>
      <c r="E26" s="123"/>
      <c r="F26" s="123"/>
      <c r="G26" s="123"/>
      <c r="H26" s="123"/>
      <c r="I26" s="123"/>
      <c r="J26" s="123">
        <v>1</v>
      </c>
      <c r="K26" s="124">
        <f>SUM(E26:J26)</f>
        <v>1</v>
      </c>
      <c r="L26" s="285"/>
    </row>
    <row r="27" spans="1:13" s="299" customFormat="1" ht="17.100000000000001" customHeight="1" thickBot="1" x14ac:dyDescent="0.3">
      <c r="A27" s="292"/>
      <c r="B27" s="293"/>
      <c r="C27" s="294"/>
      <c r="D27" s="295" t="s">
        <v>24</v>
      </c>
      <c r="E27" s="296" t="e">
        <f>E7+E9+E11+E13+E15+E17+E23+E25+E19+E21</f>
        <v>#REF!</v>
      </c>
      <c r="F27" s="296" t="e">
        <f t="shared" ref="F27:J27" si="11">F7+F9+F11+F13+F15+F17+F23+F25+F19+F21</f>
        <v>#REF!</v>
      </c>
      <c r="G27" s="296" t="e">
        <f t="shared" si="11"/>
        <v>#REF!</v>
      </c>
      <c r="H27" s="296" t="e">
        <f t="shared" si="11"/>
        <v>#REF!</v>
      </c>
      <c r="I27" s="296" t="e">
        <f t="shared" si="11"/>
        <v>#REF!</v>
      </c>
      <c r="J27" s="296" t="e">
        <f t="shared" si="11"/>
        <v>#REF!</v>
      </c>
      <c r="K27" s="297" t="e">
        <f>SUM(E27:J27)</f>
        <v>#REF!</v>
      </c>
      <c r="L27" s="285" t="e">
        <f t="shared" si="2"/>
        <v>#REF!</v>
      </c>
      <c r="M27" s="298"/>
    </row>
    <row r="28" spans="1:13" ht="15.75" customHeight="1" x14ac:dyDescent="0.25">
      <c r="A28" s="14"/>
      <c r="B28" s="77"/>
      <c r="C28" s="98"/>
      <c r="D28" s="98"/>
      <c r="E28" s="125" t="e">
        <f t="shared" ref="E28:J28" si="12">E27/$K$27</f>
        <v>#REF!</v>
      </c>
      <c r="F28" s="125" t="e">
        <f t="shared" si="12"/>
        <v>#REF!</v>
      </c>
      <c r="G28" s="125" t="e">
        <f t="shared" si="12"/>
        <v>#REF!</v>
      </c>
      <c r="H28" s="125" t="e">
        <f t="shared" si="12"/>
        <v>#REF!</v>
      </c>
      <c r="I28" s="125" t="e">
        <f t="shared" si="12"/>
        <v>#REF!</v>
      </c>
      <c r="J28" s="125" t="e">
        <f t="shared" si="12"/>
        <v>#REF!</v>
      </c>
      <c r="K28" s="124" t="e">
        <f>SUM(E28:J28)</f>
        <v>#REF!</v>
      </c>
      <c r="L28" s="285"/>
      <c r="M28" s="16"/>
    </row>
    <row r="29" spans="1:13" s="299" customFormat="1" ht="17.100000000000001" customHeight="1" x14ac:dyDescent="0.25">
      <c r="A29" s="292"/>
      <c r="B29" s="293"/>
      <c r="C29" s="294"/>
      <c r="D29" s="295" t="s">
        <v>25</v>
      </c>
      <c r="E29" s="296" t="e">
        <f>E27</f>
        <v>#REF!</v>
      </c>
      <c r="F29" s="296" t="e">
        <f>E29+F27</f>
        <v>#REF!</v>
      </c>
      <c r="G29" s="296" t="e">
        <f>F29+G27</f>
        <v>#REF!</v>
      </c>
      <c r="H29" s="296" t="e">
        <f>G29+H27</f>
        <v>#REF!</v>
      </c>
      <c r="I29" s="296" t="e">
        <f>H29+I27</f>
        <v>#REF!</v>
      </c>
      <c r="J29" s="296" t="e">
        <f t="shared" ref="J29" si="13">I29+J27</f>
        <v>#REF!</v>
      </c>
      <c r="K29" s="300"/>
      <c r="L29" s="301"/>
      <c r="M29" s="298"/>
    </row>
    <row r="30" spans="1:13" ht="15.75" customHeight="1" thickBot="1" x14ac:dyDescent="0.3">
      <c r="A30" s="14"/>
      <c r="B30" s="78"/>
      <c r="C30" s="79"/>
      <c r="D30" s="79"/>
      <c r="E30" s="126" t="e">
        <f>E28</f>
        <v>#REF!</v>
      </c>
      <c r="F30" s="126" t="e">
        <f>SUM(E30+F28)</f>
        <v>#REF!</v>
      </c>
      <c r="G30" s="126" t="e">
        <f>SUM(F30+G28)</f>
        <v>#REF!</v>
      </c>
      <c r="H30" s="126" t="e">
        <f t="shared" ref="H30:I30" si="14">SUM(G30+H28)</f>
        <v>#REF!</v>
      </c>
      <c r="I30" s="126" t="e">
        <f t="shared" si="14"/>
        <v>#REF!</v>
      </c>
      <c r="J30" s="126" t="e">
        <f t="shared" ref="J30" si="15">SUM(I30+J28)</f>
        <v>#REF!</v>
      </c>
      <c r="K30" s="127"/>
      <c r="L30" s="73"/>
      <c r="M30" s="16"/>
    </row>
    <row r="31" spans="1:13" ht="15.75" customHeight="1" x14ac:dyDescent="0.25">
      <c r="A31" s="14"/>
      <c r="B31" s="15"/>
      <c r="C31" s="98"/>
      <c r="D31" s="98"/>
      <c r="E31" s="128"/>
      <c r="F31" s="128"/>
      <c r="G31" s="128"/>
      <c r="H31" s="128"/>
      <c r="I31" s="128"/>
      <c r="J31" s="128"/>
      <c r="K31" s="129"/>
      <c r="L31" s="130"/>
      <c r="M31" s="16"/>
    </row>
    <row r="32" spans="1:13" ht="15.75" customHeight="1" x14ac:dyDescent="0.25">
      <c r="A32" s="14"/>
      <c r="B32" s="15"/>
      <c r="C32" s="98"/>
      <c r="D32" s="98"/>
      <c r="E32" s="128"/>
      <c r="F32" s="128"/>
      <c r="G32" s="128"/>
      <c r="H32" s="128"/>
      <c r="I32" s="128"/>
      <c r="J32" s="128"/>
      <c r="K32" s="129"/>
      <c r="L32" s="130"/>
      <c r="M32" s="16"/>
    </row>
    <row r="33" spans="1:13" ht="15.75" customHeight="1" x14ac:dyDescent="0.25">
      <c r="A33" s="14"/>
      <c r="B33" s="15"/>
      <c r="C33" s="98"/>
      <c r="D33" s="98"/>
      <c r="E33" s="128"/>
      <c r="F33" s="128"/>
      <c r="G33" s="128"/>
      <c r="H33" s="128"/>
      <c r="I33" s="397" t="s">
        <v>239</v>
      </c>
      <c r="J33" s="397"/>
      <c r="K33" s="397"/>
      <c r="L33" s="130"/>
      <c r="M33" s="16"/>
    </row>
    <row r="34" spans="1:13" ht="15.75" customHeight="1" x14ac:dyDescent="0.25">
      <c r="A34" s="14"/>
      <c r="B34" s="15"/>
      <c r="C34" s="98"/>
      <c r="D34" s="98"/>
      <c r="E34" s="128"/>
      <c r="F34" s="128"/>
      <c r="G34" s="128"/>
      <c r="H34" s="128"/>
      <c r="I34" s="128"/>
      <c r="J34" s="128"/>
      <c r="K34" s="129"/>
      <c r="L34" s="130"/>
      <c r="M34" s="16"/>
    </row>
    <row r="35" spans="1:13" ht="15.75" customHeight="1" x14ac:dyDescent="0.25">
      <c r="A35" s="14"/>
      <c r="B35" s="15"/>
      <c r="C35" s="98"/>
      <c r="D35" s="98"/>
      <c r="E35" s="128"/>
      <c r="F35" s="128"/>
      <c r="G35" s="128"/>
      <c r="H35" s="128"/>
      <c r="L35" s="130"/>
      <c r="M35" s="16"/>
    </row>
    <row r="36" spans="1:13" ht="15.75" customHeight="1" x14ac:dyDescent="0.25">
      <c r="A36" s="14"/>
      <c r="B36" s="15"/>
      <c r="C36" s="98"/>
      <c r="D36" s="98"/>
      <c r="E36" s="128"/>
      <c r="F36" s="128"/>
      <c r="G36" s="128"/>
      <c r="H36" s="128"/>
      <c r="I36" s="128"/>
      <c r="J36" s="128"/>
      <c r="K36" s="129"/>
      <c r="L36" s="130"/>
      <c r="M36" s="16"/>
    </row>
    <row r="37" spans="1:13" ht="15.75" customHeight="1" x14ac:dyDescent="0.25">
      <c r="A37" s="14"/>
      <c r="B37" s="15"/>
      <c r="C37" s="98"/>
      <c r="D37" s="98"/>
      <c r="E37" s="128"/>
      <c r="F37" s="128"/>
      <c r="G37" s="128"/>
      <c r="H37" s="128"/>
      <c r="I37" s="128"/>
      <c r="J37" s="128"/>
      <c r="K37" s="129"/>
      <c r="L37" s="130"/>
      <c r="M37" s="16"/>
    </row>
    <row r="38" spans="1:13" ht="15.75" customHeight="1" x14ac:dyDescent="0.25">
      <c r="A38" s="14"/>
      <c r="B38" s="15"/>
      <c r="C38" s="98"/>
      <c r="D38" s="98"/>
      <c r="E38" s="128"/>
      <c r="F38" s="128"/>
      <c r="G38" s="128"/>
      <c r="H38" s="128"/>
      <c r="I38" s="128"/>
      <c r="J38" s="128"/>
      <c r="K38" s="129"/>
      <c r="L38" s="130"/>
      <c r="M38" s="16"/>
    </row>
    <row r="39" spans="1:13" ht="15.75" customHeight="1" x14ac:dyDescent="0.25">
      <c r="A39" s="14"/>
      <c r="B39" s="15"/>
      <c r="C39" s="98"/>
      <c r="D39" s="98"/>
      <c r="E39" s="128"/>
      <c r="F39" s="128"/>
      <c r="G39" s="128"/>
      <c r="H39" s="30" t="s">
        <v>20</v>
      </c>
      <c r="I39" s="128"/>
      <c r="J39" s="128"/>
      <c r="K39" s="129"/>
      <c r="L39" s="130"/>
      <c r="M39" s="16"/>
    </row>
    <row r="40" spans="1:13" ht="15.75" customHeight="1" x14ac:dyDescent="0.25">
      <c r="A40" s="14"/>
      <c r="B40" s="15"/>
      <c r="C40" s="98"/>
      <c r="D40" s="98"/>
      <c r="E40" s="128"/>
      <c r="F40" s="128"/>
      <c r="G40" s="395" t="s">
        <v>87</v>
      </c>
      <c r="H40" s="395"/>
      <c r="I40" s="395"/>
      <c r="J40" s="128"/>
      <c r="K40" s="129"/>
      <c r="L40" s="130"/>
      <c r="M40" s="16"/>
    </row>
    <row r="41" spans="1:13" ht="15.75" customHeight="1" x14ac:dyDescent="0.25">
      <c r="A41" s="14"/>
      <c r="B41" s="15"/>
      <c r="C41" s="98"/>
      <c r="D41" s="98"/>
      <c r="E41" s="128"/>
      <c r="F41" s="128"/>
      <c r="G41" s="396" t="s">
        <v>88</v>
      </c>
      <c r="H41" s="396"/>
      <c r="I41" s="396"/>
      <c r="J41" s="128"/>
      <c r="K41" s="129"/>
      <c r="L41" s="130"/>
      <c r="M41" s="16"/>
    </row>
    <row r="42" spans="1:13" ht="15" customHeight="1" x14ac:dyDescent="0.25">
      <c r="B42" s="16"/>
      <c r="C42" s="72"/>
      <c r="D42" s="72"/>
      <c r="E42" s="71"/>
      <c r="F42" s="71"/>
      <c r="G42" s="71"/>
      <c r="H42" s="71"/>
      <c r="I42" s="71"/>
      <c r="J42" s="71"/>
      <c r="K42" s="382"/>
      <c r="L42" s="382"/>
      <c r="M42" s="382"/>
    </row>
    <row r="43" spans="1:13" ht="15" customHeight="1" x14ac:dyDescent="0.25">
      <c r="B43" s="16"/>
      <c r="C43" s="72"/>
      <c r="D43" s="72"/>
      <c r="E43" s="71"/>
      <c r="F43" s="71"/>
      <c r="G43" s="71"/>
      <c r="H43" s="71"/>
      <c r="I43" s="71"/>
      <c r="J43" s="71"/>
      <c r="K43" s="382"/>
      <c r="L43" s="382"/>
      <c r="M43" s="382"/>
    </row>
    <row r="44" spans="1:13" ht="15" customHeight="1" x14ac:dyDescent="0.25">
      <c r="K44" s="394"/>
      <c r="L44" s="394"/>
      <c r="M44" s="394"/>
    </row>
    <row r="45" spans="1:13" ht="15" customHeight="1" x14ac:dyDescent="0.25">
      <c r="K45" s="382"/>
      <c r="L45" s="382"/>
      <c r="M45" s="382"/>
    </row>
    <row r="65513" ht="12.75" customHeight="1" x14ac:dyDescent="0.25"/>
    <row r="65514" ht="12.75" customHeight="1" x14ac:dyDescent="0.25"/>
    <row r="65515" ht="12.75" customHeight="1" x14ac:dyDescent="0.25"/>
    <row r="65516" ht="12.75" customHeight="1" x14ac:dyDescent="0.25"/>
    <row r="65517" ht="12.75" customHeight="1" x14ac:dyDescent="0.25"/>
    <row r="65518" ht="12.75" customHeight="1" x14ac:dyDescent="0.25"/>
    <row r="65519" ht="12.75" customHeight="1" x14ac:dyDescent="0.25"/>
    <row r="65520" ht="12.75" customHeight="1" x14ac:dyDescent="0.25"/>
    <row r="65521" ht="12.75" customHeight="1" x14ac:dyDescent="0.25"/>
    <row r="65522" ht="12.75" customHeight="1" x14ac:dyDescent="0.25"/>
    <row r="65523" ht="12.75" customHeight="1" x14ac:dyDescent="0.25"/>
    <row r="65524" ht="12.75" customHeight="1" x14ac:dyDescent="0.25"/>
    <row r="65525" ht="12.75" customHeight="1" x14ac:dyDescent="0.25"/>
    <row r="65526" ht="12.75" customHeight="1" x14ac:dyDescent="0.25"/>
    <row r="65527" ht="12.75" customHeight="1" x14ac:dyDescent="0.25"/>
    <row r="65528" ht="12.75" customHeight="1" x14ac:dyDescent="0.25"/>
    <row r="65529" ht="12.75" customHeight="1" x14ac:dyDescent="0.25"/>
    <row r="65530" ht="12.75" customHeight="1" x14ac:dyDescent="0.25"/>
    <row r="65531" ht="12.75" customHeight="1" x14ac:dyDescent="0.25"/>
    <row r="65532" ht="12.75" customHeight="1" x14ac:dyDescent="0.25"/>
    <row r="65533" ht="12.75" customHeight="1" x14ac:dyDescent="0.25"/>
    <row r="65534" ht="12.75" customHeight="1" x14ac:dyDescent="0.25"/>
    <row r="65535" ht="12.75" customHeight="1" x14ac:dyDescent="0.25"/>
    <row r="65536" ht="12.75" customHeight="1" x14ac:dyDescent="0.25"/>
  </sheetData>
  <mergeCells count="10">
    <mergeCell ref="K45:M45"/>
    <mergeCell ref="B5:D5"/>
    <mergeCell ref="B2:K2"/>
    <mergeCell ref="B3:K3"/>
    <mergeCell ref="B4:K4"/>
    <mergeCell ref="K42:M43"/>
    <mergeCell ref="K44:M44"/>
    <mergeCell ref="G40:I40"/>
    <mergeCell ref="G41:I41"/>
    <mergeCell ref="I33:K33"/>
  </mergeCells>
  <phoneticPr fontId="29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5:L148"/>
  <sheetViews>
    <sheetView view="pageBreakPreview" topLeftCell="A56" zoomScaleNormal="90" zoomScaleSheetLayoutView="100" workbookViewId="0">
      <selection activeCell="B69" sqref="B69"/>
    </sheetView>
  </sheetViews>
  <sheetFormatPr defaultRowHeight="12.75" x14ac:dyDescent="0.2"/>
  <cols>
    <col min="1" max="1" width="11.42578125" style="49" customWidth="1"/>
    <col min="2" max="2" width="70.7109375" style="49" customWidth="1"/>
    <col min="3" max="4" width="9.140625" style="49"/>
    <col min="5" max="5" width="18.7109375" style="49" customWidth="1"/>
    <col min="6" max="7" width="19.42578125" style="49" customWidth="1"/>
    <col min="8" max="8" width="55.7109375" style="49" customWidth="1"/>
    <col min="9" max="9" width="11.42578125" style="49" bestFit="1" customWidth="1"/>
    <col min="10" max="10" width="12.85546875" style="49" customWidth="1"/>
    <col min="11" max="11" width="14.7109375" style="50" customWidth="1"/>
    <col min="12" max="12" width="12.7109375" style="50" customWidth="1"/>
    <col min="13" max="13" width="11.28515625" style="49" bestFit="1" customWidth="1"/>
    <col min="14" max="16384" width="9.140625" style="49"/>
  </cols>
  <sheetData>
    <row r="5" spans="1:6" ht="15" x14ac:dyDescent="0.25">
      <c r="A5" s="355" t="s">
        <v>102</v>
      </c>
      <c r="B5" s="355"/>
      <c r="C5" s="355"/>
      <c r="D5" s="355"/>
      <c r="E5" s="355"/>
      <c r="F5" s="355"/>
    </row>
    <row r="6" spans="1:6" ht="15" x14ac:dyDescent="0.25">
      <c r="A6" s="356" t="s">
        <v>105</v>
      </c>
      <c r="B6" s="356"/>
      <c r="C6" s="356"/>
      <c r="D6" s="356"/>
      <c r="E6" s="356"/>
      <c r="F6" s="356"/>
    </row>
    <row r="7" spans="1:6" ht="15" x14ac:dyDescent="0.25">
      <c r="A7" s="180" t="s">
        <v>1</v>
      </c>
      <c r="B7" s="180"/>
      <c r="C7" s="180" t="s">
        <v>100</v>
      </c>
      <c r="D7" s="180"/>
      <c r="E7" s="180" t="s">
        <v>101</v>
      </c>
      <c r="F7" s="180" t="s">
        <v>22</v>
      </c>
    </row>
    <row r="8" spans="1:6" ht="15" x14ac:dyDescent="0.2">
      <c r="A8" s="181">
        <v>7356</v>
      </c>
      <c r="B8" s="182" t="s">
        <v>107</v>
      </c>
      <c r="C8" s="181">
        <f>(16/76)*2</f>
        <v>0.42105263157894735</v>
      </c>
      <c r="D8" s="181" t="s">
        <v>108</v>
      </c>
      <c r="E8" s="186">
        <v>11.99</v>
      </c>
      <c r="F8" s="186">
        <f>C8*E8</f>
        <v>5.0484210526315785</v>
      </c>
    </row>
    <row r="9" spans="1:6" ht="15" x14ac:dyDescent="0.2">
      <c r="A9" s="181">
        <v>88310</v>
      </c>
      <c r="B9" s="182" t="s">
        <v>106</v>
      </c>
      <c r="C9" s="181">
        <f>0.4927*2</f>
        <v>0.98540000000000005</v>
      </c>
      <c r="D9" s="181" t="s">
        <v>34</v>
      </c>
      <c r="E9" s="186">
        <v>29.87</v>
      </c>
      <c r="F9" s="186">
        <f>C9*E9</f>
        <v>29.433898000000003</v>
      </c>
    </row>
    <row r="10" spans="1:6" ht="15" x14ac:dyDescent="0.25">
      <c r="A10" s="183"/>
      <c r="B10" s="184"/>
      <c r="C10" s="184"/>
      <c r="D10" s="184"/>
      <c r="E10" s="184"/>
      <c r="F10" s="185">
        <f>SUM(F8:F9)</f>
        <v>34.482319052631581</v>
      </c>
    </row>
    <row r="12" spans="1:6" ht="15" x14ac:dyDescent="0.25">
      <c r="A12" s="355" t="s">
        <v>248</v>
      </c>
      <c r="B12" s="355"/>
      <c r="C12" s="355"/>
      <c r="D12" s="355"/>
      <c r="E12" s="355"/>
      <c r="F12" s="355"/>
    </row>
    <row r="13" spans="1:6" ht="15" x14ac:dyDescent="0.25">
      <c r="A13" s="356" t="s">
        <v>118</v>
      </c>
      <c r="B13" s="356"/>
      <c r="C13" s="356"/>
      <c r="D13" s="356"/>
      <c r="E13" s="356"/>
      <c r="F13" s="356"/>
    </row>
    <row r="14" spans="1:6" ht="15" x14ac:dyDescent="0.25">
      <c r="A14" s="180" t="s">
        <v>1</v>
      </c>
      <c r="B14" s="180"/>
      <c r="C14" s="180" t="s">
        <v>100</v>
      </c>
      <c r="D14" s="180"/>
      <c r="E14" s="180" t="s">
        <v>101</v>
      </c>
      <c r="F14" s="180" t="s">
        <v>22</v>
      </c>
    </row>
    <row r="15" spans="1:6" ht="15" x14ac:dyDescent="0.2">
      <c r="A15" s="181">
        <v>7356</v>
      </c>
      <c r="B15" s="182" t="s">
        <v>107</v>
      </c>
      <c r="C15" s="181">
        <f>(16/76)*2</f>
        <v>0.42105263157894735</v>
      </c>
      <c r="D15" s="181" t="s">
        <v>108</v>
      </c>
      <c r="E15" s="186">
        <v>11.99</v>
      </c>
      <c r="F15" s="186">
        <f>C15*E15</f>
        <v>5.0484210526315785</v>
      </c>
    </row>
    <row r="16" spans="1:6" ht="15" x14ac:dyDescent="0.2">
      <c r="A16" s="181">
        <v>88310</v>
      </c>
      <c r="B16" s="182" t="s">
        <v>106</v>
      </c>
      <c r="C16" s="181">
        <f>((0.4927)+(0.4927*0.35))*2</f>
        <v>1.33029</v>
      </c>
      <c r="D16" s="181" t="s">
        <v>34</v>
      </c>
      <c r="E16" s="186">
        <v>29.87</v>
      </c>
      <c r="F16" s="186">
        <f>C16*E16</f>
        <v>39.735762299999998</v>
      </c>
    </row>
    <row r="17" spans="1:8" ht="15" x14ac:dyDescent="0.25">
      <c r="A17" s="183"/>
      <c r="B17" s="184"/>
      <c r="C17" s="184"/>
      <c r="D17" s="184"/>
      <c r="E17" s="184"/>
      <c r="F17" s="185">
        <f>SUM(F15:F16)</f>
        <v>44.784183352631572</v>
      </c>
    </row>
    <row r="18" spans="1:8" x14ac:dyDescent="0.2">
      <c r="G18" s="188" t="s">
        <v>109</v>
      </c>
      <c r="H18" s="187">
        <f>(939.9+1054+739.4)/3</f>
        <v>911.1</v>
      </c>
    </row>
    <row r="19" spans="1:8" x14ac:dyDescent="0.2">
      <c r="G19" s="188" t="s">
        <v>110</v>
      </c>
      <c r="H19" s="49" t="s">
        <v>111</v>
      </c>
    </row>
    <row r="20" spans="1:8" ht="15" customHeight="1" x14ac:dyDescent="0.25">
      <c r="A20" s="206"/>
      <c r="B20"/>
      <c r="C20"/>
      <c r="D20"/>
      <c r="E20"/>
      <c r="F20" s="207"/>
    </row>
    <row r="21" spans="1:8" ht="15" customHeight="1" x14ac:dyDescent="0.25">
      <c r="A21" s="355" t="s">
        <v>249</v>
      </c>
      <c r="B21" s="355"/>
      <c r="C21" s="355"/>
      <c r="D21" s="355"/>
      <c r="E21" s="355"/>
      <c r="F21" s="355"/>
    </row>
    <row r="22" spans="1:8" ht="15" customHeight="1" x14ac:dyDescent="0.25">
      <c r="A22" s="356" t="s">
        <v>148</v>
      </c>
      <c r="B22" s="356"/>
      <c r="C22" s="356"/>
      <c r="D22" s="356"/>
      <c r="E22" s="356"/>
      <c r="F22" s="356"/>
    </row>
    <row r="23" spans="1:8" ht="15" customHeight="1" x14ac:dyDescent="0.25">
      <c r="A23" s="180" t="s">
        <v>1</v>
      </c>
      <c r="B23" s="180"/>
      <c r="C23" s="180" t="s">
        <v>100</v>
      </c>
      <c r="D23" s="180"/>
      <c r="E23" s="180" t="s">
        <v>101</v>
      </c>
      <c r="F23" s="180" t="s">
        <v>22</v>
      </c>
    </row>
    <row r="24" spans="1:8" ht="45" x14ac:dyDescent="0.2">
      <c r="A24" s="304" t="s">
        <v>310</v>
      </c>
      <c r="B24" s="305" t="s">
        <v>312</v>
      </c>
      <c r="C24" s="304">
        <v>1</v>
      </c>
      <c r="D24" s="304" t="s">
        <v>147</v>
      </c>
      <c r="E24" s="304"/>
      <c r="F24" s="311">
        <f>F36</f>
        <v>678.28566666666666</v>
      </c>
    </row>
    <row r="25" spans="1:8" ht="45" x14ac:dyDescent="0.2">
      <c r="A25" s="181">
        <v>4384</v>
      </c>
      <c r="B25" s="182" t="s">
        <v>143</v>
      </c>
      <c r="C25" s="181">
        <v>1</v>
      </c>
      <c r="D25" s="181" t="s">
        <v>147</v>
      </c>
      <c r="E25" s="186">
        <v>35</v>
      </c>
      <c r="F25" s="186">
        <f>C25*E25</f>
        <v>35</v>
      </c>
    </row>
    <row r="26" spans="1:8" ht="30" x14ac:dyDescent="0.2">
      <c r="A26" s="181">
        <v>6138</v>
      </c>
      <c r="B26" s="182" t="s">
        <v>144</v>
      </c>
      <c r="C26" s="181">
        <v>1</v>
      </c>
      <c r="D26" s="181" t="s">
        <v>147</v>
      </c>
      <c r="E26" s="186">
        <v>15.6</v>
      </c>
      <c r="F26" s="186">
        <f t="shared" ref="F26:F29" si="0">C26*E26</f>
        <v>15.6</v>
      </c>
    </row>
    <row r="27" spans="1:8" ht="15" customHeight="1" x14ac:dyDescent="0.2">
      <c r="A27" s="181">
        <v>37329</v>
      </c>
      <c r="B27" s="182" t="s">
        <v>145</v>
      </c>
      <c r="C27" s="181">
        <v>8.8099999999999998E-2</v>
      </c>
      <c r="D27" s="181" t="s">
        <v>50</v>
      </c>
      <c r="E27" s="186">
        <v>96.46</v>
      </c>
      <c r="F27" s="186">
        <f t="shared" si="0"/>
        <v>8.4981259999999992</v>
      </c>
    </row>
    <row r="28" spans="1:8" ht="15" customHeight="1" x14ac:dyDescent="0.2">
      <c r="A28" s="181">
        <v>88267</v>
      </c>
      <c r="B28" s="182" t="s">
        <v>146</v>
      </c>
      <c r="C28" s="181">
        <v>0.49680000000000002</v>
      </c>
      <c r="D28" s="181" t="s">
        <v>34</v>
      </c>
      <c r="E28" s="186">
        <v>27.68</v>
      </c>
      <c r="F28" s="186">
        <f t="shared" si="0"/>
        <v>13.751424</v>
      </c>
    </row>
    <row r="29" spans="1:8" ht="15" customHeight="1" x14ac:dyDescent="0.2">
      <c r="A29" s="181">
        <v>88316</v>
      </c>
      <c r="B29" s="182" t="s">
        <v>51</v>
      </c>
      <c r="C29" s="181">
        <v>0.34949999999999998</v>
      </c>
      <c r="D29" s="181" t="s">
        <v>34</v>
      </c>
      <c r="E29" s="186">
        <v>23.48</v>
      </c>
      <c r="F29" s="186">
        <f t="shared" si="0"/>
        <v>8.2062600000000003</v>
      </c>
    </row>
    <row r="30" spans="1:8" ht="15" customHeight="1" x14ac:dyDescent="0.25">
      <c r="A30" s="306"/>
      <c r="B30" s="307"/>
      <c r="C30" s="308"/>
      <c r="D30" s="308"/>
      <c r="E30" s="309"/>
      <c r="F30" s="312">
        <f>SUM(F24:F29)</f>
        <v>759.34147666666672</v>
      </c>
    </row>
    <row r="31" spans="1:8" ht="15" customHeight="1" x14ac:dyDescent="0.2">
      <c r="A31" s="352" t="s">
        <v>311</v>
      </c>
      <c r="B31" s="353"/>
      <c r="C31" s="353"/>
      <c r="D31" s="353"/>
      <c r="E31" s="353"/>
      <c r="F31" s="354"/>
    </row>
    <row r="32" spans="1:8" ht="15" customHeight="1" x14ac:dyDescent="0.2">
      <c r="A32" s="181">
        <v>1</v>
      </c>
      <c r="B32" s="182" t="s">
        <v>313</v>
      </c>
      <c r="C32" s="181"/>
      <c r="D32" s="181"/>
      <c r="E32" s="186"/>
      <c r="F32" s="186">
        <v>899</v>
      </c>
    </row>
    <row r="33" spans="1:6" ht="15" customHeight="1" x14ac:dyDescent="0.2">
      <c r="A33" s="181">
        <v>2</v>
      </c>
      <c r="B33" s="182" t="s">
        <v>314</v>
      </c>
      <c r="C33" s="181"/>
      <c r="D33" s="181"/>
      <c r="E33" s="186"/>
      <c r="F33" s="186">
        <v>1092</v>
      </c>
    </row>
    <row r="34" spans="1:6" ht="15" customHeight="1" x14ac:dyDescent="0.2">
      <c r="A34" s="181">
        <v>3</v>
      </c>
      <c r="B34" s="182" t="s">
        <v>315</v>
      </c>
      <c r="C34" s="181"/>
      <c r="D34" s="181"/>
      <c r="E34" s="186"/>
      <c r="F34" s="186">
        <v>770</v>
      </c>
    </row>
    <row r="35" spans="1:6" ht="15" customHeight="1" x14ac:dyDescent="0.2">
      <c r="A35" s="181"/>
      <c r="B35" s="182"/>
      <c r="C35" s="181"/>
      <c r="D35" s="181"/>
      <c r="E35" s="310" t="s">
        <v>316</v>
      </c>
      <c r="F35" s="310">
        <f>(F32+F33+F34)/3</f>
        <v>920.33333333333337</v>
      </c>
    </row>
    <row r="36" spans="1:6" ht="15" customHeight="1" x14ac:dyDescent="0.2">
      <c r="A36" s="181"/>
      <c r="B36" s="182"/>
      <c r="C36" s="181"/>
      <c r="D36" s="181"/>
      <c r="E36" s="313" t="s">
        <v>317</v>
      </c>
      <c r="F36" s="313">
        <f>F35-(F35*0.263)</f>
        <v>678.28566666666666</v>
      </c>
    </row>
    <row r="37" spans="1:6" ht="15" customHeight="1" x14ac:dyDescent="0.25">
      <c r="A37" s="196"/>
      <c r="B37" s="197"/>
      <c r="C37" s="197"/>
      <c r="D37" s="197"/>
      <c r="E37" s="197"/>
      <c r="F37" s="198"/>
    </row>
    <row r="38" spans="1:6" ht="15" customHeight="1" x14ac:dyDescent="0.25">
      <c r="A38" s="196"/>
      <c r="B38" s="197"/>
      <c r="C38" s="197"/>
      <c r="D38" s="197"/>
      <c r="E38" s="197"/>
      <c r="F38" s="198"/>
    </row>
    <row r="39" spans="1:6" ht="15" customHeight="1" x14ac:dyDescent="0.25">
      <c r="A39" s="355" t="s">
        <v>250</v>
      </c>
      <c r="B39" s="355"/>
      <c r="C39" s="355"/>
      <c r="D39" s="355"/>
      <c r="E39" s="355"/>
      <c r="F39" s="355"/>
    </row>
    <row r="40" spans="1:6" ht="28.5" customHeight="1" x14ac:dyDescent="0.25">
      <c r="A40" s="357" t="s">
        <v>167</v>
      </c>
      <c r="B40" s="357"/>
      <c r="C40" s="357"/>
      <c r="D40" s="357"/>
      <c r="E40" s="357"/>
      <c r="F40" s="357"/>
    </row>
    <row r="41" spans="1:6" ht="15" customHeight="1" x14ac:dyDescent="0.25">
      <c r="A41" s="180" t="s">
        <v>1</v>
      </c>
      <c r="B41" s="180"/>
      <c r="C41" s="180" t="s">
        <v>100</v>
      </c>
      <c r="D41" s="180"/>
      <c r="E41" s="180" t="s">
        <v>101</v>
      </c>
      <c r="F41" s="180" t="s">
        <v>22</v>
      </c>
    </row>
    <row r="42" spans="1:6" ht="15" customHeight="1" x14ac:dyDescent="0.2">
      <c r="A42" s="181">
        <v>37586</v>
      </c>
      <c r="B42" s="182" t="s">
        <v>168</v>
      </c>
      <c r="C42" s="181">
        <v>5.9200000000000003E-2</v>
      </c>
      <c r="D42" s="181" t="s">
        <v>178</v>
      </c>
      <c r="E42" s="186">
        <v>51.5</v>
      </c>
      <c r="F42" s="186">
        <f>C42*E42</f>
        <v>3.0488</v>
      </c>
    </row>
    <row r="43" spans="1:6" ht="30" x14ac:dyDescent="0.2">
      <c r="A43" s="181">
        <v>39417</v>
      </c>
      <c r="B43" s="182" t="s">
        <v>177</v>
      </c>
      <c r="C43" s="181">
        <v>2.1059999999999999</v>
      </c>
      <c r="D43" s="181" t="s">
        <v>26</v>
      </c>
      <c r="E43" s="186">
        <v>32.299999999999997</v>
      </c>
      <c r="F43" s="186">
        <f t="shared" ref="F43:F47" si="1">C43*E43</f>
        <v>68.023799999999994</v>
      </c>
    </row>
    <row r="44" spans="1:6" ht="30" x14ac:dyDescent="0.2">
      <c r="A44" s="181">
        <v>39419</v>
      </c>
      <c r="B44" s="182" t="s">
        <v>169</v>
      </c>
      <c r="C44" s="181">
        <v>1.8233999999999999</v>
      </c>
      <c r="D44" s="181" t="s">
        <v>19</v>
      </c>
      <c r="E44" s="186">
        <v>7.34</v>
      </c>
      <c r="F44" s="186">
        <f t="shared" si="1"/>
        <v>13.383755999999998</v>
      </c>
    </row>
    <row r="45" spans="1:6" ht="30" x14ac:dyDescent="0.2">
      <c r="A45" s="181">
        <v>39422</v>
      </c>
      <c r="B45" s="182" t="s">
        <v>170</v>
      </c>
      <c r="C45" s="181">
        <v>5.8277999999999999</v>
      </c>
      <c r="D45" s="181" t="s">
        <v>19</v>
      </c>
      <c r="E45" s="186">
        <v>8.33</v>
      </c>
      <c r="F45" s="186">
        <f t="shared" si="1"/>
        <v>48.545574000000002</v>
      </c>
    </row>
    <row r="46" spans="1:6" ht="30" x14ac:dyDescent="0.2">
      <c r="A46" s="181">
        <v>39431</v>
      </c>
      <c r="B46" s="182" t="s">
        <v>171</v>
      </c>
      <c r="C46" s="181">
        <v>2.5026999999999999</v>
      </c>
      <c r="D46" s="181" t="s">
        <v>19</v>
      </c>
      <c r="E46" s="186">
        <v>0.38</v>
      </c>
      <c r="F46" s="186">
        <f t="shared" si="1"/>
        <v>0.95102599999999993</v>
      </c>
    </row>
    <row r="47" spans="1:6" ht="30" x14ac:dyDescent="0.2">
      <c r="A47" s="181">
        <v>39432</v>
      </c>
      <c r="B47" s="182" t="s">
        <v>172</v>
      </c>
      <c r="C47" s="181">
        <v>1.5851</v>
      </c>
      <c r="D47" s="181" t="s">
        <v>19</v>
      </c>
      <c r="E47" s="186">
        <v>3.39</v>
      </c>
      <c r="F47" s="186">
        <f t="shared" si="1"/>
        <v>5.3734890000000002</v>
      </c>
    </row>
    <row r="48" spans="1:6" ht="45" x14ac:dyDescent="0.2">
      <c r="A48" s="181">
        <v>39434</v>
      </c>
      <c r="B48" s="182" t="s">
        <v>173</v>
      </c>
      <c r="C48" s="181">
        <v>1.0978000000000001</v>
      </c>
      <c r="D48" s="181" t="s">
        <v>50</v>
      </c>
      <c r="E48" s="186">
        <v>4.24</v>
      </c>
      <c r="F48" s="186">
        <f>C48*E48</f>
        <v>4.6546720000000006</v>
      </c>
    </row>
    <row r="49" spans="1:6" ht="30" x14ac:dyDescent="0.2">
      <c r="A49" s="181">
        <v>39435</v>
      </c>
      <c r="B49" s="182" t="s">
        <v>174</v>
      </c>
      <c r="C49" s="181">
        <v>20.186800000000002</v>
      </c>
      <c r="D49" s="181" t="s">
        <v>29</v>
      </c>
      <c r="E49" s="186">
        <v>0.11</v>
      </c>
      <c r="F49" s="186">
        <f t="shared" ref="F49:F52" si="2">C49*E49</f>
        <v>2.2205480000000004</v>
      </c>
    </row>
    <row r="50" spans="1:6" ht="30" x14ac:dyDescent="0.2">
      <c r="A50" s="181">
        <v>39443</v>
      </c>
      <c r="B50" s="182" t="s">
        <v>175</v>
      </c>
      <c r="C50" s="181">
        <v>0.54410000000000003</v>
      </c>
      <c r="D50" s="181" t="s">
        <v>29</v>
      </c>
      <c r="E50" s="186">
        <v>0.26</v>
      </c>
      <c r="F50" s="186">
        <f t="shared" si="2"/>
        <v>0.14146600000000001</v>
      </c>
    </row>
    <row r="51" spans="1:6" ht="15" x14ac:dyDescent="0.2">
      <c r="A51" s="181">
        <v>88278</v>
      </c>
      <c r="B51" s="182" t="s">
        <v>176</v>
      </c>
      <c r="C51" s="181">
        <v>0.72599999999999998</v>
      </c>
      <c r="D51" s="181" t="s">
        <v>34</v>
      </c>
      <c r="E51" s="186">
        <v>29.22</v>
      </c>
      <c r="F51" s="186">
        <f t="shared" si="2"/>
        <v>21.213719999999999</v>
      </c>
    </row>
    <row r="52" spans="1:6" ht="15" x14ac:dyDescent="0.2">
      <c r="A52" s="181">
        <v>88316</v>
      </c>
      <c r="B52" s="182" t="s">
        <v>51</v>
      </c>
      <c r="C52" s="181">
        <v>0.23699999999999999</v>
      </c>
      <c r="D52" s="181" t="s">
        <v>34</v>
      </c>
      <c r="E52" s="186">
        <v>23.48</v>
      </c>
      <c r="F52" s="186">
        <f t="shared" si="2"/>
        <v>5.5647599999999997</v>
      </c>
    </row>
    <row r="53" spans="1:6" ht="15" customHeight="1" x14ac:dyDescent="0.25">
      <c r="A53" s="183"/>
      <c r="B53" s="184"/>
      <c r="C53" s="184"/>
      <c r="D53" s="184"/>
      <c r="E53" s="184"/>
      <c r="F53" s="185">
        <f>SUM(F42:F52)</f>
        <v>173.12161100000006</v>
      </c>
    </row>
    <row r="54" spans="1:6" ht="15" customHeight="1" x14ac:dyDescent="0.25">
      <c r="A54" s="206"/>
      <c r="B54"/>
      <c r="C54"/>
      <c r="D54"/>
      <c r="E54"/>
      <c r="F54" s="207"/>
    </row>
    <row r="55" spans="1:6" ht="15" customHeight="1" x14ac:dyDescent="0.25">
      <c r="A55" s="206"/>
      <c r="B55"/>
      <c r="C55"/>
      <c r="D55"/>
      <c r="E55"/>
      <c r="F55" s="207"/>
    </row>
    <row r="56" spans="1:6" ht="15" customHeight="1" x14ac:dyDescent="0.25">
      <c r="A56" s="355" t="s">
        <v>251</v>
      </c>
      <c r="B56" s="355"/>
      <c r="C56" s="355"/>
      <c r="D56" s="355"/>
      <c r="E56" s="355"/>
      <c r="F56" s="355"/>
    </row>
    <row r="57" spans="1:6" ht="15" customHeight="1" x14ac:dyDescent="0.25">
      <c r="A57" s="357" t="s">
        <v>198</v>
      </c>
      <c r="B57" s="357"/>
      <c r="C57" s="357"/>
      <c r="D57" s="357"/>
      <c r="E57" s="357"/>
      <c r="F57" s="357"/>
    </row>
    <row r="58" spans="1:6" ht="15" customHeight="1" x14ac:dyDescent="0.25">
      <c r="A58" s="180" t="s">
        <v>1</v>
      </c>
      <c r="B58" s="180"/>
      <c r="C58" s="180" t="s">
        <v>100</v>
      </c>
      <c r="D58" s="180"/>
      <c r="E58" s="180" t="s">
        <v>101</v>
      </c>
      <c r="F58" s="180" t="s">
        <v>22</v>
      </c>
    </row>
    <row r="59" spans="1:6" ht="45" x14ac:dyDescent="0.2">
      <c r="A59" s="181" t="s">
        <v>28</v>
      </c>
      <c r="B59" s="182" t="s">
        <v>201</v>
      </c>
      <c r="C59" s="181">
        <v>1</v>
      </c>
      <c r="D59" s="181" t="s">
        <v>147</v>
      </c>
      <c r="E59" s="186">
        <f>(41.72+51.5+39.9)/3</f>
        <v>44.373333333333335</v>
      </c>
      <c r="F59" s="186">
        <f>C59*E59</f>
        <v>44.373333333333335</v>
      </c>
    </row>
    <row r="60" spans="1:6" ht="15" customHeight="1" x14ac:dyDescent="0.2">
      <c r="A60" s="181">
        <v>88247</v>
      </c>
      <c r="B60" s="182" t="s">
        <v>199</v>
      </c>
      <c r="C60" s="181">
        <v>0.19024720000000001</v>
      </c>
      <c r="D60" s="181" t="s">
        <v>34</v>
      </c>
      <c r="E60" s="186">
        <v>25.2</v>
      </c>
      <c r="F60" s="186">
        <f t="shared" ref="F60:F61" si="3">C60*E60</f>
        <v>4.7942294399999996</v>
      </c>
    </row>
    <row r="61" spans="1:6" ht="15" customHeight="1" x14ac:dyDescent="0.2">
      <c r="A61" s="181">
        <v>88264</v>
      </c>
      <c r="B61" s="182" t="s">
        <v>200</v>
      </c>
      <c r="C61" s="181">
        <v>0.60879099999999997</v>
      </c>
      <c r="D61" s="181" t="s">
        <v>34</v>
      </c>
      <c r="E61" s="186">
        <v>30.11</v>
      </c>
      <c r="F61" s="186">
        <f t="shared" si="3"/>
        <v>18.330697009999998</v>
      </c>
    </row>
    <row r="62" spans="1:6" ht="15" customHeight="1" x14ac:dyDescent="0.25">
      <c r="A62" s="196"/>
      <c r="B62" s="197"/>
      <c r="C62" s="197"/>
      <c r="D62" s="197"/>
      <c r="E62" s="197"/>
      <c r="F62" s="185">
        <f>SUM(F59:F61)</f>
        <v>67.498259783333339</v>
      </c>
    </row>
    <row r="63" spans="1:6" ht="15" customHeight="1" x14ac:dyDescent="0.25">
      <c r="A63" s="196"/>
      <c r="B63" s="197"/>
      <c r="C63" s="197"/>
      <c r="D63" s="197"/>
      <c r="E63" s="197"/>
      <c r="F63" s="198"/>
    </row>
    <row r="64" spans="1:6" ht="15" customHeight="1" x14ac:dyDescent="0.25">
      <c r="A64" s="355" t="s">
        <v>344</v>
      </c>
      <c r="B64" s="355"/>
      <c r="C64" s="355"/>
      <c r="D64" s="355"/>
      <c r="E64" s="355"/>
      <c r="F64" s="355"/>
    </row>
    <row r="65" spans="1:6" ht="15" x14ac:dyDescent="0.25">
      <c r="A65" s="357" t="s">
        <v>349</v>
      </c>
      <c r="B65" s="357"/>
      <c r="C65" s="357"/>
      <c r="D65" s="357"/>
      <c r="E65" s="357"/>
      <c r="F65" s="357"/>
    </row>
    <row r="66" spans="1:6" ht="15" customHeight="1" x14ac:dyDescent="0.25">
      <c r="A66" s="180" t="s">
        <v>1</v>
      </c>
      <c r="B66" s="180"/>
      <c r="C66" s="180" t="s">
        <v>100</v>
      </c>
      <c r="D66" s="180"/>
      <c r="E66" s="180" t="s">
        <v>101</v>
      </c>
      <c r="F66" s="180" t="s">
        <v>22</v>
      </c>
    </row>
    <row r="67" spans="1:6" ht="45" x14ac:dyDescent="0.2">
      <c r="A67" s="304" t="s">
        <v>310</v>
      </c>
      <c r="B67" s="328" t="s">
        <v>348</v>
      </c>
      <c r="C67" s="304">
        <v>1</v>
      </c>
      <c r="D67" s="304" t="s">
        <v>147</v>
      </c>
      <c r="E67" s="304"/>
      <c r="F67" s="311">
        <f>F75</f>
        <v>909.94933333333336</v>
      </c>
    </row>
    <row r="68" spans="1:6" ht="15" customHeight="1" x14ac:dyDescent="0.2">
      <c r="A68" s="181">
        <v>88267</v>
      </c>
      <c r="B68" s="182" t="s">
        <v>146</v>
      </c>
      <c r="C68" s="181">
        <v>4</v>
      </c>
      <c r="D68" s="181" t="s">
        <v>34</v>
      </c>
      <c r="E68" s="186">
        <v>27.68</v>
      </c>
      <c r="F68" s="186">
        <f t="shared" ref="F68" si="4">C68*E68</f>
        <v>110.72</v>
      </c>
    </row>
    <row r="69" spans="1:6" ht="15" customHeight="1" x14ac:dyDescent="0.25">
      <c r="A69" s="306"/>
      <c r="B69" s="307"/>
      <c r="C69" s="308"/>
      <c r="D69" s="308"/>
      <c r="E69" s="309"/>
      <c r="F69" s="312">
        <f>SUM(F67:F68)</f>
        <v>1020.6693333333334</v>
      </c>
    </row>
    <row r="70" spans="1:6" ht="15" customHeight="1" x14ac:dyDescent="0.2">
      <c r="A70" s="352" t="s">
        <v>311</v>
      </c>
      <c r="B70" s="353"/>
      <c r="C70" s="353"/>
      <c r="D70" s="353"/>
      <c r="E70" s="353"/>
      <c r="F70" s="354"/>
    </row>
    <row r="71" spans="1:6" ht="15" customHeight="1" x14ac:dyDescent="0.2">
      <c r="A71" s="181">
        <v>1</v>
      </c>
      <c r="B71" s="182" t="s">
        <v>345</v>
      </c>
      <c r="C71" s="181"/>
      <c r="D71" s="181"/>
      <c r="E71" s="186"/>
      <c r="F71" s="186">
        <v>920</v>
      </c>
    </row>
    <row r="72" spans="1:6" ht="15" customHeight="1" x14ac:dyDescent="0.2">
      <c r="A72" s="181">
        <v>2</v>
      </c>
      <c r="B72" s="182" t="s">
        <v>346</v>
      </c>
      <c r="C72" s="181"/>
      <c r="D72" s="181"/>
      <c r="E72" s="186"/>
      <c r="F72" s="186">
        <v>1015</v>
      </c>
    </row>
    <row r="73" spans="1:6" ht="15" customHeight="1" x14ac:dyDescent="0.2">
      <c r="A73" s="181">
        <v>3</v>
      </c>
      <c r="B73" s="182" t="s">
        <v>347</v>
      </c>
      <c r="C73" s="181"/>
      <c r="D73" s="181"/>
      <c r="E73" s="186"/>
      <c r="F73" s="186">
        <v>1769</v>
      </c>
    </row>
    <row r="74" spans="1:6" ht="15" customHeight="1" x14ac:dyDescent="0.2">
      <c r="A74" s="181"/>
      <c r="B74" s="182"/>
      <c r="C74" s="181"/>
      <c r="D74" s="181"/>
      <c r="E74" s="310" t="s">
        <v>316</v>
      </c>
      <c r="F74" s="310">
        <f>(F71+F72+F73)/3</f>
        <v>1234.6666666666667</v>
      </c>
    </row>
    <row r="75" spans="1:6" ht="15" customHeight="1" x14ac:dyDescent="0.2">
      <c r="A75" s="181"/>
      <c r="B75" s="182"/>
      <c r="C75" s="181"/>
      <c r="D75" s="181"/>
      <c r="E75" s="313" t="s">
        <v>317</v>
      </c>
      <c r="F75" s="313">
        <f>F74-(F74*0.263)</f>
        <v>909.94933333333336</v>
      </c>
    </row>
    <row r="76" spans="1:6" ht="15" customHeight="1" x14ac:dyDescent="0.25">
      <c r="A76" s="197"/>
      <c r="B76" s="197"/>
      <c r="C76" s="197"/>
      <c r="D76" s="197"/>
      <c r="E76" s="197"/>
      <c r="F76" s="197"/>
    </row>
    <row r="82" spans="5:9" x14ac:dyDescent="0.2">
      <c r="E82" s="49" t="s">
        <v>336</v>
      </c>
    </row>
    <row r="83" spans="5:9" x14ac:dyDescent="0.2">
      <c r="E83" s="240">
        <v>80.52</v>
      </c>
    </row>
    <row r="84" spans="5:9" x14ac:dyDescent="0.2">
      <c r="E84" s="240">
        <v>96.99</v>
      </c>
    </row>
    <row r="85" spans="5:9" x14ac:dyDescent="0.2">
      <c r="E85" s="240">
        <v>87</v>
      </c>
    </row>
    <row r="86" spans="5:9" x14ac:dyDescent="0.2">
      <c r="E86" s="326">
        <f>(E83+E84+E85)/3</f>
        <v>88.17</v>
      </c>
      <c r="F86" s="49" t="s">
        <v>337</v>
      </c>
    </row>
    <row r="87" spans="5:9" x14ac:dyDescent="0.2">
      <c r="E87" s="325">
        <f>E86/2</f>
        <v>44.085000000000001</v>
      </c>
      <c r="F87" s="49" t="s">
        <v>338</v>
      </c>
    </row>
    <row r="92" spans="5:9" x14ac:dyDescent="0.2">
      <c r="I92" s="49" t="s">
        <v>203</v>
      </c>
    </row>
    <row r="93" spans="5:9" x14ac:dyDescent="0.2">
      <c r="I93" s="240"/>
    </row>
    <row r="94" spans="5:9" x14ac:dyDescent="0.2">
      <c r="I94" s="240"/>
    </row>
    <row r="95" spans="5:9" x14ac:dyDescent="0.2">
      <c r="I95" s="240"/>
    </row>
    <row r="96" spans="5:9" x14ac:dyDescent="0.2">
      <c r="I96" s="241"/>
    </row>
    <row r="101" spans="5:11" x14ac:dyDescent="0.2">
      <c r="E101" s="49" t="s">
        <v>339</v>
      </c>
    </row>
    <row r="102" spans="5:11" x14ac:dyDescent="0.2">
      <c r="E102" s="240">
        <v>12.54</v>
      </c>
    </row>
    <row r="103" spans="5:11" x14ac:dyDescent="0.2">
      <c r="E103" s="240">
        <v>8</v>
      </c>
    </row>
    <row r="104" spans="5:11" x14ac:dyDescent="0.2">
      <c r="E104" s="240">
        <v>9.98</v>
      </c>
    </row>
    <row r="105" spans="5:11" x14ac:dyDescent="0.2">
      <c r="E105" s="241">
        <f>(E102+E103+E104)/3</f>
        <v>10.173333333333334</v>
      </c>
      <c r="F105" s="49" t="s">
        <v>340</v>
      </c>
    </row>
    <row r="106" spans="5:11" x14ac:dyDescent="0.2">
      <c r="E106" s="325"/>
      <c r="K106" s="50">
        <v>23.49</v>
      </c>
    </row>
    <row r="107" spans="5:11" x14ac:dyDescent="0.2">
      <c r="K107" s="50">
        <v>21.23</v>
      </c>
    </row>
    <row r="108" spans="5:11" x14ac:dyDescent="0.2">
      <c r="K108" s="50">
        <v>22.37</v>
      </c>
    </row>
    <row r="109" spans="5:11" x14ac:dyDescent="0.2">
      <c r="K109" s="242">
        <f>(K106+K107+K108)/3</f>
        <v>22.363333333333333</v>
      </c>
    </row>
    <row r="117" spans="3:4" x14ac:dyDescent="0.2">
      <c r="C117" s="49" t="s">
        <v>341</v>
      </c>
    </row>
    <row r="118" spans="3:4" x14ac:dyDescent="0.2">
      <c r="C118" s="240">
        <v>18.239999999999998</v>
      </c>
    </row>
    <row r="119" spans="3:4" x14ac:dyDescent="0.2">
      <c r="C119" s="240">
        <v>29.9</v>
      </c>
    </row>
    <row r="120" spans="3:4" x14ac:dyDescent="0.2">
      <c r="C120" s="240">
        <v>10.43</v>
      </c>
    </row>
    <row r="121" spans="3:4" x14ac:dyDescent="0.2">
      <c r="C121" s="240">
        <v>6.48</v>
      </c>
    </row>
    <row r="122" spans="3:4" x14ac:dyDescent="0.2">
      <c r="C122" s="241">
        <f>(C118+C119+C120+C121)/4</f>
        <v>16.262499999999999</v>
      </c>
      <c r="D122" s="49" t="s">
        <v>340</v>
      </c>
    </row>
    <row r="130" spans="11:11" x14ac:dyDescent="0.2">
      <c r="K130" s="50">
        <v>1399</v>
      </c>
    </row>
    <row r="131" spans="11:11" x14ac:dyDescent="0.2">
      <c r="K131" s="50">
        <v>839.9</v>
      </c>
    </row>
    <row r="132" spans="11:11" x14ac:dyDescent="0.2">
      <c r="K132" s="50">
        <v>1193.29</v>
      </c>
    </row>
    <row r="133" spans="11:11" x14ac:dyDescent="0.2">
      <c r="K133" s="242">
        <f>(K130+K131+K132)/3</f>
        <v>1144.0633333333333</v>
      </c>
    </row>
    <row r="145" spans="9:9" x14ac:dyDescent="0.2">
      <c r="I145" s="50">
        <v>395.9</v>
      </c>
    </row>
    <row r="146" spans="9:9" x14ac:dyDescent="0.2">
      <c r="I146" s="50">
        <v>887.9</v>
      </c>
    </row>
    <row r="147" spans="9:9" x14ac:dyDescent="0.2">
      <c r="I147" s="50">
        <v>299.89999999999998</v>
      </c>
    </row>
    <row r="148" spans="9:9" x14ac:dyDescent="0.2">
      <c r="I148" s="242">
        <f>(I145+I146+I147)/3</f>
        <v>527.9</v>
      </c>
    </row>
  </sheetData>
  <mergeCells count="14">
    <mergeCell ref="A64:F64"/>
    <mergeCell ref="A65:F65"/>
    <mergeCell ref="A70:F70"/>
    <mergeCell ref="A39:F39"/>
    <mergeCell ref="A40:F40"/>
    <mergeCell ref="A56:F56"/>
    <mergeCell ref="A57:F57"/>
    <mergeCell ref="A31:F31"/>
    <mergeCell ref="A5:F5"/>
    <mergeCell ref="A21:F21"/>
    <mergeCell ref="A22:F22"/>
    <mergeCell ref="A6:F6"/>
    <mergeCell ref="A12:F12"/>
    <mergeCell ref="A13:F13"/>
  </mergeCells>
  <phoneticPr fontId="29" type="noConversion"/>
  <printOptions horizontalCentered="1"/>
  <pageMargins left="0.51181102362204722" right="0.51181102362204722" top="0.39370078740157483" bottom="0.39370078740157483" header="0.31496062992125984" footer="0.31496062992125984"/>
  <pageSetup paperSize="9" scale="6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4557C-E8A5-4AC8-96EA-5FF33FF518F9}">
  <sheetPr>
    <pageSetUpPr fitToPage="1"/>
  </sheetPr>
  <dimension ref="B2:S170"/>
  <sheetViews>
    <sheetView view="pageBreakPreview" topLeftCell="A120" zoomScale="88" zoomScaleNormal="88" zoomScaleSheetLayoutView="88" zoomScalePageLayoutView="85" workbookViewId="0">
      <selection activeCell="I137" sqref="I137"/>
    </sheetView>
  </sheetViews>
  <sheetFormatPr defaultRowHeight="15" x14ac:dyDescent="0.25"/>
  <cols>
    <col min="2" max="2" width="9.140625" style="13"/>
    <col min="3" max="3" width="14.28515625" style="51" customWidth="1"/>
    <col min="4" max="4" width="13.28515625" style="41" customWidth="1"/>
    <col min="5" max="5" width="66.7109375" style="57" customWidth="1"/>
    <col min="6" max="6" width="14" style="39" bestFit="1" customWidth="1"/>
    <col min="7" max="7" width="9" style="2" customWidth="1"/>
    <col min="8" max="9" width="15.7109375" style="110" customWidth="1"/>
    <col min="10" max="10" width="15.7109375" style="111" customWidth="1"/>
    <col min="11" max="11" width="15.42578125" style="1" customWidth="1"/>
    <col min="12" max="12" width="12" customWidth="1"/>
    <col min="13" max="13" width="9.5703125" customWidth="1"/>
    <col min="14" max="14" width="9.140625" customWidth="1"/>
    <col min="15" max="15" width="10.5703125" customWidth="1"/>
    <col min="16" max="19" width="9.140625" customWidth="1"/>
  </cols>
  <sheetData>
    <row r="2" spans="2:13" ht="15.75" customHeight="1" x14ac:dyDescent="0.25">
      <c r="B2" s="139"/>
      <c r="C2" s="140"/>
      <c r="D2" s="141"/>
      <c r="E2" s="141"/>
      <c r="F2" s="141"/>
      <c r="G2" s="142"/>
      <c r="H2" s="143"/>
      <c r="I2" s="144"/>
      <c r="J2" s="145"/>
    </row>
    <row r="3" spans="2:13" ht="17.25" customHeight="1" x14ac:dyDescent="0.25">
      <c r="B3" s="146"/>
      <c r="C3" s="5"/>
      <c r="D3" s="44"/>
      <c r="E3" s="362" t="s">
        <v>6</v>
      </c>
      <c r="F3" s="362"/>
      <c r="G3" s="7"/>
      <c r="H3" s="363" t="s">
        <v>9</v>
      </c>
      <c r="I3" s="364"/>
      <c r="J3" s="147"/>
    </row>
    <row r="4" spans="2:13" ht="15.75" x14ac:dyDescent="0.25">
      <c r="B4" s="148"/>
      <c r="C4" s="4"/>
      <c r="D4" s="45"/>
      <c r="E4" s="362"/>
      <c r="F4" s="362"/>
      <c r="G4" s="3"/>
      <c r="H4" s="112" t="s">
        <v>8</v>
      </c>
      <c r="I4" s="365">
        <v>46105</v>
      </c>
      <c r="J4" s="366"/>
    </row>
    <row r="5" spans="2:13" ht="15.75" x14ac:dyDescent="0.25">
      <c r="B5" s="148"/>
      <c r="C5" s="4"/>
      <c r="D5" s="45"/>
      <c r="E5" s="58"/>
      <c r="F5" s="34"/>
      <c r="G5" s="6"/>
      <c r="H5" s="113" t="s">
        <v>3</v>
      </c>
      <c r="I5" s="149">
        <v>0.26300000000000001</v>
      </c>
      <c r="J5" s="150"/>
      <c r="L5" s="61"/>
      <c r="M5" s="62"/>
    </row>
    <row r="6" spans="2:13" ht="16.5" thickBot="1" x14ac:dyDescent="0.3">
      <c r="B6" s="151"/>
      <c r="C6" s="10"/>
      <c r="D6" s="46"/>
      <c r="E6" s="59"/>
      <c r="F6" s="35"/>
      <c r="G6" s="11"/>
      <c r="H6" s="114"/>
      <c r="I6" s="115"/>
      <c r="J6" s="152"/>
      <c r="L6" s="63"/>
      <c r="M6" s="64"/>
    </row>
    <row r="7" spans="2:13" s="8" customFormat="1" ht="21.75" thickBot="1" x14ac:dyDescent="0.3">
      <c r="B7" s="367" t="s">
        <v>7</v>
      </c>
      <c r="C7" s="368"/>
      <c r="D7" s="368"/>
      <c r="E7" s="368"/>
      <c r="F7" s="368"/>
      <c r="G7" s="368"/>
      <c r="H7" s="368"/>
      <c r="I7" s="368"/>
      <c r="J7" s="369"/>
      <c r="K7" s="9"/>
    </row>
    <row r="8" spans="2:13" s="12" customFormat="1" ht="17.100000000000001" customHeight="1" x14ac:dyDescent="0.25">
      <c r="B8" s="211" t="s">
        <v>10</v>
      </c>
      <c r="C8" s="212" t="s">
        <v>225</v>
      </c>
      <c r="D8" s="213"/>
      <c r="E8" s="212"/>
      <c r="F8" s="214" t="s">
        <v>12</v>
      </c>
      <c r="G8" s="370">
        <v>45796</v>
      </c>
      <c r="H8" s="371"/>
      <c r="I8" s="371"/>
      <c r="J8" s="372"/>
      <c r="K8" s="36"/>
    </row>
    <row r="9" spans="2:13" s="12" customFormat="1" ht="17.100000000000001" customHeight="1" thickBot="1" x14ac:dyDescent="0.3">
      <c r="B9" s="215" t="s">
        <v>11</v>
      </c>
      <c r="C9" s="373" t="s">
        <v>158</v>
      </c>
      <c r="D9" s="374"/>
      <c r="E9" s="374"/>
      <c r="F9" s="216"/>
      <c r="G9" s="373"/>
      <c r="H9" s="374"/>
      <c r="I9" s="374"/>
      <c r="J9" s="217"/>
      <c r="K9" s="36"/>
    </row>
    <row r="10" spans="2:13" s="17" customFormat="1" ht="30.75" thickBot="1" x14ac:dyDescent="0.3">
      <c r="B10" s="153" t="s">
        <v>0</v>
      </c>
      <c r="C10" s="53" t="s">
        <v>15</v>
      </c>
      <c r="D10" s="21" t="s">
        <v>14</v>
      </c>
      <c r="E10" s="21" t="s">
        <v>16</v>
      </c>
      <c r="F10" s="22" t="s">
        <v>5</v>
      </c>
      <c r="G10" s="23" t="s">
        <v>13</v>
      </c>
      <c r="H10" s="116" t="s">
        <v>17</v>
      </c>
      <c r="I10" s="116" t="s">
        <v>18</v>
      </c>
      <c r="J10" s="154" t="s">
        <v>39</v>
      </c>
      <c r="K10" s="27"/>
    </row>
    <row r="11" spans="2:13" s="17" customFormat="1" ht="6.75" customHeight="1" thickBot="1" x14ac:dyDescent="0.3">
      <c r="B11" s="155"/>
      <c r="C11" s="54"/>
      <c r="D11" s="24"/>
      <c r="E11" s="24"/>
      <c r="F11" s="25"/>
      <c r="G11" s="26"/>
      <c r="H11" s="117"/>
      <c r="I11" s="117"/>
      <c r="J11" s="156"/>
      <c r="K11" s="27"/>
    </row>
    <row r="12" spans="2:13" s="17" customFormat="1" x14ac:dyDescent="0.25">
      <c r="B12" s="157" t="s">
        <v>27</v>
      </c>
      <c r="C12" s="66"/>
      <c r="D12" s="67"/>
      <c r="E12" s="67" t="s">
        <v>84</v>
      </c>
      <c r="F12" s="68"/>
      <c r="G12" s="69"/>
      <c r="H12" s="118"/>
      <c r="I12" s="118"/>
      <c r="J12" s="158"/>
      <c r="K12" s="27"/>
    </row>
    <row r="13" spans="2:13" s="17" customFormat="1" ht="30" x14ac:dyDescent="0.25">
      <c r="B13" s="131" t="s">
        <v>4</v>
      </c>
      <c r="C13" s="101" t="s">
        <v>1</v>
      </c>
      <c r="D13" s="132">
        <v>103689</v>
      </c>
      <c r="E13" s="133" t="s">
        <v>159</v>
      </c>
      <c r="F13" s="105">
        <v>3</v>
      </c>
      <c r="G13" s="103" t="s">
        <v>26</v>
      </c>
      <c r="H13" s="119">
        <v>493.03</v>
      </c>
      <c r="I13" s="119">
        <f>ROUND(H13+(H13*I$5),2)</f>
        <v>622.70000000000005</v>
      </c>
      <c r="J13" s="119">
        <f>ROUND(F13*I13,2)</f>
        <v>1868.1</v>
      </c>
      <c r="K13" s="138"/>
    </row>
    <row r="14" spans="2:13" s="17" customFormat="1" x14ac:dyDescent="0.25">
      <c r="B14" s="131" t="s">
        <v>222</v>
      </c>
      <c r="C14" s="101" t="s">
        <v>1</v>
      </c>
      <c r="D14" s="132">
        <v>90778</v>
      </c>
      <c r="E14" s="133" t="s">
        <v>223</v>
      </c>
      <c r="F14" s="105">
        <v>48</v>
      </c>
      <c r="G14" s="103" t="s">
        <v>34</v>
      </c>
      <c r="H14" s="119">
        <v>135.68</v>
      </c>
      <c r="I14" s="119">
        <f>ROUND(H14+(H14*I$5),2)</f>
        <v>171.36</v>
      </c>
      <c r="J14" s="119">
        <f>ROUND(F14*I14,2)</f>
        <v>8225.2800000000007</v>
      </c>
      <c r="K14" s="138"/>
    </row>
    <row r="15" spans="2:13" s="17" customFormat="1" x14ac:dyDescent="0.25">
      <c r="B15" s="131" t="s">
        <v>296</v>
      </c>
      <c r="C15" s="247" t="s">
        <v>28</v>
      </c>
      <c r="D15" s="134"/>
      <c r="E15" s="102" t="s">
        <v>237</v>
      </c>
      <c r="F15" s="85">
        <v>15</v>
      </c>
      <c r="G15" s="103" t="s">
        <v>68</v>
      </c>
      <c r="H15" s="119">
        <v>450</v>
      </c>
      <c r="I15" s="119">
        <f>ROUND(H15+(H15*I$5),2)</f>
        <v>568.35</v>
      </c>
      <c r="J15" s="119">
        <f>ROUND(F15*I15,2)</f>
        <v>8525.25</v>
      </c>
      <c r="K15" s="138"/>
    </row>
    <row r="16" spans="2:13" s="17" customFormat="1" ht="15.75" thickBot="1" x14ac:dyDescent="0.3">
      <c r="B16" s="218" t="str">
        <f>"SUBTOTAL DE "&amp;E12</f>
        <v>SUBTOTAL DE SERVIÇOS PRELIMINARES</v>
      </c>
      <c r="C16" s="219"/>
      <c r="D16" s="220"/>
      <c r="E16" s="221"/>
      <c r="F16" s="222"/>
      <c r="G16" s="223"/>
      <c r="H16" s="224"/>
      <c r="I16" s="224"/>
      <c r="J16" s="225">
        <f>SUM(J13:J15)</f>
        <v>18618.63</v>
      </c>
      <c r="K16" s="27"/>
    </row>
    <row r="17" spans="2:11" s="17" customFormat="1" ht="7.5" customHeight="1" thickBot="1" x14ac:dyDescent="0.3">
      <c r="B17" s="159"/>
      <c r="C17" s="55"/>
      <c r="D17" s="47"/>
      <c r="F17" s="42"/>
      <c r="G17" s="43"/>
      <c r="H17" s="172"/>
      <c r="I17" s="172"/>
      <c r="J17" s="156"/>
      <c r="K17" s="27"/>
    </row>
    <row r="18" spans="2:11" s="17" customFormat="1" x14ac:dyDescent="0.25">
      <c r="B18" s="157" t="s">
        <v>30</v>
      </c>
      <c r="C18" s="66"/>
      <c r="D18" s="67"/>
      <c r="E18" s="67" t="s">
        <v>292</v>
      </c>
      <c r="F18" s="68"/>
      <c r="G18" s="69"/>
      <c r="H18" s="118"/>
      <c r="I18" s="118"/>
      <c r="J18" s="158"/>
      <c r="K18" s="27"/>
    </row>
    <row r="19" spans="2:11" s="17" customFormat="1" ht="18" customHeight="1" x14ac:dyDescent="0.25">
      <c r="B19" s="100" t="s">
        <v>31</v>
      </c>
      <c r="C19" s="101" t="s">
        <v>290</v>
      </c>
      <c r="D19" s="134">
        <v>97665</v>
      </c>
      <c r="E19" s="135" t="s">
        <v>291</v>
      </c>
      <c r="F19" s="136">
        <v>150</v>
      </c>
      <c r="G19" s="103" t="s">
        <v>68</v>
      </c>
      <c r="H19" s="119">
        <v>1.97</v>
      </c>
      <c r="I19" s="119">
        <f t="shared" ref="I19" si="0">ROUND(H19+(H19*I$5),2)</f>
        <v>2.4900000000000002</v>
      </c>
      <c r="J19" s="119">
        <f t="shared" ref="J19" si="1">ROUND(I19*F19,2)</f>
        <v>373.5</v>
      </c>
      <c r="K19" s="27"/>
    </row>
    <row r="20" spans="2:11" s="17" customFormat="1" ht="45" x14ac:dyDescent="0.25">
      <c r="B20" s="100" t="s">
        <v>32</v>
      </c>
      <c r="C20" s="101" t="s">
        <v>290</v>
      </c>
      <c r="D20" s="134">
        <v>104793</v>
      </c>
      <c r="E20" s="135" t="s">
        <v>298</v>
      </c>
      <c r="F20" s="136">
        <v>5000</v>
      </c>
      <c r="G20" s="103" t="s">
        <v>19</v>
      </c>
      <c r="H20" s="119">
        <v>0.59</v>
      </c>
      <c r="I20" s="119">
        <f t="shared" ref="I20" si="2">ROUND(H20+(H20*I$5),2)</f>
        <v>0.75</v>
      </c>
      <c r="J20" s="119">
        <f t="shared" ref="J20" si="3">ROUND(I20*F20,2)</f>
        <v>3750</v>
      </c>
      <c r="K20" s="27"/>
    </row>
    <row r="21" spans="2:11" s="17" customFormat="1" ht="30" x14ac:dyDescent="0.25">
      <c r="B21" s="100" t="s">
        <v>48</v>
      </c>
      <c r="C21" s="101" t="s">
        <v>129</v>
      </c>
      <c r="D21" s="134">
        <v>97640</v>
      </c>
      <c r="E21" s="135" t="s">
        <v>160</v>
      </c>
      <c r="F21" s="136">
        <v>815</v>
      </c>
      <c r="G21" s="103" t="s">
        <v>26</v>
      </c>
      <c r="H21" s="119">
        <v>2.17</v>
      </c>
      <c r="I21" s="119">
        <f t="shared" ref="I21:I23" si="4">ROUND(H21+(H21*I$5),2)</f>
        <v>2.74</v>
      </c>
      <c r="J21" s="119">
        <f t="shared" ref="J21:J23" si="5">ROUND(I21*F21,2)</f>
        <v>2233.1</v>
      </c>
      <c r="K21" s="27"/>
    </row>
    <row r="22" spans="2:11" s="17" customFormat="1" ht="30" x14ac:dyDescent="0.25">
      <c r="B22" s="100" t="s">
        <v>288</v>
      </c>
      <c r="C22" s="101" t="s">
        <v>1</v>
      </c>
      <c r="D22" s="134">
        <v>97642</v>
      </c>
      <c r="E22" s="135" t="s">
        <v>287</v>
      </c>
      <c r="F22" s="136">
        <v>815</v>
      </c>
      <c r="G22" s="103" t="s">
        <v>26</v>
      </c>
      <c r="H22" s="119">
        <v>3.12</v>
      </c>
      <c r="I22" s="119">
        <f t="shared" ref="I22" si="6">ROUND(H22+(H22*I$5),2)</f>
        <v>3.94</v>
      </c>
      <c r="J22" s="119">
        <f t="shared" ref="J22" si="7">ROUND(I22*F22,2)</f>
        <v>3211.1</v>
      </c>
      <c r="K22" s="27"/>
    </row>
    <row r="23" spans="2:11" s="17" customFormat="1" ht="49.5" customHeight="1" x14ac:dyDescent="0.25">
      <c r="B23" s="100" t="s">
        <v>289</v>
      </c>
      <c r="C23" s="101" t="s">
        <v>49</v>
      </c>
      <c r="D23" s="134" t="s">
        <v>294</v>
      </c>
      <c r="E23" s="135" t="s">
        <v>297</v>
      </c>
      <c r="F23" s="137">
        <v>815</v>
      </c>
      <c r="G23" s="103" t="s">
        <v>19</v>
      </c>
      <c r="H23" s="119">
        <v>105.05</v>
      </c>
      <c r="I23" s="119">
        <f t="shared" si="4"/>
        <v>132.68</v>
      </c>
      <c r="J23" s="119">
        <f t="shared" si="5"/>
        <v>108134.2</v>
      </c>
      <c r="K23" s="27"/>
    </row>
    <row r="24" spans="2:11" s="17" customFormat="1" x14ac:dyDescent="0.25">
      <c r="B24" s="100" t="s">
        <v>299</v>
      </c>
      <c r="C24" s="101" t="s">
        <v>1</v>
      </c>
      <c r="D24" s="134">
        <v>88316</v>
      </c>
      <c r="E24" s="135" t="s">
        <v>51</v>
      </c>
      <c r="F24" s="85">
        <v>80</v>
      </c>
      <c r="G24" s="103" t="s">
        <v>34</v>
      </c>
      <c r="H24" s="119">
        <v>23.48</v>
      </c>
      <c r="I24" s="119">
        <f>ROUND(H24+(H24*I$5),2)</f>
        <v>29.66</v>
      </c>
      <c r="J24" s="119">
        <f>ROUND(I24*F24,2)</f>
        <v>2372.8000000000002</v>
      </c>
      <c r="K24" s="27"/>
    </row>
    <row r="25" spans="2:11" s="17" customFormat="1" ht="15.75" thickBot="1" x14ac:dyDescent="0.3">
      <c r="B25" s="218" t="str">
        <f>"SUBTOTAL DE "&amp;E18</f>
        <v>SUBTOTAL DE REPARO FORROS</v>
      </c>
      <c r="C25" s="219"/>
      <c r="D25" s="220"/>
      <c r="E25" s="221"/>
      <c r="F25" s="222"/>
      <c r="G25" s="223"/>
      <c r="H25" s="224"/>
      <c r="I25" s="224"/>
      <c r="J25" s="225">
        <f>SUM(J19:J24)</f>
        <v>120074.7</v>
      </c>
      <c r="K25" s="27"/>
    </row>
    <row r="26" spans="2:11" s="17" customFormat="1" ht="7.5" customHeight="1" thickBot="1" x14ac:dyDescent="0.3">
      <c r="B26" s="159"/>
      <c r="C26" s="55"/>
      <c r="D26" s="47"/>
      <c r="F26" s="42"/>
      <c r="G26" s="43"/>
      <c r="H26" s="172"/>
      <c r="I26" s="172"/>
      <c r="J26" s="156"/>
      <c r="K26" s="27"/>
    </row>
    <row r="27" spans="2:11" s="17" customFormat="1" x14ac:dyDescent="0.25">
      <c r="B27" s="157" t="s">
        <v>33</v>
      </c>
      <c r="C27" s="66"/>
      <c r="D27" s="67"/>
      <c r="E27" s="67" t="s">
        <v>161</v>
      </c>
      <c r="F27" s="68"/>
      <c r="G27" s="69"/>
      <c r="H27" s="118"/>
      <c r="I27" s="118"/>
      <c r="J27" s="158"/>
      <c r="K27" s="27"/>
    </row>
    <row r="28" spans="2:11" s="17" customFormat="1" ht="30" x14ac:dyDescent="0.25">
      <c r="B28" s="100" t="s">
        <v>35</v>
      </c>
      <c r="C28" s="101" t="s">
        <v>1</v>
      </c>
      <c r="D28" s="70">
        <v>101751</v>
      </c>
      <c r="E28" s="133" t="s">
        <v>300</v>
      </c>
      <c r="F28" s="136">
        <v>40</v>
      </c>
      <c r="G28" s="103" t="s">
        <v>26</v>
      </c>
      <c r="H28" s="119">
        <v>315.10000000000002</v>
      </c>
      <c r="I28" s="119">
        <f t="shared" ref="I28:I36" si="8">ROUND(H28+(H28*I$5),2)</f>
        <v>397.97</v>
      </c>
      <c r="J28" s="119">
        <f t="shared" ref="J28:J36" si="9">ROUND(I28*F28,2)</f>
        <v>15918.8</v>
      </c>
      <c r="K28" s="27" t="s">
        <v>295</v>
      </c>
    </row>
    <row r="29" spans="2:11" s="17" customFormat="1" x14ac:dyDescent="0.25">
      <c r="B29" s="100" t="s">
        <v>40</v>
      </c>
      <c r="C29" s="101" t="s">
        <v>1</v>
      </c>
      <c r="D29" s="70">
        <v>101739</v>
      </c>
      <c r="E29" s="133" t="s">
        <v>90</v>
      </c>
      <c r="F29" s="136">
        <v>50</v>
      </c>
      <c r="G29" s="103" t="s">
        <v>19</v>
      </c>
      <c r="H29" s="119">
        <v>47.43</v>
      </c>
      <c r="I29" s="119">
        <f t="shared" si="8"/>
        <v>59.9</v>
      </c>
      <c r="J29" s="119">
        <f t="shared" si="9"/>
        <v>2995</v>
      </c>
      <c r="K29" s="27" t="s">
        <v>301</v>
      </c>
    </row>
    <row r="30" spans="2:11" s="17" customFormat="1" ht="30" x14ac:dyDescent="0.25">
      <c r="B30" s="100" t="s">
        <v>226</v>
      </c>
      <c r="C30" s="101" t="s">
        <v>1</v>
      </c>
      <c r="D30" s="134">
        <v>102193</v>
      </c>
      <c r="E30" s="135" t="s">
        <v>232</v>
      </c>
      <c r="F30" s="85">
        <v>3.5</v>
      </c>
      <c r="G30" s="103" t="s">
        <v>26</v>
      </c>
      <c r="H30" s="119">
        <v>2.2000000000000002</v>
      </c>
      <c r="I30" s="119">
        <f t="shared" si="8"/>
        <v>2.78</v>
      </c>
      <c r="J30" s="119">
        <f t="shared" si="9"/>
        <v>9.73</v>
      </c>
      <c r="K30" s="27"/>
    </row>
    <row r="31" spans="2:11" s="17" customFormat="1" ht="30" x14ac:dyDescent="0.25">
      <c r="B31" s="100" t="s">
        <v>227</v>
      </c>
      <c r="C31" s="101" t="s">
        <v>1</v>
      </c>
      <c r="D31" s="134">
        <v>102197</v>
      </c>
      <c r="E31" s="135" t="s">
        <v>304</v>
      </c>
      <c r="F31" s="85">
        <v>3.5</v>
      </c>
      <c r="G31" s="103" t="s">
        <v>26</v>
      </c>
      <c r="H31" s="119">
        <v>31.18</v>
      </c>
      <c r="I31" s="119">
        <f t="shared" ref="I31" si="10">ROUND(H31+(H31*I$5),2)</f>
        <v>39.380000000000003</v>
      </c>
      <c r="J31" s="119">
        <f t="shared" ref="J31" si="11">ROUND(I31*F31,2)</f>
        <v>137.83000000000001</v>
      </c>
      <c r="K31" s="27"/>
    </row>
    <row r="32" spans="2:11" s="17" customFormat="1" ht="30" x14ac:dyDescent="0.25">
      <c r="B32" s="100" t="s">
        <v>228</v>
      </c>
      <c r="C32" s="101" t="s">
        <v>1</v>
      </c>
      <c r="D32" s="134">
        <v>102230</v>
      </c>
      <c r="E32" s="135" t="s">
        <v>305</v>
      </c>
      <c r="F32" s="85">
        <v>3.5</v>
      </c>
      <c r="G32" s="103" t="s">
        <v>26</v>
      </c>
      <c r="H32" s="119">
        <v>25.1</v>
      </c>
      <c r="I32" s="119">
        <f t="shared" si="8"/>
        <v>31.7</v>
      </c>
      <c r="J32" s="119">
        <f t="shared" si="9"/>
        <v>110.95</v>
      </c>
      <c r="K32" s="27"/>
    </row>
    <row r="33" spans="2:18" s="17" customFormat="1" x14ac:dyDescent="0.25">
      <c r="B33" s="100" t="s">
        <v>229</v>
      </c>
      <c r="C33" s="101" t="s">
        <v>1</v>
      </c>
      <c r="D33" s="134">
        <v>88310</v>
      </c>
      <c r="E33" s="135" t="s">
        <v>106</v>
      </c>
      <c r="F33" s="85">
        <v>20</v>
      </c>
      <c r="G33" s="103" t="s">
        <v>34</v>
      </c>
      <c r="H33" s="119">
        <v>29.87</v>
      </c>
      <c r="I33" s="119">
        <f t="shared" ref="I33" si="12">ROUND(H33+(H33*I$5),2)</f>
        <v>37.729999999999997</v>
      </c>
      <c r="J33" s="119">
        <f t="shared" ref="J33" si="13">ROUND(I33*F33,2)</f>
        <v>754.6</v>
      </c>
      <c r="K33" s="27"/>
    </row>
    <row r="34" spans="2:18" s="17" customFormat="1" ht="30" x14ac:dyDescent="0.25">
      <c r="B34" s="100" t="s">
        <v>230</v>
      </c>
      <c r="C34" s="101" t="s">
        <v>1</v>
      </c>
      <c r="D34" s="134">
        <v>102215</v>
      </c>
      <c r="E34" s="135" t="s">
        <v>231</v>
      </c>
      <c r="F34" s="85">
        <v>40</v>
      </c>
      <c r="G34" s="103" t="s">
        <v>26</v>
      </c>
      <c r="H34" s="119">
        <v>20.34</v>
      </c>
      <c r="I34" s="119">
        <f t="shared" si="8"/>
        <v>25.69</v>
      </c>
      <c r="J34" s="119">
        <f t="shared" si="9"/>
        <v>1027.5999999999999</v>
      </c>
      <c r="K34" s="27"/>
    </row>
    <row r="35" spans="2:18" s="17" customFormat="1" ht="30" x14ac:dyDescent="0.25">
      <c r="B35" s="100" t="s">
        <v>302</v>
      </c>
      <c r="C35" s="101" t="s">
        <v>1</v>
      </c>
      <c r="D35" s="134">
        <v>95277</v>
      </c>
      <c r="E35" s="135" t="s">
        <v>233</v>
      </c>
      <c r="F35" s="85">
        <v>40</v>
      </c>
      <c r="G35" s="103" t="s">
        <v>132</v>
      </c>
      <c r="H35" s="119">
        <v>0.71</v>
      </c>
      <c r="I35" s="119">
        <f t="shared" si="8"/>
        <v>0.9</v>
      </c>
      <c r="J35" s="119">
        <f t="shared" si="9"/>
        <v>36</v>
      </c>
      <c r="K35" s="27"/>
    </row>
    <row r="36" spans="2:18" s="17" customFormat="1" ht="30" x14ac:dyDescent="0.25">
      <c r="B36" s="100" t="s">
        <v>303</v>
      </c>
      <c r="C36" s="101" t="s">
        <v>1</v>
      </c>
      <c r="D36" s="134">
        <v>95276</v>
      </c>
      <c r="E36" s="135" t="s">
        <v>234</v>
      </c>
      <c r="F36" s="85">
        <v>40</v>
      </c>
      <c r="G36" s="103" t="s">
        <v>131</v>
      </c>
      <c r="H36" s="119">
        <v>3.77</v>
      </c>
      <c r="I36" s="119">
        <f t="shared" si="8"/>
        <v>4.76</v>
      </c>
      <c r="J36" s="119">
        <f t="shared" si="9"/>
        <v>190.4</v>
      </c>
      <c r="K36" s="27"/>
    </row>
    <row r="37" spans="2:18" s="17" customFormat="1" ht="15.75" thickBot="1" x14ac:dyDescent="0.3">
      <c r="B37" s="218" t="str">
        <f>"SUBTOTAL DE "&amp;E27</f>
        <v>SUBTOTAL DE REPARO PISOS E RODAPÉS SALAS</v>
      </c>
      <c r="C37" s="219"/>
      <c r="D37" s="220"/>
      <c r="E37" s="221"/>
      <c r="F37" s="222"/>
      <c r="G37" s="223"/>
      <c r="H37" s="224"/>
      <c r="I37" s="224"/>
      <c r="J37" s="225">
        <f>SUM(J28:J36)</f>
        <v>21180.91</v>
      </c>
      <c r="K37" s="27"/>
    </row>
    <row r="38" spans="2:18" s="17" customFormat="1" ht="6.75" customHeight="1" thickBot="1" x14ac:dyDescent="0.3">
      <c r="B38" s="159"/>
      <c r="C38" s="55"/>
      <c r="D38" s="47"/>
      <c r="F38" s="42"/>
      <c r="G38" s="43"/>
      <c r="H38" s="172"/>
      <c r="I38" s="172"/>
      <c r="J38" s="156"/>
      <c r="K38" s="27"/>
    </row>
    <row r="39" spans="2:18" s="17" customFormat="1" x14ac:dyDescent="0.25">
      <c r="B39" s="157" t="s">
        <v>41</v>
      </c>
      <c r="C39" s="66"/>
      <c r="D39" s="67"/>
      <c r="E39" s="67" t="s">
        <v>134</v>
      </c>
      <c r="F39" s="68"/>
      <c r="G39" s="69"/>
      <c r="H39" s="118"/>
      <c r="I39" s="118"/>
      <c r="J39" s="158"/>
      <c r="K39" s="27"/>
      <c r="P39" s="19"/>
      <c r="Q39" s="19"/>
      <c r="R39" s="19"/>
    </row>
    <row r="40" spans="2:18" s="17" customFormat="1" ht="30" x14ac:dyDescent="0.25">
      <c r="B40" s="100" t="s">
        <v>42</v>
      </c>
      <c r="C40" s="101" t="s">
        <v>1</v>
      </c>
      <c r="D40" s="134">
        <v>97634</v>
      </c>
      <c r="E40" s="135" t="s">
        <v>135</v>
      </c>
      <c r="F40" s="136">
        <v>39</v>
      </c>
      <c r="G40" s="103" t="s">
        <v>26</v>
      </c>
      <c r="H40" s="119">
        <v>8.0399999999999991</v>
      </c>
      <c r="I40" s="119">
        <f t="shared" ref="I40:I71" si="14">ROUND(H40+(H40*I$5),2)</f>
        <v>10.15</v>
      </c>
      <c r="J40" s="119">
        <f t="shared" ref="J40:J55" si="15">ROUND(I40*F40,2)</f>
        <v>395.85</v>
      </c>
      <c r="K40" s="27"/>
      <c r="P40" s="19"/>
      <c r="Q40" s="19"/>
      <c r="R40" s="19"/>
    </row>
    <row r="41" spans="2:18" s="17" customFormat="1" ht="30" x14ac:dyDescent="0.25">
      <c r="B41" s="100" t="s">
        <v>43</v>
      </c>
      <c r="C41" s="101" t="s">
        <v>1</v>
      </c>
      <c r="D41" s="134">
        <v>97628</v>
      </c>
      <c r="E41" s="135" t="s">
        <v>306</v>
      </c>
      <c r="F41" s="136">
        <v>3</v>
      </c>
      <c r="G41" s="103" t="s">
        <v>99</v>
      </c>
      <c r="H41" s="119">
        <v>287.89999999999998</v>
      </c>
      <c r="I41" s="119">
        <f t="shared" si="14"/>
        <v>363.62</v>
      </c>
      <c r="J41" s="119">
        <f t="shared" si="15"/>
        <v>1090.8599999999999</v>
      </c>
      <c r="K41" s="27"/>
      <c r="P41" s="19"/>
      <c r="Q41" s="19"/>
      <c r="R41" s="19"/>
    </row>
    <row r="42" spans="2:18" s="17" customFormat="1" ht="30" x14ac:dyDescent="0.25">
      <c r="B42" s="100" t="s">
        <v>44</v>
      </c>
      <c r="C42" s="101" t="s">
        <v>1</v>
      </c>
      <c r="D42" s="134">
        <v>97662</v>
      </c>
      <c r="E42" s="135" t="s">
        <v>133</v>
      </c>
      <c r="F42" s="136">
        <v>24</v>
      </c>
      <c r="G42" s="103" t="s">
        <v>19</v>
      </c>
      <c r="H42" s="119">
        <v>0.54</v>
      </c>
      <c r="I42" s="119">
        <f t="shared" si="14"/>
        <v>0.68</v>
      </c>
      <c r="J42" s="119">
        <f t="shared" si="15"/>
        <v>16.32</v>
      </c>
      <c r="K42" s="27"/>
      <c r="P42" s="19"/>
      <c r="Q42" s="19"/>
      <c r="R42" s="19"/>
    </row>
    <row r="43" spans="2:18" s="17" customFormat="1" ht="45" x14ac:dyDescent="0.25">
      <c r="B43" s="100" t="s">
        <v>64</v>
      </c>
      <c r="C43" s="101" t="s">
        <v>1</v>
      </c>
      <c r="D43" s="134">
        <v>104788</v>
      </c>
      <c r="E43" s="135" t="s">
        <v>162</v>
      </c>
      <c r="F43" s="136">
        <v>24</v>
      </c>
      <c r="G43" s="103" t="s">
        <v>19</v>
      </c>
      <c r="H43" s="119">
        <v>13.46</v>
      </c>
      <c r="I43" s="119">
        <f t="shared" si="14"/>
        <v>17</v>
      </c>
      <c r="J43" s="119">
        <f t="shared" si="15"/>
        <v>408</v>
      </c>
      <c r="K43" s="27"/>
      <c r="P43" s="19"/>
      <c r="Q43" s="19"/>
      <c r="R43" s="19"/>
    </row>
    <row r="44" spans="2:18" s="17" customFormat="1" ht="30" x14ac:dyDescent="0.25">
      <c r="B44" s="100" t="s">
        <v>65</v>
      </c>
      <c r="C44" s="101" t="s">
        <v>1</v>
      </c>
      <c r="D44" s="134">
        <v>89714</v>
      </c>
      <c r="E44" s="135" t="s">
        <v>151</v>
      </c>
      <c r="F44" s="136">
        <v>24</v>
      </c>
      <c r="G44" s="103" t="s">
        <v>19</v>
      </c>
      <c r="H44" s="119">
        <v>42.45</v>
      </c>
      <c r="I44" s="119">
        <f t="shared" si="14"/>
        <v>53.61</v>
      </c>
      <c r="J44" s="119">
        <f t="shared" si="15"/>
        <v>1286.6400000000001</v>
      </c>
      <c r="K44" s="27"/>
      <c r="P44" s="19"/>
      <c r="Q44" s="19"/>
      <c r="R44" s="19"/>
    </row>
    <row r="45" spans="2:18" s="17" customFormat="1" ht="45" x14ac:dyDescent="0.25">
      <c r="B45" s="100" t="s">
        <v>70</v>
      </c>
      <c r="C45" s="101" t="s">
        <v>1</v>
      </c>
      <c r="D45" s="134">
        <v>89744</v>
      </c>
      <c r="E45" s="135" t="s">
        <v>293</v>
      </c>
      <c r="F45" s="136">
        <v>2</v>
      </c>
      <c r="G45" s="103" t="s">
        <v>68</v>
      </c>
      <c r="H45" s="119">
        <v>30.05</v>
      </c>
      <c r="I45" s="119">
        <f t="shared" si="14"/>
        <v>37.950000000000003</v>
      </c>
      <c r="J45" s="119">
        <f t="shared" si="15"/>
        <v>75.900000000000006</v>
      </c>
      <c r="K45" s="27"/>
      <c r="P45" s="19"/>
      <c r="Q45" s="19"/>
      <c r="R45" s="19"/>
    </row>
    <row r="46" spans="2:18" s="17" customFormat="1" ht="45" x14ac:dyDescent="0.25">
      <c r="B46" s="100" t="s">
        <v>71</v>
      </c>
      <c r="C46" s="101" t="s">
        <v>1</v>
      </c>
      <c r="D46" s="134">
        <v>89746</v>
      </c>
      <c r="E46" s="135" t="s">
        <v>164</v>
      </c>
      <c r="F46" s="136">
        <v>2</v>
      </c>
      <c r="G46" s="103" t="s">
        <v>68</v>
      </c>
      <c r="H46" s="119">
        <v>31.08</v>
      </c>
      <c r="I46" s="119">
        <f t="shared" si="14"/>
        <v>39.25</v>
      </c>
      <c r="J46" s="119">
        <f t="shared" si="15"/>
        <v>78.5</v>
      </c>
      <c r="K46" s="27"/>
      <c r="P46" s="19"/>
      <c r="Q46" s="19"/>
      <c r="R46" s="19"/>
    </row>
    <row r="47" spans="2:18" s="17" customFormat="1" ht="45" x14ac:dyDescent="0.25">
      <c r="B47" s="100" t="s">
        <v>72</v>
      </c>
      <c r="C47" s="101" t="s">
        <v>1</v>
      </c>
      <c r="D47" s="134">
        <v>89797</v>
      </c>
      <c r="E47" s="135" t="s">
        <v>165</v>
      </c>
      <c r="F47" s="136">
        <v>2</v>
      </c>
      <c r="G47" s="103" t="s">
        <v>68</v>
      </c>
      <c r="H47" s="119">
        <v>57.61</v>
      </c>
      <c r="I47" s="119">
        <f t="shared" si="14"/>
        <v>72.760000000000005</v>
      </c>
      <c r="J47" s="119">
        <f t="shared" si="15"/>
        <v>145.52000000000001</v>
      </c>
      <c r="K47" s="27"/>
      <c r="P47" s="19"/>
      <c r="Q47" s="19"/>
      <c r="R47" s="19"/>
    </row>
    <row r="48" spans="2:18" s="17" customFormat="1" ht="45" x14ac:dyDescent="0.25">
      <c r="B48" s="100" t="s">
        <v>73</v>
      </c>
      <c r="C48" s="101" t="s">
        <v>1</v>
      </c>
      <c r="D48" s="134">
        <v>90470</v>
      </c>
      <c r="E48" s="135" t="s">
        <v>152</v>
      </c>
      <c r="F48" s="136">
        <v>24</v>
      </c>
      <c r="G48" s="103" t="s">
        <v>19</v>
      </c>
      <c r="H48" s="119">
        <v>16.010000000000002</v>
      </c>
      <c r="I48" s="119">
        <f t="shared" si="14"/>
        <v>20.22</v>
      </c>
      <c r="J48" s="119">
        <f t="shared" si="15"/>
        <v>485.28</v>
      </c>
      <c r="K48" s="27"/>
      <c r="P48" s="19"/>
      <c r="Q48" s="19"/>
      <c r="R48" s="19"/>
    </row>
    <row r="49" spans="2:18" s="17" customFormat="1" ht="45" x14ac:dyDescent="0.25">
      <c r="B49" s="100" t="s">
        <v>74</v>
      </c>
      <c r="C49" s="101" t="s">
        <v>1</v>
      </c>
      <c r="D49" s="134">
        <v>104779</v>
      </c>
      <c r="E49" s="135" t="s">
        <v>163</v>
      </c>
      <c r="F49" s="136">
        <v>24</v>
      </c>
      <c r="G49" s="103" t="s">
        <v>19</v>
      </c>
      <c r="H49" s="119">
        <v>7.29</v>
      </c>
      <c r="I49" s="119">
        <f t="shared" si="14"/>
        <v>9.2100000000000009</v>
      </c>
      <c r="J49" s="119">
        <f t="shared" si="15"/>
        <v>221.04</v>
      </c>
      <c r="K49" s="27"/>
      <c r="P49" s="19"/>
      <c r="Q49" s="19"/>
      <c r="R49" s="19"/>
    </row>
    <row r="50" spans="2:18" s="17" customFormat="1" ht="30" x14ac:dyDescent="0.25">
      <c r="B50" s="100" t="s">
        <v>75</v>
      </c>
      <c r="C50" s="101" t="s">
        <v>1</v>
      </c>
      <c r="D50" s="134">
        <v>89355</v>
      </c>
      <c r="E50" s="135" t="s">
        <v>91</v>
      </c>
      <c r="F50" s="85">
        <v>24</v>
      </c>
      <c r="G50" s="103" t="s">
        <v>19</v>
      </c>
      <c r="H50" s="119">
        <v>22.18</v>
      </c>
      <c r="I50" s="119">
        <f t="shared" si="14"/>
        <v>28.01</v>
      </c>
      <c r="J50" s="119">
        <f t="shared" si="15"/>
        <v>672.24</v>
      </c>
      <c r="K50" s="27"/>
      <c r="P50" s="19"/>
      <c r="Q50" s="19"/>
      <c r="R50" s="19"/>
    </row>
    <row r="51" spans="2:18" s="17" customFormat="1" ht="30" x14ac:dyDescent="0.25">
      <c r="B51" s="100" t="s">
        <v>76</v>
      </c>
      <c r="C51" s="101" t="s">
        <v>1</v>
      </c>
      <c r="D51" s="134">
        <v>89393</v>
      </c>
      <c r="E51" s="135" t="s">
        <v>166</v>
      </c>
      <c r="F51" s="85">
        <f>2*8</f>
        <v>16</v>
      </c>
      <c r="G51" s="103" t="s">
        <v>68</v>
      </c>
      <c r="H51" s="119">
        <v>12</v>
      </c>
      <c r="I51" s="119">
        <f t="shared" si="14"/>
        <v>15.16</v>
      </c>
      <c r="J51" s="119">
        <f t="shared" si="15"/>
        <v>242.56</v>
      </c>
      <c r="K51" s="27"/>
      <c r="P51" s="19"/>
      <c r="Q51" s="19"/>
      <c r="R51" s="19"/>
    </row>
    <row r="52" spans="2:18" s="17" customFormat="1" ht="30" x14ac:dyDescent="0.25">
      <c r="B52" s="100" t="s">
        <v>77</v>
      </c>
      <c r="C52" s="101" t="s">
        <v>1</v>
      </c>
      <c r="D52" s="134">
        <v>89371</v>
      </c>
      <c r="E52" s="135" t="s">
        <v>92</v>
      </c>
      <c r="F52" s="85">
        <f>8*2</f>
        <v>16</v>
      </c>
      <c r="G52" s="103" t="s">
        <v>68</v>
      </c>
      <c r="H52" s="119">
        <v>6.56</v>
      </c>
      <c r="I52" s="119">
        <f t="shared" si="14"/>
        <v>8.2899999999999991</v>
      </c>
      <c r="J52" s="119">
        <f t="shared" si="15"/>
        <v>132.63999999999999</v>
      </c>
      <c r="K52" s="27"/>
      <c r="P52" s="19"/>
      <c r="Q52" s="19"/>
      <c r="R52" s="19"/>
    </row>
    <row r="53" spans="2:18" s="17" customFormat="1" ht="30" x14ac:dyDescent="0.25">
      <c r="B53" s="100" t="s">
        <v>78</v>
      </c>
      <c r="C53" s="101" t="s">
        <v>1</v>
      </c>
      <c r="D53" s="134">
        <v>89358</v>
      </c>
      <c r="E53" s="135" t="s">
        <v>93</v>
      </c>
      <c r="F53" s="85">
        <f>8*2</f>
        <v>16</v>
      </c>
      <c r="G53" s="103" t="s">
        <v>68</v>
      </c>
      <c r="H53" s="119">
        <v>8.6</v>
      </c>
      <c r="I53" s="119">
        <f t="shared" si="14"/>
        <v>10.86</v>
      </c>
      <c r="J53" s="119">
        <f t="shared" si="15"/>
        <v>173.76</v>
      </c>
      <c r="K53" s="27"/>
      <c r="P53" s="19"/>
      <c r="Q53" s="19"/>
      <c r="R53" s="19"/>
    </row>
    <row r="54" spans="2:18" s="17" customFormat="1" ht="45" x14ac:dyDescent="0.25">
      <c r="B54" s="100" t="s">
        <v>79</v>
      </c>
      <c r="C54" s="101" t="s">
        <v>1</v>
      </c>
      <c r="D54" s="70">
        <v>90466</v>
      </c>
      <c r="E54" s="99" t="s">
        <v>95</v>
      </c>
      <c r="F54" s="85">
        <v>24</v>
      </c>
      <c r="G54" s="103" t="s">
        <v>19</v>
      </c>
      <c r="H54" s="119">
        <v>15.79</v>
      </c>
      <c r="I54" s="119">
        <f t="shared" si="14"/>
        <v>19.940000000000001</v>
      </c>
      <c r="J54" s="119">
        <f t="shared" si="15"/>
        <v>478.56</v>
      </c>
      <c r="K54" s="27"/>
      <c r="P54" s="19"/>
      <c r="Q54" s="19"/>
      <c r="R54" s="19"/>
    </row>
    <row r="55" spans="2:18" s="17" customFormat="1" ht="30" x14ac:dyDescent="0.25">
      <c r="B55" s="100" t="s">
        <v>80</v>
      </c>
      <c r="C55" s="101" t="s">
        <v>129</v>
      </c>
      <c r="D55" s="134">
        <v>86895</v>
      </c>
      <c r="E55" s="135" t="s">
        <v>284</v>
      </c>
      <c r="F55" s="136">
        <v>1</v>
      </c>
      <c r="G55" s="103" t="s">
        <v>68</v>
      </c>
      <c r="H55" s="119">
        <f>365.37*11.2</f>
        <v>4092.1439999999998</v>
      </c>
      <c r="I55" s="119">
        <f t="shared" si="14"/>
        <v>5168.38</v>
      </c>
      <c r="J55" s="119">
        <f t="shared" si="15"/>
        <v>5168.38</v>
      </c>
      <c r="K55" s="27"/>
      <c r="P55" s="19"/>
      <c r="Q55" s="19"/>
      <c r="R55" s="19"/>
    </row>
    <row r="56" spans="2:18" s="17" customFormat="1" ht="30" x14ac:dyDescent="0.25">
      <c r="B56" s="100" t="s">
        <v>103</v>
      </c>
      <c r="C56" s="101" t="s">
        <v>129</v>
      </c>
      <c r="D56" s="134">
        <v>86895</v>
      </c>
      <c r="E56" s="135" t="s">
        <v>283</v>
      </c>
      <c r="F56" s="136">
        <v>1</v>
      </c>
      <c r="G56" s="103" t="s">
        <v>68</v>
      </c>
      <c r="H56" s="119">
        <f>365.37*10.8</f>
        <v>3945.9960000000001</v>
      </c>
      <c r="I56" s="119">
        <f t="shared" ref="I56" si="16">ROUND(H56+(H56*I$5),2)</f>
        <v>4983.79</v>
      </c>
      <c r="J56" s="119">
        <f t="shared" ref="J56" si="17">ROUND(I56*F56,2)</f>
        <v>4983.79</v>
      </c>
      <c r="K56" s="27"/>
      <c r="P56" s="19"/>
      <c r="Q56" s="19"/>
      <c r="R56" s="19"/>
    </row>
    <row r="57" spans="2:18" s="17" customFormat="1" ht="45" x14ac:dyDescent="0.25">
      <c r="B57" s="100" t="s">
        <v>81</v>
      </c>
      <c r="C57" s="101" t="s">
        <v>1</v>
      </c>
      <c r="D57" s="134">
        <v>86937</v>
      </c>
      <c r="E57" s="135" t="s">
        <v>179</v>
      </c>
      <c r="F57" s="85">
        <v>10</v>
      </c>
      <c r="G57" s="103" t="s">
        <v>68</v>
      </c>
      <c r="H57" s="119">
        <v>288.52999999999997</v>
      </c>
      <c r="I57" s="119">
        <f t="shared" ref="I57:I58" si="18">ROUND(H57+(H57*I$5),2)</f>
        <v>364.41</v>
      </c>
      <c r="J57" s="119">
        <f t="shared" ref="J57:J58" si="19">ROUND(I57*F57,2)</f>
        <v>3644.1</v>
      </c>
      <c r="K57" s="27"/>
      <c r="P57" s="19"/>
      <c r="Q57" s="19"/>
      <c r="R57" s="19"/>
    </row>
    <row r="58" spans="2:18" s="17" customFormat="1" ht="30" x14ac:dyDescent="0.25">
      <c r="B58" s="100" t="s">
        <v>235</v>
      </c>
      <c r="C58" s="101" t="s">
        <v>1</v>
      </c>
      <c r="D58" s="134">
        <v>86910</v>
      </c>
      <c r="E58" s="135" t="s">
        <v>285</v>
      </c>
      <c r="F58" s="85">
        <v>10</v>
      </c>
      <c r="G58" s="103" t="s">
        <v>68</v>
      </c>
      <c r="H58" s="119">
        <v>229.57</v>
      </c>
      <c r="I58" s="119">
        <f t="shared" si="18"/>
        <v>289.95</v>
      </c>
      <c r="J58" s="119">
        <f t="shared" si="19"/>
        <v>2899.5</v>
      </c>
      <c r="K58" s="27"/>
      <c r="P58" s="19"/>
      <c r="Q58" s="19"/>
      <c r="R58" s="19"/>
    </row>
    <row r="59" spans="2:18" s="17" customFormat="1" ht="30" x14ac:dyDescent="0.25">
      <c r="B59" s="100" t="s">
        <v>136</v>
      </c>
      <c r="C59" s="101" t="s">
        <v>1</v>
      </c>
      <c r="D59" s="70">
        <v>98555</v>
      </c>
      <c r="E59" s="133" t="s">
        <v>96</v>
      </c>
      <c r="F59" s="85">
        <f>F40</f>
        <v>39</v>
      </c>
      <c r="G59" s="103" t="s">
        <v>26</v>
      </c>
      <c r="H59" s="119">
        <v>32.72</v>
      </c>
      <c r="I59" s="119">
        <f>ROUND(H59+(H59*I$5),2)</f>
        <v>41.33</v>
      </c>
      <c r="J59" s="119">
        <f>ROUND(I59*F59,2)</f>
        <v>1611.87</v>
      </c>
      <c r="K59" s="27"/>
      <c r="P59" s="19"/>
      <c r="Q59" s="19"/>
      <c r="R59" s="19"/>
    </row>
    <row r="60" spans="2:18" s="17" customFormat="1" ht="45" x14ac:dyDescent="0.25">
      <c r="B60" s="100" t="s">
        <v>180</v>
      </c>
      <c r="C60" s="101" t="s">
        <v>1</v>
      </c>
      <c r="D60" s="134">
        <v>87256</v>
      </c>
      <c r="E60" s="135" t="s">
        <v>194</v>
      </c>
      <c r="F60" s="85">
        <v>42.9</v>
      </c>
      <c r="G60" s="103" t="s">
        <v>26</v>
      </c>
      <c r="H60" s="119">
        <v>74.13</v>
      </c>
      <c r="I60" s="119">
        <f>ROUND(H60+(H60*I$5),2)</f>
        <v>93.63</v>
      </c>
      <c r="J60" s="119">
        <f>ROUND(I60*F60,2)</f>
        <v>4016.73</v>
      </c>
      <c r="K60" s="27"/>
      <c r="P60" s="19"/>
      <c r="Q60" s="19"/>
      <c r="R60" s="19"/>
    </row>
    <row r="61" spans="2:18" s="17" customFormat="1" ht="30" x14ac:dyDescent="0.25">
      <c r="B61" s="100" t="s">
        <v>181</v>
      </c>
      <c r="C61" s="101" t="s">
        <v>1</v>
      </c>
      <c r="D61" s="134">
        <v>88650</v>
      </c>
      <c r="E61" s="135" t="s">
        <v>307</v>
      </c>
      <c r="F61" s="85">
        <v>61</v>
      </c>
      <c r="G61" s="103" t="s">
        <v>19</v>
      </c>
      <c r="H61" s="119">
        <v>12.06</v>
      </c>
      <c r="I61" s="119">
        <f>ROUND(H61+(H61*I$5),2)</f>
        <v>15.23</v>
      </c>
      <c r="J61" s="119">
        <f>ROUND(I61*F61,2)</f>
        <v>929.03</v>
      </c>
      <c r="K61" s="27"/>
      <c r="P61" s="19"/>
      <c r="Q61" s="19"/>
      <c r="R61" s="19"/>
    </row>
    <row r="62" spans="2:18" s="17" customFormat="1" ht="60" x14ac:dyDescent="0.25">
      <c r="B62" s="100" t="s">
        <v>182</v>
      </c>
      <c r="C62" s="101" t="s">
        <v>244</v>
      </c>
      <c r="D62" s="70"/>
      <c r="E62" s="133" t="s">
        <v>167</v>
      </c>
      <c r="F62" s="85">
        <v>8</v>
      </c>
      <c r="G62" s="103" t="s">
        <v>26</v>
      </c>
      <c r="H62" s="119">
        <f>COMPOSIÇÕES!F53</f>
        <v>173.12161100000006</v>
      </c>
      <c r="I62" s="119">
        <f t="shared" si="14"/>
        <v>218.65</v>
      </c>
      <c r="J62" s="119">
        <f>ROUND(I62*F62,2)</f>
        <v>1749.2</v>
      </c>
      <c r="K62" s="27"/>
      <c r="P62" s="19"/>
      <c r="Q62" s="19"/>
      <c r="R62" s="19"/>
    </row>
    <row r="63" spans="2:18" s="17" customFormat="1" ht="30" x14ac:dyDescent="0.25">
      <c r="B63" s="100" t="s">
        <v>183</v>
      </c>
      <c r="C63" s="101" t="s">
        <v>1</v>
      </c>
      <c r="D63" s="70">
        <v>88497</v>
      </c>
      <c r="E63" s="133" t="s">
        <v>138</v>
      </c>
      <c r="F63" s="85">
        <v>16</v>
      </c>
      <c r="G63" s="103" t="s">
        <v>26</v>
      </c>
      <c r="H63" s="119">
        <v>19.600000000000001</v>
      </c>
      <c r="I63" s="119">
        <f t="shared" si="14"/>
        <v>24.75</v>
      </c>
      <c r="J63" s="119">
        <f t="shared" ref="J63:J71" si="20">ROUND(I63*F63,2)</f>
        <v>396</v>
      </c>
      <c r="K63" s="27"/>
      <c r="P63" s="19"/>
      <c r="Q63" s="19"/>
      <c r="R63" s="19"/>
    </row>
    <row r="64" spans="2:18" s="17" customFormat="1" ht="15" customHeight="1" x14ac:dyDescent="0.25">
      <c r="B64" s="100" t="s">
        <v>184</v>
      </c>
      <c r="C64" s="101" t="s">
        <v>1</v>
      </c>
      <c r="D64" s="70">
        <v>88485</v>
      </c>
      <c r="E64" s="133" t="s">
        <v>119</v>
      </c>
      <c r="F64" s="85">
        <v>31</v>
      </c>
      <c r="G64" s="103" t="s">
        <v>26</v>
      </c>
      <c r="H64" s="119">
        <v>3.87</v>
      </c>
      <c r="I64" s="119">
        <f t="shared" si="14"/>
        <v>4.8899999999999997</v>
      </c>
      <c r="J64" s="119">
        <f t="shared" si="20"/>
        <v>151.59</v>
      </c>
      <c r="K64" s="27"/>
      <c r="P64" s="19"/>
      <c r="Q64" s="19"/>
      <c r="R64" s="19"/>
    </row>
    <row r="65" spans="2:18" s="17" customFormat="1" ht="30" x14ac:dyDescent="0.25">
      <c r="B65" s="100" t="s">
        <v>185</v>
      </c>
      <c r="C65" s="101" t="s">
        <v>1</v>
      </c>
      <c r="D65" s="70">
        <v>88489</v>
      </c>
      <c r="E65" s="133" t="s">
        <v>120</v>
      </c>
      <c r="F65" s="85">
        <v>181.38</v>
      </c>
      <c r="G65" s="103" t="s">
        <v>26</v>
      </c>
      <c r="H65" s="119">
        <v>13.74</v>
      </c>
      <c r="I65" s="119">
        <f t="shared" si="14"/>
        <v>17.350000000000001</v>
      </c>
      <c r="J65" s="119">
        <f t="shared" si="20"/>
        <v>3146.94</v>
      </c>
      <c r="K65" s="27"/>
    </row>
    <row r="66" spans="2:18" s="17" customFormat="1" ht="45" x14ac:dyDescent="0.25">
      <c r="B66" s="100" t="s">
        <v>186</v>
      </c>
      <c r="C66" s="101" t="s">
        <v>1</v>
      </c>
      <c r="D66" s="70">
        <v>91341</v>
      </c>
      <c r="E66" s="102" t="s">
        <v>308</v>
      </c>
      <c r="F66" s="85">
        <v>9</v>
      </c>
      <c r="G66" s="103" t="s">
        <v>26</v>
      </c>
      <c r="H66" s="189">
        <v>969.44</v>
      </c>
      <c r="I66" s="119">
        <f t="shared" si="14"/>
        <v>1224.4000000000001</v>
      </c>
      <c r="J66" s="119">
        <f t="shared" si="20"/>
        <v>11019.6</v>
      </c>
      <c r="K66" s="27"/>
      <c r="N66" s="358"/>
      <c r="O66" s="358"/>
      <c r="P66" s="358"/>
      <c r="Q66" s="358"/>
    </row>
    <row r="67" spans="2:18" s="17" customFormat="1" ht="30" x14ac:dyDescent="0.25">
      <c r="B67" s="100" t="s">
        <v>187</v>
      </c>
      <c r="C67" s="101" t="s">
        <v>1</v>
      </c>
      <c r="D67" s="70">
        <v>94590</v>
      </c>
      <c r="E67" s="102" t="s">
        <v>309</v>
      </c>
      <c r="F67" s="85">
        <v>39.200000000000003</v>
      </c>
      <c r="G67" s="103" t="s">
        <v>19</v>
      </c>
      <c r="H67" s="119">
        <v>30.69</v>
      </c>
      <c r="I67" s="119">
        <f>ROUND(H67+(H67*I$5),2)</f>
        <v>38.76</v>
      </c>
      <c r="J67" s="119">
        <f>ROUND(I67*F67,2)</f>
        <v>1519.39</v>
      </c>
      <c r="K67" s="27"/>
      <c r="N67" s="303"/>
      <c r="O67" s="303"/>
      <c r="P67" s="303"/>
      <c r="Q67" s="303"/>
    </row>
    <row r="68" spans="2:18" s="17" customFormat="1" ht="30" x14ac:dyDescent="0.25">
      <c r="B68" s="100" t="s">
        <v>188</v>
      </c>
      <c r="C68" s="101" t="s">
        <v>253</v>
      </c>
      <c r="D68" s="134"/>
      <c r="E68" s="135" t="s">
        <v>318</v>
      </c>
      <c r="F68" s="136">
        <v>4</v>
      </c>
      <c r="G68" s="103" t="s">
        <v>68</v>
      </c>
      <c r="H68" s="314">
        <f>COMPOSIÇÕES!F30</f>
        <v>759.34147666666672</v>
      </c>
      <c r="I68" s="119">
        <f t="shared" si="14"/>
        <v>959.05</v>
      </c>
      <c r="J68" s="119">
        <f t="shared" si="20"/>
        <v>3836.2</v>
      </c>
      <c r="K68" s="27"/>
      <c r="N68" s="237"/>
      <c r="P68" s="237"/>
      <c r="Q68" s="237"/>
    </row>
    <row r="69" spans="2:18" s="17" customFormat="1" x14ac:dyDescent="0.25">
      <c r="B69" s="100" t="s">
        <v>189</v>
      </c>
      <c r="C69" s="101" t="s">
        <v>1</v>
      </c>
      <c r="D69" s="134">
        <v>100851</v>
      </c>
      <c r="E69" s="135" t="s">
        <v>238</v>
      </c>
      <c r="F69" s="136">
        <v>4</v>
      </c>
      <c r="G69" s="103" t="s">
        <v>68</v>
      </c>
      <c r="H69" s="119">
        <v>74.36</v>
      </c>
      <c r="I69" s="119">
        <f t="shared" si="14"/>
        <v>93.92</v>
      </c>
      <c r="J69" s="119">
        <f t="shared" si="20"/>
        <v>375.68</v>
      </c>
      <c r="K69" s="27"/>
    </row>
    <row r="70" spans="2:18" s="17" customFormat="1" ht="30" x14ac:dyDescent="0.25">
      <c r="B70" s="100" t="s">
        <v>190</v>
      </c>
      <c r="C70" s="101" t="s">
        <v>1</v>
      </c>
      <c r="D70" s="134">
        <v>86888</v>
      </c>
      <c r="E70" s="135" t="s">
        <v>149</v>
      </c>
      <c r="F70" s="136">
        <v>4</v>
      </c>
      <c r="G70" s="103" t="s">
        <v>68</v>
      </c>
      <c r="H70" s="119">
        <v>571.35</v>
      </c>
      <c r="I70" s="119">
        <f t="shared" si="14"/>
        <v>721.62</v>
      </c>
      <c r="J70" s="119">
        <f t="shared" si="20"/>
        <v>2886.48</v>
      </c>
      <c r="K70" s="27"/>
    </row>
    <row r="71" spans="2:18" s="17" customFormat="1" ht="18.75" customHeight="1" x14ac:dyDescent="0.25">
      <c r="B71" s="100" t="s">
        <v>191</v>
      </c>
      <c r="C71" s="101" t="s">
        <v>1</v>
      </c>
      <c r="D71" s="134">
        <v>100849</v>
      </c>
      <c r="E71" s="135" t="s">
        <v>150</v>
      </c>
      <c r="F71" s="136">
        <v>4</v>
      </c>
      <c r="G71" s="103" t="s">
        <v>68</v>
      </c>
      <c r="H71" s="119">
        <v>37.15</v>
      </c>
      <c r="I71" s="119">
        <f t="shared" si="14"/>
        <v>46.92</v>
      </c>
      <c r="J71" s="119">
        <f t="shared" si="20"/>
        <v>187.68</v>
      </c>
      <c r="K71" s="27"/>
    </row>
    <row r="72" spans="2:18" s="17" customFormat="1" ht="18.75" customHeight="1" x14ac:dyDescent="0.25">
      <c r="B72" s="100" t="s">
        <v>192</v>
      </c>
      <c r="C72" s="101" t="s">
        <v>1</v>
      </c>
      <c r="D72" s="134">
        <v>86887</v>
      </c>
      <c r="E72" s="135" t="s">
        <v>286</v>
      </c>
      <c r="F72" s="85">
        <v>8</v>
      </c>
      <c r="G72" s="103" t="s">
        <v>68</v>
      </c>
      <c r="H72" s="119">
        <v>88.06</v>
      </c>
      <c r="I72" s="119">
        <f>ROUND(H72+(H72*I$5),2)</f>
        <v>111.22</v>
      </c>
      <c r="J72" s="119">
        <f>ROUND(I72*F72,2)</f>
        <v>889.76</v>
      </c>
      <c r="K72" s="27"/>
    </row>
    <row r="73" spans="2:18" s="17" customFormat="1" x14ac:dyDescent="0.25">
      <c r="B73" s="100" t="s">
        <v>193</v>
      </c>
      <c r="C73" s="101" t="s">
        <v>1</v>
      </c>
      <c r="D73" s="134">
        <v>88316</v>
      </c>
      <c r="E73" s="135" t="s">
        <v>51</v>
      </c>
      <c r="F73" s="85">
        <v>40</v>
      </c>
      <c r="G73" s="103" t="s">
        <v>34</v>
      </c>
      <c r="H73" s="119">
        <v>23.48</v>
      </c>
      <c r="I73" s="119">
        <f>ROUND(H73+(H73*I$5),2)</f>
        <v>29.66</v>
      </c>
      <c r="J73" s="119">
        <f>ROUND(I73*F73,2)</f>
        <v>1186.4000000000001</v>
      </c>
      <c r="K73" s="27"/>
    </row>
    <row r="74" spans="2:18" s="17" customFormat="1" ht="15.75" thickBot="1" x14ac:dyDescent="0.3">
      <c r="B74" s="218" t="str">
        <f>"SUBTOTAL DE "&amp;E39</f>
        <v>SUBTOTAL DE REFORMA BANHEIROS</v>
      </c>
      <c r="C74" s="219"/>
      <c r="D74" s="220"/>
      <c r="E74" s="221"/>
      <c r="F74" s="222"/>
      <c r="G74" s="223"/>
      <c r="H74" s="224"/>
      <c r="I74" s="224"/>
      <c r="J74" s="225">
        <f>SUM(J40:J73)</f>
        <v>56501.99</v>
      </c>
      <c r="K74" s="27"/>
    </row>
    <row r="75" spans="2:18" s="17" customFormat="1" ht="7.5" customHeight="1" thickBot="1" x14ac:dyDescent="0.3">
      <c r="B75" s="155"/>
      <c r="C75" s="54"/>
      <c r="D75" s="24"/>
      <c r="E75" s="24"/>
      <c r="F75" s="25"/>
      <c r="G75" s="26"/>
      <c r="H75" s="117"/>
      <c r="I75" s="117"/>
      <c r="J75" s="156"/>
      <c r="K75" s="27"/>
    </row>
    <row r="76" spans="2:18" s="17" customFormat="1" ht="17.100000000000001" customHeight="1" x14ac:dyDescent="0.25">
      <c r="B76" s="157" t="s">
        <v>45</v>
      </c>
      <c r="C76" s="66"/>
      <c r="D76" s="67"/>
      <c r="E76" s="67" t="s">
        <v>104</v>
      </c>
      <c r="F76" s="68"/>
      <c r="G76" s="69"/>
      <c r="H76" s="118"/>
      <c r="I76" s="118"/>
      <c r="J76" s="158"/>
      <c r="K76" s="27"/>
    </row>
    <row r="77" spans="2:18" s="17" customFormat="1" ht="16.5" customHeight="1" x14ac:dyDescent="0.25">
      <c r="B77" s="162" t="s">
        <v>46</v>
      </c>
      <c r="C77" s="86"/>
      <c r="D77" s="87"/>
      <c r="E77" s="87" t="s">
        <v>195</v>
      </c>
      <c r="F77" s="88"/>
      <c r="G77" s="89"/>
      <c r="H77" s="121"/>
      <c r="I77" s="121"/>
      <c r="J77" s="163"/>
      <c r="K77" s="27"/>
      <c r="L77" s="52"/>
    </row>
    <row r="78" spans="2:18" s="17" customFormat="1" x14ac:dyDescent="0.25">
      <c r="B78" s="100" t="s">
        <v>112</v>
      </c>
      <c r="C78" s="101" t="s">
        <v>1</v>
      </c>
      <c r="D78" s="134">
        <v>102193</v>
      </c>
      <c r="E78" s="199" t="s">
        <v>97</v>
      </c>
      <c r="F78" s="85">
        <v>762</v>
      </c>
      <c r="G78" s="103" t="s">
        <v>26</v>
      </c>
      <c r="H78" s="119">
        <v>2.2000000000000002</v>
      </c>
      <c r="I78" s="119">
        <f t="shared" ref="I78:I79" si="21">ROUND(H78+(H78*I$5),2)</f>
        <v>2.78</v>
      </c>
      <c r="J78" s="119">
        <f t="shared" ref="J78:J79" si="22">ROUND(I78*F78,2)</f>
        <v>2118.36</v>
      </c>
      <c r="K78" s="27"/>
      <c r="P78" s="238"/>
      <c r="Q78" s="239"/>
    </row>
    <row r="79" spans="2:18" s="17" customFormat="1" ht="30" x14ac:dyDescent="0.25">
      <c r="B79" s="100" t="s">
        <v>113</v>
      </c>
      <c r="C79" s="101" t="s">
        <v>1</v>
      </c>
      <c r="D79" s="134">
        <v>102219</v>
      </c>
      <c r="E79" s="199" t="s">
        <v>142</v>
      </c>
      <c r="F79" s="85">
        <f>F78</f>
        <v>762</v>
      </c>
      <c r="G79" s="103" t="s">
        <v>26</v>
      </c>
      <c r="H79" s="119">
        <v>17.559999999999999</v>
      </c>
      <c r="I79" s="119">
        <f t="shared" si="21"/>
        <v>22.18</v>
      </c>
      <c r="J79" s="119">
        <f t="shared" si="22"/>
        <v>16901.16</v>
      </c>
      <c r="K79" s="27"/>
      <c r="N79" s="52"/>
      <c r="Q79" s="236"/>
      <c r="R79" s="209"/>
    </row>
    <row r="80" spans="2:18" s="17" customFormat="1" ht="17.100000000000001" customHeight="1" x14ac:dyDescent="0.25">
      <c r="B80" s="162" t="s">
        <v>52</v>
      </c>
      <c r="C80" s="86"/>
      <c r="D80" s="87"/>
      <c r="E80" s="87" t="s">
        <v>333</v>
      </c>
      <c r="F80" s="88"/>
      <c r="G80" s="89"/>
      <c r="H80" s="121"/>
      <c r="I80" s="121"/>
      <c r="J80" s="163"/>
      <c r="K80" s="27"/>
      <c r="L80" s="52"/>
      <c r="Q80" s="52"/>
    </row>
    <row r="81" spans="2:17" s="17" customFormat="1" ht="60" x14ac:dyDescent="0.25">
      <c r="B81" s="100" t="s">
        <v>114</v>
      </c>
      <c r="C81" s="101" t="s">
        <v>49</v>
      </c>
      <c r="D81" s="134">
        <v>10527</v>
      </c>
      <c r="E81" s="135" t="s">
        <v>127</v>
      </c>
      <c r="F81" s="136">
        <f>F82*4</f>
        <v>240</v>
      </c>
      <c r="G81" s="103" t="s">
        <v>128</v>
      </c>
      <c r="H81" s="119">
        <v>30</v>
      </c>
      <c r="I81" s="119">
        <f t="shared" ref="I81:I85" si="23">ROUND(H81+(H81*I$5),2)</f>
        <v>37.89</v>
      </c>
      <c r="J81" s="119">
        <f t="shared" ref="J81:J85" si="24">ROUND(I81*F81,2)</f>
        <v>9093.6</v>
      </c>
      <c r="K81" s="27"/>
      <c r="L81" s="52"/>
      <c r="O81" s="52"/>
      <c r="Q81" s="52"/>
    </row>
    <row r="82" spans="2:17" s="17" customFormat="1" ht="45" x14ac:dyDescent="0.25">
      <c r="B82" s="100" t="s">
        <v>115</v>
      </c>
      <c r="C82" s="101" t="s">
        <v>1</v>
      </c>
      <c r="D82" s="134">
        <v>97063</v>
      </c>
      <c r="E82" s="135" t="s">
        <v>126</v>
      </c>
      <c r="F82" s="136">
        <v>60</v>
      </c>
      <c r="G82" s="103" t="s">
        <v>26</v>
      </c>
      <c r="H82" s="119">
        <v>21.08</v>
      </c>
      <c r="I82" s="119">
        <f t="shared" si="23"/>
        <v>26.62</v>
      </c>
      <c r="J82" s="119">
        <f t="shared" si="24"/>
        <v>1597.2</v>
      </c>
      <c r="K82" s="27"/>
      <c r="L82" s="52"/>
      <c r="O82" s="52"/>
      <c r="Q82" s="52"/>
    </row>
    <row r="83" spans="2:17" s="17" customFormat="1" ht="17.100000000000001" customHeight="1" x14ac:dyDescent="0.25">
      <c r="B83" s="100" t="s">
        <v>116</v>
      </c>
      <c r="C83" s="101" t="s">
        <v>1</v>
      </c>
      <c r="D83" s="134">
        <v>100717</v>
      </c>
      <c r="E83" s="135" t="s">
        <v>153</v>
      </c>
      <c r="F83" s="85">
        <v>311</v>
      </c>
      <c r="G83" s="103" t="s">
        <v>26</v>
      </c>
      <c r="H83" s="119">
        <v>9.32</v>
      </c>
      <c r="I83" s="119">
        <f t="shared" si="23"/>
        <v>11.77</v>
      </c>
      <c r="J83" s="119">
        <f t="shared" si="24"/>
        <v>3660.47</v>
      </c>
      <c r="K83" s="27"/>
      <c r="P83" s="52"/>
    </row>
    <row r="84" spans="2:17" s="17" customFormat="1" ht="48" customHeight="1" x14ac:dyDescent="0.25">
      <c r="B84" s="100" t="s">
        <v>117</v>
      </c>
      <c r="C84" s="101" t="s">
        <v>1</v>
      </c>
      <c r="D84" s="134">
        <v>100758</v>
      </c>
      <c r="E84" s="135" t="s">
        <v>196</v>
      </c>
      <c r="F84" s="85">
        <v>311</v>
      </c>
      <c r="G84" s="103" t="s">
        <v>26</v>
      </c>
      <c r="H84" s="119">
        <v>51.77</v>
      </c>
      <c r="I84" s="119">
        <f t="shared" si="23"/>
        <v>65.39</v>
      </c>
      <c r="J84" s="119">
        <f t="shared" si="24"/>
        <v>20336.29</v>
      </c>
      <c r="K84" s="27"/>
      <c r="L84" s="17" t="s">
        <v>335</v>
      </c>
      <c r="P84" s="52"/>
    </row>
    <row r="85" spans="2:17" s="17" customFormat="1" x14ac:dyDescent="0.25">
      <c r="B85" s="100" t="s">
        <v>240</v>
      </c>
      <c r="C85" s="101" t="s">
        <v>1</v>
      </c>
      <c r="D85" s="134">
        <v>88310</v>
      </c>
      <c r="E85" s="135" t="s">
        <v>106</v>
      </c>
      <c r="F85" s="85">
        <v>100</v>
      </c>
      <c r="G85" s="103" t="s">
        <v>34</v>
      </c>
      <c r="H85" s="119">
        <v>29.87</v>
      </c>
      <c r="I85" s="119">
        <f t="shared" si="23"/>
        <v>37.729999999999997</v>
      </c>
      <c r="J85" s="119">
        <f t="shared" si="24"/>
        <v>3773</v>
      </c>
      <c r="K85" s="27"/>
      <c r="P85" s="52"/>
    </row>
    <row r="86" spans="2:17" s="17" customFormat="1" x14ac:dyDescent="0.25">
      <c r="B86" s="162" t="s">
        <v>241</v>
      </c>
      <c r="C86" s="86"/>
      <c r="D86" s="87"/>
      <c r="E86" s="87" t="s">
        <v>242</v>
      </c>
      <c r="F86" s="88"/>
      <c r="G86" s="89"/>
      <c r="H86" s="121"/>
      <c r="I86" s="121"/>
      <c r="J86" s="163"/>
      <c r="K86" s="27"/>
      <c r="P86" s="52"/>
    </row>
    <row r="87" spans="2:17" s="17" customFormat="1" x14ac:dyDescent="0.25">
      <c r="B87" s="100" t="s">
        <v>246</v>
      </c>
      <c r="C87" s="101" t="s">
        <v>1</v>
      </c>
      <c r="D87" s="134">
        <v>102488</v>
      </c>
      <c r="E87" s="135" t="s">
        <v>243</v>
      </c>
      <c r="F87" s="85">
        <v>978</v>
      </c>
      <c r="G87" s="103" t="s">
        <v>26</v>
      </c>
      <c r="H87" s="119">
        <v>3.72</v>
      </c>
      <c r="I87" s="119">
        <f>ROUND(H87+(H87*I$5),2)</f>
        <v>4.7</v>
      </c>
      <c r="J87" s="119">
        <f t="shared" ref="J87:J90" si="25">ROUND(I87*F87,2)</f>
        <v>4596.6000000000004</v>
      </c>
      <c r="K87" s="27"/>
      <c r="P87" s="52"/>
    </row>
    <row r="88" spans="2:17" s="17" customFormat="1" ht="30" x14ac:dyDescent="0.25">
      <c r="B88" s="100" t="s">
        <v>247</v>
      </c>
      <c r="C88" s="101" t="s">
        <v>1</v>
      </c>
      <c r="D88" s="134">
        <v>96130</v>
      </c>
      <c r="E88" s="135" t="s">
        <v>262</v>
      </c>
      <c r="F88" s="85">
        <v>195.6</v>
      </c>
      <c r="G88" s="103" t="s">
        <v>26</v>
      </c>
      <c r="H88" s="119">
        <v>20.58</v>
      </c>
      <c r="I88" s="119">
        <f>ROUND(H88+(H88*I$5),2)</f>
        <v>25.99</v>
      </c>
      <c r="J88" s="119">
        <f t="shared" si="25"/>
        <v>5083.6400000000003</v>
      </c>
      <c r="K88" s="27" t="s">
        <v>282</v>
      </c>
      <c r="P88" s="52"/>
    </row>
    <row r="89" spans="2:17" s="17" customFormat="1" ht="30" x14ac:dyDescent="0.25">
      <c r="B89" s="100" t="s">
        <v>261</v>
      </c>
      <c r="C89" s="101" t="s">
        <v>252</v>
      </c>
      <c r="D89" s="134"/>
      <c r="E89" s="135" t="s">
        <v>245</v>
      </c>
      <c r="F89" s="85">
        <v>978</v>
      </c>
      <c r="G89" s="103" t="s">
        <v>26</v>
      </c>
      <c r="H89" s="248">
        <f>COMPOSIÇÕES!F10</f>
        <v>34.482319052631581</v>
      </c>
      <c r="I89" s="119">
        <f>ROUND(H89+(H89*I$5),2)</f>
        <v>43.55</v>
      </c>
      <c r="J89" s="119">
        <f t="shared" si="25"/>
        <v>42591.9</v>
      </c>
      <c r="K89" s="27"/>
      <c r="P89" s="52"/>
    </row>
    <row r="90" spans="2:17" s="17" customFormat="1" ht="30" x14ac:dyDescent="0.25">
      <c r="B90" s="100" t="s">
        <v>280</v>
      </c>
      <c r="C90" s="101" t="s">
        <v>1</v>
      </c>
      <c r="D90" s="134">
        <v>88488</v>
      </c>
      <c r="E90" s="135" t="s">
        <v>281</v>
      </c>
      <c r="F90" s="85">
        <v>570</v>
      </c>
      <c r="G90" s="103" t="s">
        <v>26</v>
      </c>
      <c r="H90" s="119">
        <v>16.149999999999999</v>
      </c>
      <c r="I90" s="119">
        <f>ROUND(H90+(H90*I$5),2)</f>
        <v>20.399999999999999</v>
      </c>
      <c r="J90" s="119">
        <f t="shared" si="25"/>
        <v>11628</v>
      </c>
      <c r="K90" s="27"/>
      <c r="P90" s="52"/>
    </row>
    <row r="91" spans="2:17" s="17" customFormat="1" ht="17.100000000000001" customHeight="1" thickBot="1" x14ac:dyDescent="0.3">
      <c r="B91" s="226" t="str">
        <f>" SUBTOTAL DE "&amp;E76</f>
        <v xml:space="preserve"> SUBTOTAL DE PINTURA</v>
      </c>
      <c r="C91" s="227"/>
      <c r="D91" s="228"/>
      <c r="E91" s="221"/>
      <c r="F91" s="229"/>
      <c r="G91" s="230"/>
      <c r="H91" s="231"/>
      <c r="I91" s="231"/>
      <c r="J91" s="232">
        <f>SUM(J78:J90)</f>
        <v>121380.22</v>
      </c>
      <c r="K91" s="27"/>
      <c r="P91" s="239"/>
      <c r="Q91" s="239"/>
    </row>
    <row r="92" spans="2:17" s="17" customFormat="1" ht="6.75" customHeight="1" thickBot="1" x14ac:dyDescent="0.3">
      <c r="B92" s="100"/>
      <c r="C92" s="101"/>
      <c r="D92" s="134"/>
      <c r="E92" s="135"/>
      <c r="F92" s="85"/>
      <c r="G92" s="103"/>
      <c r="H92" s="119"/>
      <c r="I92" s="119"/>
      <c r="J92" s="119"/>
      <c r="K92" s="190"/>
      <c r="M92" s="194"/>
      <c r="N92" s="208"/>
      <c r="Q92" s="236"/>
    </row>
    <row r="93" spans="2:17" s="17" customFormat="1" x14ac:dyDescent="0.25">
      <c r="B93" s="157" t="s">
        <v>61</v>
      </c>
      <c r="C93" s="66"/>
      <c r="D93" s="67"/>
      <c r="E93" s="67" t="s">
        <v>209</v>
      </c>
      <c r="F93" s="68"/>
      <c r="G93" s="69"/>
      <c r="H93" s="118"/>
      <c r="I93" s="118"/>
      <c r="J93" s="158"/>
      <c r="K93" s="27"/>
    </row>
    <row r="94" spans="2:17" s="17" customFormat="1" x14ac:dyDescent="0.25">
      <c r="B94" s="100" t="s">
        <v>62</v>
      </c>
      <c r="C94" s="101" t="s">
        <v>28</v>
      </c>
      <c r="D94" s="70"/>
      <c r="E94" s="191" t="s">
        <v>202</v>
      </c>
      <c r="F94" s="192">
        <v>72</v>
      </c>
      <c r="G94" s="193" t="s">
        <v>19</v>
      </c>
      <c r="H94" s="327">
        <v>44.09</v>
      </c>
      <c r="I94" s="119">
        <f t="shared" ref="I94:I106" si="26">ROUND(H94+(H94*I$5),2)</f>
        <v>55.69</v>
      </c>
      <c r="J94" s="119">
        <f t="shared" ref="J94:J106" si="27">ROUND(I94*F94,2)</f>
        <v>4009.68</v>
      </c>
      <c r="K94" s="27"/>
      <c r="L94" s="17" t="s">
        <v>342</v>
      </c>
    </row>
    <row r="95" spans="2:17" s="17" customFormat="1" ht="17.25" customHeight="1" x14ac:dyDescent="0.25">
      <c r="B95" s="100" t="s">
        <v>63</v>
      </c>
      <c r="C95" s="101" t="s">
        <v>28</v>
      </c>
      <c r="D95" s="70"/>
      <c r="E95" s="102" t="s">
        <v>204</v>
      </c>
      <c r="F95" s="85">
        <v>25</v>
      </c>
      <c r="G95" s="103" t="s">
        <v>68</v>
      </c>
      <c r="H95" s="119">
        <v>10.17</v>
      </c>
      <c r="I95" s="119">
        <f t="shared" si="26"/>
        <v>12.84</v>
      </c>
      <c r="J95" s="119">
        <f t="shared" si="27"/>
        <v>321</v>
      </c>
      <c r="K95" s="27"/>
      <c r="O95" s="17" t="s">
        <v>242</v>
      </c>
    </row>
    <row r="96" spans="2:17" s="17" customFormat="1" ht="17.25" customHeight="1" x14ac:dyDescent="0.25">
      <c r="B96" s="100" t="s">
        <v>69</v>
      </c>
      <c r="C96" s="101" t="s">
        <v>28</v>
      </c>
      <c r="D96" s="70"/>
      <c r="E96" s="102" t="s">
        <v>343</v>
      </c>
      <c r="F96" s="85">
        <v>25</v>
      </c>
      <c r="G96" s="103" t="s">
        <v>68</v>
      </c>
      <c r="H96" s="119">
        <v>16.260000000000002</v>
      </c>
      <c r="I96" s="119">
        <f t="shared" ref="I96" si="28">ROUND(H96+(H96*I$5),2)</f>
        <v>20.54</v>
      </c>
      <c r="J96" s="119">
        <f t="shared" ref="J96" si="29">ROUND(I96*F96,2)</f>
        <v>513.5</v>
      </c>
      <c r="K96" s="27"/>
    </row>
    <row r="97" spans="2:19" s="17" customFormat="1" ht="30" x14ac:dyDescent="0.25">
      <c r="B97" s="100" t="s">
        <v>69</v>
      </c>
      <c r="C97" s="101" t="s">
        <v>1</v>
      </c>
      <c r="D97" s="134">
        <v>100717</v>
      </c>
      <c r="E97" s="135" t="s">
        <v>205</v>
      </c>
      <c r="F97" s="85">
        <v>10</v>
      </c>
      <c r="G97" s="103" t="s">
        <v>26</v>
      </c>
      <c r="H97" s="119">
        <v>10.24</v>
      </c>
      <c r="I97" s="119">
        <f t="shared" si="26"/>
        <v>12.93</v>
      </c>
      <c r="J97" s="119">
        <f t="shared" si="27"/>
        <v>129.30000000000001</v>
      </c>
      <c r="K97" s="27"/>
      <c r="N97" s="17" t="s">
        <v>254</v>
      </c>
      <c r="O97" s="17">
        <v>105.15</v>
      </c>
      <c r="P97" s="17">
        <v>2.8</v>
      </c>
      <c r="Q97" s="17">
        <f>O97*P97</f>
        <v>294.42</v>
      </c>
    </row>
    <row r="98" spans="2:19" s="17" customFormat="1" x14ac:dyDescent="0.25">
      <c r="B98" s="100" t="s">
        <v>62</v>
      </c>
      <c r="C98" s="101" t="s">
        <v>1</v>
      </c>
      <c r="D98" s="70">
        <v>98397</v>
      </c>
      <c r="E98" s="102" t="s">
        <v>206</v>
      </c>
      <c r="F98" s="85">
        <v>10</v>
      </c>
      <c r="G98" s="103" t="s">
        <v>26</v>
      </c>
      <c r="H98" s="119">
        <v>13.78</v>
      </c>
      <c r="I98" s="119">
        <f t="shared" si="26"/>
        <v>17.399999999999999</v>
      </c>
      <c r="J98" s="119">
        <f t="shared" si="27"/>
        <v>174</v>
      </c>
      <c r="K98" s="27"/>
      <c r="O98" s="17">
        <v>37.9</v>
      </c>
      <c r="P98" s="17">
        <v>2.8</v>
      </c>
      <c r="Q98" s="17">
        <f t="shared" ref="Q98:Q100" si="30">O98*P98</f>
        <v>106.11999999999999</v>
      </c>
    </row>
    <row r="99" spans="2:19" s="17" customFormat="1" x14ac:dyDescent="0.25">
      <c r="B99" s="100" t="s">
        <v>63</v>
      </c>
      <c r="C99" s="101" t="s">
        <v>1</v>
      </c>
      <c r="D99" s="70">
        <v>91189</v>
      </c>
      <c r="E99" s="102" t="s">
        <v>207</v>
      </c>
      <c r="F99" s="85">
        <v>4</v>
      </c>
      <c r="G99" s="103" t="s">
        <v>68</v>
      </c>
      <c r="H99" s="119">
        <v>76.819999999999993</v>
      </c>
      <c r="I99" s="119">
        <f t="shared" si="26"/>
        <v>97.02</v>
      </c>
      <c r="J99" s="119">
        <f t="shared" si="27"/>
        <v>388.08</v>
      </c>
      <c r="K99" s="27"/>
      <c r="O99" s="17">
        <v>75.5</v>
      </c>
      <c r="P99" s="17">
        <v>2.8</v>
      </c>
      <c r="Q99" s="17">
        <f t="shared" si="30"/>
        <v>211.39999999999998</v>
      </c>
    </row>
    <row r="100" spans="2:19" s="17" customFormat="1" ht="45" x14ac:dyDescent="0.25">
      <c r="B100" s="100" t="s">
        <v>69</v>
      </c>
      <c r="C100" s="101" t="s">
        <v>351</v>
      </c>
      <c r="D100" s="70">
        <v>5</v>
      </c>
      <c r="E100" s="102" t="s">
        <v>350</v>
      </c>
      <c r="F100" s="85">
        <v>3</v>
      </c>
      <c r="G100" s="103" t="s">
        <v>68</v>
      </c>
      <c r="H100" s="119">
        <f>COMPOSIÇÕES!F69</f>
        <v>1020.6693333333334</v>
      </c>
      <c r="I100" s="119">
        <f t="shared" si="26"/>
        <v>1289.1099999999999</v>
      </c>
      <c r="J100" s="119">
        <f t="shared" si="27"/>
        <v>3867.33</v>
      </c>
      <c r="K100" s="27"/>
      <c r="N100" s="17" t="s">
        <v>255</v>
      </c>
      <c r="O100" s="17">
        <v>203.91</v>
      </c>
      <c r="P100" s="17">
        <v>3</v>
      </c>
      <c r="Q100" s="17">
        <f t="shared" si="30"/>
        <v>611.73</v>
      </c>
    </row>
    <row r="101" spans="2:19" s="17" customFormat="1" ht="30" x14ac:dyDescent="0.25">
      <c r="B101" s="100" t="s">
        <v>69</v>
      </c>
      <c r="C101" s="101" t="s">
        <v>1</v>
      </c>
      <c r="D101" s="134">
        <v>86885</v>
      </c>
      <c r="E101" s="135" t="s">
        <v>94</v>
      </c>
      <c r="F101" s="85">
        <v>3</v>
      </c>
      <c r="G101" s="103" t="s">
        <v>68</v>
      </c>
      <c r="H101" s="119">
        <v>13.48</v>
      </c>
      <c r="I101" s="119">
        <f>ROUND(H101+(H101*I$5),2)</f>
        <v>17.03</v>
      </c>
      <c r="J101" s="119">
        <f>ROUND(I101*F101,2)</f>
        <v>51.09</v>
      </c>
      <c r="K101" s="27"/>
    </row>
    <row r="102" spans="2:19" s="17" customFormat="1" ht="30" x14ac:dyDescent="0.25">
      <c r="B102" s="100" t="s">
        <v>62</v>
      </c>
      <c r="C102" s="101" t="s">
        <v>1</v>
      </c>
      <c r="D102" s="134">
        <v>89355</v>
      </c>
      <c r="E102" s="135" t="s">
        <v>91</v>
      </c>
      <c r="F102" s="85">
        <v>25</v>
      </c>
      <c r="G102" s="103" t="s">
        <v>19</v>
      </c>
      <c r="H102" s="119">
        <v>22.18</v>
      </c>
      <c r="I102" s="119">
        <f t="shared" si="26"/>
        <v>28.01</v>
      </c>
      <c r="J102" s="119">
        <f t="shared" si="27"/>
        <v>700.25</v>
      </c>
      <c r="K102" s="27"/>
      <c r="Q102" s="52">
        <f>SUM(Q97:Q100)</f>
        <v>1223.67</v>
      </c>
    </row>
    <row r="103" spans="2:19" s="17" customFormat="1" ht="45" customHeight="1" x14ac:dyDescent="0.25">
      <c r="B103" s="100" t="s">
        <v>63</v>
      </c>
      <c r="C103" s="101" t="s">
        <v>1</v>
      </c>
      <c r="D103" s="134">
        <v>89393</v>
      </c>
      <c r="E103" s="135" t="s">
        <v>166</v>
      </c>
      <c r="F103" s="85">
        <v>12</v>
      </c>
      <c r="G103" s="103" t="s">
        <v>68</v>
      </c>
      <c r="H103" s="119">
        <v>12</v>
      </c>
      <c r="I103" s="119">
        <f t="shared" si="26"/>
        <v>15.16</v>
      </c>
      <c r="J103" s="119">
        <f t="shared" si="27"/>
        <v>181.92</v>
      </c>
      <c r="K103" s="27"/>
      <c r="N103" s="359" t="s">
        <v>256</v>
      </c>
      <c r="O103" s="359"/>
      <c r="P103" s="17" t="s">
        <v>257</v>
      </c>
      <c r="Q103" s="17">
        <f>8.4+4.8+52.45+2.94+7.98+52.45</f>
        <v>129.02000000000001</v>
      </c>
      <c r="R103" s="17" t="s">
        <v>258</v>
      </c>
    </row>
    <row r="104" spans="2:19" s="17" customFormat="1" ht="30" x14ac:dyDescent="0.25">
      <c r="B104" s="100" t="s">
        <v>69</v>
      </c>
      <c r="C104" s="101" t="s">
        <v>1</v>
      </c>
      <c r="D104" s="134">
        <v>89371</v>
      </c>
      <c r="E104" s="135" t="s">
        <v>92</v>
      </c>
      <c r="F104" s="85">
        <v>12</v>
      </c>
      <c r="G104" s="103" t="s">
        <v>68</v>
      </c>
      <c r="H104" s="119">
        <v>6.56</v>
      </c>
      <c r="I104" s="119">
        <f t="shared" si="26"/>
        <v>8.2899999999999991</v>
      </c>
      <c r="J104" s="119">
        <f t="shared" si="27"/>
        <v>99.48</v>
      </c>
      <c r="K104" s="27"/>
      <c r="P104" s="17" t="s">
        <v>259</v>
      </c>
      <c r="Q104" s="17">
        <f>72.77+18.72+25.2</f>
        <v>116.69</v>
      </c>
      <c r="R104" s="17" t="s">
        <v>258</v>
      </c>
    </row>
    <row r="105" spans="2:19" s="17" customFormat="1" ht="30" x14ac:dyDescent="0.25">
      <c r="B105" s="100" t="s">
        <v>69</v>
      </c>
      <c r="C105" s="101" t="s">
        <v>1</v>
      </c>
      <c r="D105" s="134">
        <v>89358</v>
      </c>
      <c r="E105" s="135" t="s">
        <v>93</v>
      </c>
      <c r="F105" s="85">
        <v>12</v>
      </c>
      <c r="G105" s="103" t="s">
        <v>68</v>
      </c>
      <c r="H105" s="119">
        <v>8.6</v>
      </c>
      <c r="I105" s="119">
        <f t="shared" si="26"/>
        <v>10.86</v>
      </c>
      <c r="J105" s="119">
        <f t="shared" si="27"/>
        <v>130.32</v>
      </c>
      <c r="K105" s="27"/>
      <c r="Q105" s="17">
        <f>SUM(Q103:Q104)</f>
        <v>245.71</v>
      </c>
    </row>
    <row r="106" spans="2:19" s="17" customFormat="1" ht="60" x14ac:dyDescent="0.25">
      <c r="B106" s="100" t="s">
        <v>62</v>
      </c>
      <c r="C106" s="101" t="s">
        <v>1</v>
      </c>
      <c r="D106" s="70">
        <v>91179</v>
      </c>
      <c r="E106" s="102" t="s">
        <v>208</v>
      </c>
      <c r="F106" s="85">
        <f>F102</f>
        <v>25</v>
      </c>
      <c r="G106" s="103" t="s">
        <v>19</v>
      </c>
      <c r="H106" s="119">
        <v>16.850000000000001</v>
      </c>
      <c r="I106" s="119">
        <f t="shared" si="26"/>
        <v>21.28</v>
      </c>
      <c r="J106" s="119">
        <f t="shared" si="27"/>
        <v>532</v>
      </c>
      <c r="K106" s="27"/>
      <c r="P106" s="17" t="s">
        <v>260</v>
      </c>
      <c r="S106" s="17">
        <f>Q102-Q105</f>
        <v>977.96</v>
      </c>
    </row>
    <row r="107" spans="2:19" s="17" customFormat="1" ht="30" x14ac:dyDescent="0.25">
      <c r="B107" s="100" t="s">
        <v>63</v>
      </c>
      <c r="C107" s="101" t="s">
        <v>1</v>
      </c>
      <c r="D107" s="134">
        <v>88267</v>
      </c>
      <c r="E107" s="107" t="s">
        <v>146</v>
      </c>
      <c r="F107" s="85">
        <v>20</v>
      </c>
      <c r="G107" s="103" t="s">
        <v>34</v>
      </c>
      <c r="H107" s="119">
        <v>27.68</v>
      </c>
      <c r="I107" s="119">
        <f>ROUND(H107+(H107*I$5),2)</f>
        <v>34.96</v>
      </c>
      <c r="J107" s="119">
        <f>ROUND(I107*F107,2)</f>
        <v>699.2</v>
      </c>
      <c r="K107" s="27"/>
    </row>
    <row r="108" spans="2:19" s="17" customFormat="1" ht="15.75" thickBot="1" x14ac:dyDescent="0.3">
      <c r="B108" s="226" t="str">
        <f>"SUBTOTAL DE "&amp;E93</f>
        <v>SUBTOTAL DE REPAROS INTERNOS GERAIS</v>
      </c>
      <c r="C108" s="227"/>
      <c r="D108" s="228"/>
      <c r="E108" s="221"/>
      <c r="F108" s="229"/>
      <c r="G108" s="230"/>
      <c r="H108" s="231"/>
      <c r="I108" s="231"/>
      <c r="J108" s="232">
        <f>SUM(J94:J107)</f>
        <v>11797.15</v>
      </c>
      <c r="K108" s="27"/>
    </row>
    <row r="109" spans="2:19" s="17" customFormat="1" ht="9.75" customHeight="1" thickBot="1" x14ac:dyDescent="0.3">
      <c r="B109" s="164"/>
      <c r="C109" s="104"/>
      <c r="D109" s="106"/>
      <c r="E109" s="107"/>
      <c r="F109" s="108"/>
      <c r="G109" s="109"/>
      <c r="H109" s="122"/>
      <c r="I109" s="122"/>
      <c r="J109" s="165"/>
      <c r="K109" s="27"/>
    </row>
    <row r="110" spans="2:19" s="17" customFormat="1" x14ac:dyDescent="0.25">
      <c r="B110" s="157" t="s">
        <v>53</v>
      </c>
      <c r="C110" s="66"/>
      <c r="D110" s="67"/>
      <c r="E110" s="67" t="s">
        <v>210</v>
      </c>
      <c r="F110" s="68"/>
      <c r="G110" s="69"/>
      <c r="H110" s="118"/>
      <c r="I110" s="118"/>
      <c r="J110" s="158"/>
      <c r="K110" s="27"/>
    </row>
    <row r="111" spans="2:19" s="17" customFormat="1" x14ac:dyDescent="0.25">
      <c r="B111" s="100" t="s">
        <v>54</v>
      </c>
      <c r="C111" s="101" t="s">
        <v>1</v>
      </c>
      <c r="D111" s="70">
        <v>98524</v>
      </c>
      <c r="E111" s="102" t="s">
        <v>211</v>
      </c>
      <c r="F111" s="85">
        <v>20</v>
      </c>
      <c r="G111" s="103" t="s">
        <v>26</v>
      </c>
      <c r="H111" s="119">
        <v>5</v>
      </c>
      <c r="I111" s="119">
        <f t="shared" ref="I111:I114" si="31">ROUND(H111+(H111*I$5),2)</f>
        <v>6.32</v>
      </c>
      <c r="J111" s="119">
        <f t="shared" ref="J111:J114" si="32">ROUND(I111*F111,2)</f>
        <v>126.4</v>
      </c>
      <c r="K111" s="27"/>
    </row>
    <row r="112" spans="2:19" s="17" customFormat="1" ht="30" x14ac:dyDescent="0.25">
      <c r="B112" s="100" t="s">
        <v>55</v>
      </c>
      <c r="C112" s="101" t="s">
        <v>1</v>
      </c>
      <c r="D112" s="134">
        <v>100323</v>
      </c>
      <c r="E112" s="135" t="s">
        <v>212</v>
      </c>
      <c r="F112" s="85">
        <v>4</v>
      </c>
      <c r="G112" s="103" t="s">
        <v>99</v>
      </c>
      <c r="H112" s="119">
        <v>172.73</v>
      </c>
      <c r="I112" s="119">
        <f t="shared" si="31"/>
        <v>218.16</v>
      </c>
      <c r="J112" s="119">
        <f t="shared" si="32"/>
        <v>872.64</v>
      </c>
      <c r="K112" s="27"/>
    </row>
    <row r="113" spans="2:11" s="17" customFormat="1" ht="30" x14ac:dyDescent="0.25">
      <c r="B113" s="100" t="s">
        <v>154</v>
      </c>
      <c r="C113" s="101" t="s">
        <v>49</v>
      </c>
      <c r="D113" s="106">
        <v>7164</v>
      </c>
      <c r="E113" s="107" t="s">
        <v>213</v>
      </c>
      <c r="F113" s="85">
        <v>20</v>
      </c>
      <c r="G113" s="103" t="s">
        <v>99</v>
      </c>
      <c r="H113" s="119">
        <v>49.66</v>
      </c>
      <c r="I113" s="119">
        <f t="shared" si="31"/>
        <v>62.72</v>
      </c>
      <c r="J113" s="119">
        <f t="shared" si="32"/>
        <v>1254.4000000000001</v>
      </c>
      <c r="K113" s="27"/>
    </row>
    <row r="114" spans="2:11" s="17" customFormat="1" ht="30" x14ac:dyDescent="0.25">
      <c r="B114" s="100" t="s">
        <v>155</v>
      </c>
      <c r="C114" s="101" t="s">
        <v>28</v>
      </c>
      <c r="D114" s="106"/>
      <c r="E114" s="329" t="s">
        <v>218</v>
      </c>
      <c r="F114" s="85">
        <v>1</v>
      </c>
      <c r="G114" s="103" t="s">
        <v>68</v>
      </c>
      <c r="H114" s="119">
        <f>COMPOSIÇÕES!I148</f>
        <v>527.9</v>
      </c>
      <c r="I114" s="119">
        <f t="shared" si="31"/>
        <v>666.74</v>
      </c>
      <c r="J114" s="119">
        <f t="shared" si="32"/>
        <v>666.74</v>
      </c>
      <c r="K114" s="27"/>
    </row>
    <row r="115" spans="2:11" s="17" customFormat="1" x14ac:dyDescent="0.25">
      <c r="B115" s="100" t="s">
        <v>156</v>
      </c>
      <c r="C115" s="101" t="s">
        <v>1</v>
      </c>
      <c r="D115" s="134">
        <v>88316</v>
      </c>
      <c r="E115" s="135" t="s">
        <v>51</v>
      </c>
      <c r="F115" s="85">
        <v>20</v>
      </c>
      <c r="G115" s="103" t="s">
        <v>34</v>
      </c>
      <c r="H115" s="119">
        <v>23.48</v>
      </c>
      <c r="I115" s="119">
        <f>ROUND(H115+(H115*I$5),2)</f>
        <v>29.66</v>
      </c>
      <c r="J115" s="119">
        <f>ROUND(I115*F115,2)</f>
        <v>593.20000000000005</v>
      </c>
      <c r="K115" s="27"/>
    </row>
    <row r="116" spans="2:11" s="17" customFormat="1" ht="15.75" thickBot="1" x14ac:dyDescent="0.3">
      <c r="B116" s="226" t="str">
        <f>"SUBTOTAL DE "&amp;E110</f>
        <v>SUBTOTAL DE REPAROS EXTERNOS GERAIS</v>
      </c>
      <c r="C116" s="227"/>
      <c r="D116" s="228"/>
      <c r="E116" s="221"/>
      <c r="F116" s="229"/>
      <c r="G116" s="230"/>
      <c r="H116" s="231"/>
      <c r="I116" s="231"/>
      <c r="J116" s="232">
        <f>SUM(J111:J115)</f>
        <v>3513.38</v>
      </c>
      <c r="K116" s="27"/>
    </row>
    <row r="117" spans="2:11" s="17" customFormat="1" ht="9" customHeight="1" x14ac:dyDescent="0.25">
      <c r="B117" s="166"/>
      <c r="C117" s="56"/>
      <c r="D117" s="256"/>
      <c r="E117" s="257"/>
      <c r="F117" s="29"/>
      <c r="G117" s="30"/>
      <c r="H117" s="258"/>
      <c r="I117" s="258"/>
      <c r="J117" s="259"/>
      <c r="K117" s="27"/>
    </row>
    <row r="118" spans="2:11" s="17" customFormat="1" x14ac:dyDescent="0.25">
      <c r="B118" s="260" t="s">
        <v>56</v>
      </c>
      <c r="C118" s="261"/>
      <c r="D118" s="262"/>
      <c r="E118" s="262" t="s">
        <v>263</v>
      </c>
      <c r="F118" s="263"/>
      <c r="G118" s="264"/>
      <c r="H118" s="265"/>
      <c r="I118" s="265"/>
      <c r="J118" s="266"/>
      <c r="K118" s="27"/>
    </row>
    <row r="119" spans="2:11" s="17" customFormat="1" x14ac:dyDescent="0.25">
      <c r="B119" s="302" t="s">
        <v>57</v>
      </c>
      <c r="C119" s="267"/>
      <c r="D119" s="268"/>
      <c r="E119" s="269" t="s">
        <v>264</v>
      </c>
      <c r="F119" s="270"/>
      <c r="G119" s="271"/>
      <c r="H119" s="272"/>
      <c r="I119" s="272"/>
      <c r="J119" s="273"/>
      <c r="K119" s="27"/>
    </row>
    <row r="120" spans="2:11" s="17" customFormat="1" x14ac:dyDescent="0.25">
      <c r="B120" s="302" t="s">
        <v>58</v>
      </c>
      <c r="C120" s="267"/>
      <c r="D120" s="268"/>
      <c r="E120" s="268"/>
      <c r="F120" s="270"/>
      <c r="G120" s="271"/>
      <c r="H120" s="272"/>
      <c r="I120" s="272"/>
      <c r="J120" s="273"/>
      <c r="K120" s="27"/>
    </row>
    <row r="121" spans="2:11" s="17" customFormat="1" x14ac:dyDescent="0.25">
      <c r="B121" s="302" t="s">
        <v>139</v>
      </c>
      <c r="C121" s="267"/>
      <c r="D121" s="268"/>
      <c r="E121" s="268"/>
      <c r="F121" s="270"/>
      <c r="G121" s="271"/>
      <c r="H121" s="272"/>
      <c r="I121" s="272"/>
      <c r="J121" s="273"/>
      <c r="K121" s="27"/>
    </row>
    <row r="122" spans="2:11" s="17" customFormat="1" x14ac:dyDescent="0.25">
      <c r="B122" s="302" t="s">
        <v>140</v>
      </c>
      <c r="C122" s="267"/>
      <c r="D122" s="268"/>
      <c r="E122" s="268"/>
      <c r="F122" s="270"/>
      <c r="G122" s="271"/>
      <c r="H122" s="272"/>
      <c r="I122" s="272"/>
      <c r="J122" s="273"/>
      <c r="K122" s="27"/>
    </row>
    <row r="123" spans="2:11" s="17" customFormat="1" x14ac:dyDescent="0.25">
      <c r="B123" s="302" t="s">
        <v>141</v>
      </c>
      <c r="C123" s="267"/>
      <c r="D123" s="268"/>
      <c r="E123" s="268"/>
      <c r="F123" s="270"/>
      <c r="G123" s="271"/>
      <c r="H123" s="272"/>
      <c r="I123" s="272"/>
      <c r="J123" s="273"/>
      <c r="K123" s="27"/>
    </row>
    <row r="124" spans="2:11" s="17" customFormat="1" ht="15.75" thickBot="1" x14ac:dyDescent="0.3">
      <c r="B124" s="226" t="str">
        <f>"SUBTOTAL DE "&amp;E118</f>
        <v>SUBTOTAL DE INSTALAÇÕES ELÉTRICAS</v>
      </c>
      <c r="C124" s="274"/>
      <c r="D124" s="275"/>
      <c r="E124" s="275"/>
      <c r="F124" s="276"/>
      <c r="G124" s="277"/>
      <c r="H124" s="278"/>
      <c r="I124" s="278"/>
      <c r="J124" s="232">
        <f>SUM(J119:J123)</f>
        <v>0</v>
      </c>
      <c r="K124" s="27"/>
    </row>
    <row r="125" spans="2:11" s="17" customFormat="1" ht="8.25" customHeight="1" x14ac:dyDescent="0.25">
      <c r="B125" s="164"/>
      <c r="C125" s="104"/>
      <c r="D125" s="106"/>
      <c r="E125" s="107"/>
      <c r="F125" s="108"/>
      <c r="G125" s="109"/>
      <c r="H125" s="122"/>
      <c r="I125" s="122"/>
      <c r="J125" s="165"/>
      <c r="K125" s="27"/>
    </row>
    <row r="126" spans="2:11" s="17" customFormat="1" x14ac:dyDescent="0.25">
      <c r="B126" s="249" t="s">
        <v>59</v>
      </c>
      <c r="C126" s="250"/>
      <c r="D126" s="251"/>
      <c r="E126" s="251" t="s">
        <v>82</v>
      </c>
      <c r="F126" s="252"/>
      <c r="G126" s="253"/>
      <c r="H126" s="254"/>
      <c r="I126" s="254"/>
      <c r="J126" s="255"/>
      <c r="K126" s="27"/>
    </row>
    <row r="127" spans="2:11" s="17" customFormat="1" ht="60" x14ac:dyDescent="0.25">
      <c r="B127" s="243" t="s">
        <v>60</v>
      </c>
      <c r="C127" s="101" t="s">
        <v>49</v>
      </c>
      <c r="D127" s="134">
        <v>10527</v>
      </c>
      <c r="E127" s="135" t="s">
        <v>127</v>
      </c>
      <c r="F127" s="136">
        <f>F128*3</f>
        <v>150</v>
      </c>
      <c r="G127" s="103" t="s">
        <v>128</v>
      </c>
      <c r="H127" s="119">
        <v>30</v>
      </c>
      <c r="I127" s="119">
        <f t="shared" ref="I127:I142" si="33">ROUND(H127+(H127*I$5),2)</f>
        <v>37.89</v>
      </c>
      <c r="J127" s="119">
        <f t="shared" ref="J127:J128" si="34">ROUND(I127*F127,2)</f>
        <v>5683.5</v>
      </c>
      <c r="K127" s="190" t="s">
        <v>216</v>
      </c>
    </row>
    <row r="128" spans="2:11" s="17" customFormat="1" ht="45" x14ac:dyDescent="0.25">
      <c r="B128" s="243" t="s">
        <v>137</v>
      </c>
      <c r="C128" s="101" t="s">
        <v>1</v>
      </c>
      <c r="D128" s="134">
        <v>97063</v>
      </c>
      <c r="E128" s="135" t="s">
        <v>126</v>
      </c>
      <c r="F128" s="136">
        <v>50</v>
      </c>
      <c r="G128" s="103" t="s">
        <v>26</v>
      </c>
      <c r="H128" s="119">
        <v>21.08</v>
      </c>
      <c r="I128" s="119">
        <f t="shared" si="33"/>
        <v>26.62</v>
      </c>
      <c r="J128" s="119">
        <f t="shared" si="34"/>
        <v>1331</v>
      </c>
      <c r="K128" s="27"/>
    </row>
    <row r="129" spans="2:15" s="17" customFormat="1" ht="30" x14ac:dyDescent="0.25">
      <c r="B129" s="243" t="s">
        <v>98</v>
      </c>
      <c r="C129" s="101" t="s">
        <v>1</v>
      </c>
      <c r="D129" s="134">
        <v>93287</v>
      </c>
      <c r="E129" s="135" t="s">
        <v>221</v>
      </c>
      <c r="F129" s="136">
        <v>30</v>
      </c>
      <c r="G129" s="103" t="s">
        <v>131</v>
      </c>
      <c r="H129" s="119">
        <v>363.06</v>
      </c>
      <c r="I129" s="119">
        <f>ROUND(H129+(H129*I$5),2)</f>
        <v>458.54</v>
      </c>
      <c r="J129" s="119">
        <f t="shared" ref="J129:J134" si="35">ROUND(I129*F129,2)</f>
        <v>13756.2</v>
      </c>
      <c r="K129" s="27"/>
    </row>
    <row r="130" spans="2:15" s="17" customFormat="1" ht="30" x14ac:dyDescent="0.25">
      <c r="B130" s="243" t="s">
        <v>236</v>
      </c>
      <c r="C130" s="101" t="s">
        <v>1</v>
      </c>
      <c r="D130" s="134">
        <v>93288</v>
      </c>
      <c r="E130" s="135" t="s">
        <v>221</v>
      </c>
      <c r="F130" s="136">
        <v>10</v>
      </c>
      <c r="G130" s="103" t="s">
        <v>132</v>
      </c>
      <c r="H130" s="119">
        <v>192.95</v>
      </c>
      <c r="I130" s="119">
        <f>ROUND(H130+(H130*I$5),2)</f>
        <v>243.7</v>
      </c>
      <c r="J130" s="119">
        <f t="shared" si="35"/>
        <v>2437</v>
      </c>
      <c r="K130" s="27"/>
    </row>
    <row r="131" spans="2:15" s="17" customFormat="1" ht="35.25" customHeight="1" x14ac:dyDescent="0.25">
      <c r="B131" s="243" t="s">
        <v>236</v>
      </c>
      <c r="C131" s="101" t="s">
        <v>1</v>
      </c>
      <c r="D131" s="134">
        <v>97649</v>
      </c>
      <c r="E131" s="135" t="s">
        <v>121</v>
      </c>
      <c r="F131" s="136">
        <f>360+734+41</f>
        <v>1135</v>
      </c>
      <c r="G131" s="103" t="s">
        <v>26</v>
      </c>
      <c r="H131" s="119">
        <v>4.83</v>
      </c>
      <c r="I131" s="119">
        <f t="shared" si="33"/>
        <v>6.1</v>
      </c>
      <c r="J131" s="119">
        <f t="shared" si="35"/>
        <v>6923.5</v>
      </c>
      <c r="K131" s="27"/>
    </row>
    <row r="132" spans="2:15" s="17" customFormat="1" ht="35.25" customHeight="1" x14ac:dyDescent="0.25">
      <c r="B132" s="243" t="s">
        <v>265</v>
      </c>
      <c r="C132" s="101" t="s">
        <v>1</v>
      </c>
      <c r="D132" s="134">
        <v>97650</v>
      </c>
      <c r="E132" s="135" t="s">
        <v>122</v>
      </c>
      <c r="F132" s="136">
        <f>41+(F131*0.3)</f>
        <v>381.5</v>
      </c>
      <c r="G132" s="103" t="s">
        <v>26</v>
      </c>
      <c r="H132" s="119">
        <v>8.2200000000000006</v>
      </c>
      <c r="I132" s="119">
        <f t="shared" si="33"/>
        <v>10.38</v>
      </c>
      <c r="J132" s="119">
        <f t="shared" si="35"/>
        <v>3959.97</v>
      </c>
      <c r="K132" s="27" t="s">
        <v>361</v>
      </c>
    </row>
    <row r="133" spans="2:15" s="17" customFormat="1" ht="18" customHeight="1" x14ac:dyDescent="0.25">
      <c r="B133" s="243" t="s">
        <v>266</v>
      </c>
      <c r="C133" s="101" t="s">
        <v>1</v>
      </c>
      <c r="D133" s="134">
        <v>104803</v>
      </c>
      <c r="E133" s="135" t="s">
        <v>214</v>
      </c>
      <c r="F133" s="136">
        <v>196.4</v>
      </c>
      <c r="G133" s="103" t="s">
        <v>19</v>
      </c>
      <c r="H133" s="119">
        <v>4.8499999999999996</v>
      </c>
      <c r="I133" s="119">
        <f t="shared" si="33"/>
        <v>6.13</v>
      </c>
      <c r="J133" s="119">
        <f t="shared" si="35"/>
        <v>1203.93</v>
      </c>
      <c r="K133" s="27"/>
    </row>
    <row r="134" spans="2:15" s="17" customFormat="1" ht="45" x14ac:dyDescent="0.25">
      <c r="B134" s="243" t="s">
        <v>267</v>
      </c>
      <c r="C134" s="101" t="s">
        <v>1</v>
      </c>
      <c r="D134" s="134">
        <v>92543</v>
      </c>
      <c r="E134" s="135" t="s">
        <v>215</v>
      </c>
      <c r="F134" s="136">
        <f>F132</f>
        <v>381.5</v>
      </c>
      <c r="G134" s="103" t="s">
        <v>26</v>
      </c>
      <c r="H134" s="119">
        <v>25.42</v>
      </c>
      <c r="I134" s="119">
        <f t="shared" si="33"/>
        <v>32.11</v>
      </c>
      <c r="J134" s="119">
        <f t="shared" si="35"/>
        <v>12249.97</v>
      </c>
      <c r="K134" s="27"/>
    </row>
    <row r="135" spans="2:15" s="17" customFormat="1" ht="30" x14ac:dyDescent="0.25">
      <c r="B135" s="243" t="s">
        <v>268</v>
      </c>
      <c r="C135" s="101" t="s">
        <v>1</v>
      </c>
      <c r="D135" s="134">
        <v>94213</v>
      </c>
      <c r="E135" s="135" t="s">
        <v>123</v>
      </c>
      <c r="F135" s="136">
        <f>F131</f>
        <v>1135</v>
      </c>
      <c r="G135" s="103" t="s">
        <v>26</v>
      </c>
      <c r="H135" s="119">
        <v>58.11</v>
      </c>
      <c r="I135" s="119">
        <f t="shared" si="33"/>
        <v>73.39</v>
      </c>
      <c r="J135" s="119">
        <f t="shared" ref="J135:J142" si="36">ROUND(I135*F135,2)</f>
        <v>83297.649999999994</v>
      </c>
      <c r="K135" s="27"/>
    </row>
    <row r="136" spans="2:15" s="33" customFormat="1" ht="30" x14ac:dyDescent="0.25">
      <c r="B136" s="243" t="s">
        <v>269</v>
      </c>
      <c r="C136" s="101" t="s">
        <v>1</v>
      </c>
      <c r="D136" s="134">
        <v>94227</v>
      </c>
      <c r="E136" s="135" t="s">
        <v>124</v>
      </c>
      <c r="F136" s="136">
        <v>212</v>
      </c>
      <c r="G136" s="103" t="s">
        <v>19</v>
      </c>
      <c r="H136" s="119">
        <v>73.040000000000006</v>
      </c>
      <c r="I136" s="119">
        <f t="shared" si="33"/>
        <v>92.25</v>
      </c>
      <c r="J136" s="119">
        <f t="shared" si="36"/>
        <v>19557</v>
      </c>
      <c r="K136" s="38"/>
      <c r="L136"/>
      <c r="M136"/>
      <c r="N136"/>
      <c r="O136"/>
    </row>
    <row r="137" spans="2:15" s="18" customFormat="1" ht="30" x14ac:dyDescent="0.25">
      <c r="B137" s="243" t="s">
        <v>270</v>
      </c>
      <c r="C137" s="101" t="s">
        <v>1</v>
      </c>
      <c r="D137" s="134">
        <v>94227</v>
      </c>
      <c r="E137" s="135" t="s">
        <v>130</v>
      </c>
      <c r="F137" s="136">
        <v>123</v>
      </c>
      <c r="G137" s="103" t="s">
        <v>19</v>
      </c>
      <c r="H137" s="119">
        <v>73.040000000000006</v>
      </c>
      <c r="I137" s="119">
        <f t="shared" si="33"/>
        <v>92.25</v>
      </c>
      <c r="J137" s="119">
        <f t="shared" si="36"/>
        <v>11346.75</v>
      </c>
      <c r="K137" s="37"/>
      <c r="L137"/>
      <c r="M137"/>
      <c r="N137"/>
      <c r="O137"/>
    </row>
    <row r="138" spans="2:15" s="18" customFormat="1" ht="30" x14ac:dyDescent="0.25">
      <c r="B138" s="243" t="s">
        <v>271</v>
      </c>
      <c r="C138" s="101" t="s">
        <v>1</v>
      </c>
      <c r="D138" s="134">
        <v>100327</v>
      </c>
      <c r="E138" s="135" t="s">
        <v>125</v>
      </c>
      <c r="F138" s="136">
        <v>13</v>
      </c>
      <c r="G138" s="103" t="s">
        <v>19</v>
      </c>
      <c r="H138" s="119">
        <v>67.260000000000005</v>
      </c>
      <c r="I138" s="119">
        <f t="shared" si="33"/>
        <v>84.95</v>
      </c>
      <c r="J138" s="119">
        <f t="shared" si="36"/>
        <v>1104.3499999999999</v>
      </c>
      <c r="K138" s="37"/>
      <c r="L138"/>
      <c r="M138"/>
      <c r="N138"/>
      <c r="O138"/>
    </row>
    <row r="139" spans="2:15" s="18" customFormat="1" ht="30" x14ac:dyDescent="0.25">
      <c r="B139" s="243" t="s">
        <v>272</v>
      </c>
      <c r="C139" s="101" t="s">
        <v>1</v>
      </c>
      <c r="D139" s="134">
        <v>43614</v>
      </c>
      <c r="E139" s="135" t="s">
        <v>353</v>
      </c>
      <c r="F139" s="136">
        <v>212</v>
      </c>
      <c r="G139" s="103" t="s">
        <v>19</v>
      </c>
      <c r="H139" s="119">
        <v>14.54</v>
      </c>
      <c r="I139" s="119">
        <f t="shared" ref="I139" si="37">ROUND(H139+(H139*I$5),2)</f>
        <v>18.36</v>
      </c>
      <c r="J139" s="119">
        <f t="shared" ref="J139" si="38">ROUND(I139*F139,2)</f>
        <v>3892.32</v>
      </c>
      <c r="K139" s="37"/>
      <c r="L139"/>
      <c r="M139"/>
      <c r="N139"/>
      <c r="O139"/>
    </row>
    <row r="140" spans="2:15" s="20" customFormat="1" ht="17.100000000000001" customHeight="1" x14ac:dyDescent="0.25">
      <c r="B140" s="243" t="s">
        <v>273</v>
      </c>
      <c r="C140" s="101" t="s">
        <v>1</v>
      </c>
      <c r="D140" s="134">
        <v>88323</v>
      </c>
      <c r="E140" s="135" t="s">
        <v>83</v>
      </c>
      <c r="F140" s="136">
        <v>100</v>
      </c>
      <c r="G140" s="103" t="s">
        <v>34</v>
      </c>
      <c r="H140" s="119">
        <v>27.25</v>
      </c>
      <c r="I140" s="119">
        <f t="shared" si="33"/>
        <v>34.42</v>
      </c>
      <c r="J140" s="119">
        <f t="shared" si="36"/>
        <v>3442</v>
      </c>
      <c r="K140" s="65"/>
      <c r="L140"/>
      <c r="M140"/>
      <c r="N140"/>
      <c r="O140"/>
    </row>
    <row r="141" spans="2:15" s="20" customFormat="1" ht="30" x14ac:dyDescent="0.25">
      <c r="B141" s="243" t="s">
        <v>274</v>
      </c>
      <c r="C141" s="101" t="s">
        <v>1</v>
      </c>
      <c r="D141" s="244">
        <v>97640</v>
      </c>
      <c r="E141" s="195" t="s">
        <v>219</v>
      </c>
      <c r="F141" s="136">
        <f>60.24+91.76</f>
        <v>152</v>
      </c>
      <c r="G141" s="103" t="s">
        <v>26</v>
      </c>
      <c r="H141" s="119">
        <v>2.17</v>
      </c>
      <c r="I141" s="119">
        <f t="shared" si="33"/>
        <v>2.74</v>
      </c>
      <c r="J141" s="119">
        <f t="shared" si="36"/>
        <v>416.48</v>
      </c>
      <c r="K141" s="65"/>
      <c r="L141"/>
      <c r="M141"/>
      <c r="N141"/>
      <c r="O141"/>
    </row>
    <row r="142" spans="2:15" s="17" customFormat="1" ht="30" x14ac:dyDescent="0.25">
      <c r="B142" s="243" t="s">
        <v>352</v>
      </c>
      <c r="C142" s="101" t="s">
        <v>1</v>
      </c>
      <c r="D142" s="134">
        <v>96486</v>
      </c>
      <c r="E142" s="195" t="s">
        <v>220</v>
      </c>
      <c r="F142" s="136">
        <v>185</v>
      </c>
      <c r="G142" s="103" t="s">
        <v>26</v>
      </c>
      <c r="H142" s="119">
        <v>88.71</v>
      </c>
      <c r="I142" s="119">
        <f t="shared" si="33"/>
        <v>112.04</v>
      </c>
      <c r="J142" s="119">
        <f t="shared" si="36"/>
        <v>20727.400000000001</v>
      </c>
      <c r="K142" s="27" t="s">
        <v>355</v>
      </c>
      <c r="L142"/>
      <c r="M142"/>
      <c r="N142"/>
      <c r="O142"/>
    </row>
    <row r="143" spans="2:15" s="17" customFormat="1" ht="30" x14ac:dyDescent="0.25">
      <c r="B143" s="243" t="s">
        <v>354</v>
      </c>
      <c r="C143" s="101" t="s">
        <v>1</v>
      </c>
      <c r="D143" s="330">
        <v>102193</v>
      </c>
      <c r="E143" s="195" t="s">
        <v>357</v>
      </c>
      <c r="F143" s="136">
        <v>75</v>
      </c>
      <c r="G143" s="103" t="s">
        <v>26</v>
      </c>
      <c r="H143" s="119">
        <v>2.2000000000000002</v>
      </c>
      <c r="I143" s="119">
        <f t="shared" ref="I143" si="39">ROUND(H143+(H143*I$5),2)</f>
        <v>2.78</v>
      </c>
      <c r="J143" s="119">
        <f t="shared" ref="J143" si="40">ROUND(I143*F143,2)</f>
        <v>208.5</v>
      </c>
      <c r="K143" s="27"/>
      <c r="L143"/>
      <c r="M143"/>
      <c r="N143"/>
      <c r="O143"/>
    </row>
    <row r="144" spans="2:15" s="17" customFormat="1" ht="30" x14ac:dyDescent="0.25">
      <c r="B144" s="243" t="s">
        <v>356</v>
      </c>
      <c r="C144" s="101" t="s">
        <v>1</v>
      </c>
      <c r="D144" s="330">
        <v>102197</v>
      </c>
      <c r="E144" s="195" t="s">
        <v>359</v>
      </c>
      <c r="F144" s="136">
        <v>75</v>
      </c>
      <c r="G144" s="103" t="s">
        <v>26</v>
      </c>
      <c r="H144" s="119">
        <v>31.18</v>
      </c>
      <c r="I144" s="119">
        <f t="shared" ref="I144" si="41">ROUND(H144+(H144*I$5),2)</f>
        <v>39.380000000000003</v>
      </c>
      <c r="J144" s="119">
        <f t="shared" ref="J144" si="42">ROUND(I144*F144,2)</f>
        <v>2953.5</v>
      </c>
      <c r="K144" s="27"/>
      <c r="L144"/>
      <c r="M144"/>
      <c r="N144"/>
      <c r="O144"/>
    </row>
    <row r="145" spans="2:15" s="17" customFormat="1" ht="30" x14ac:dyDescent="0.25">
      <c r="B145" s="243" t="s">
        <v>358</v>
      </c>
      <c r="C145" s="101" t="s">
        <v>1</v>
      </c>
      <c r="D145" s="330">
        <v>102219</v>
      </c>
      <c r="E145" s="195" t="s">
        <v>360</v>
      </c>
      <c r="F145" s="136">
        <v>75</v>
      </c>
      <c r="G145" s="103" t="s">
        <v>26</v>
      </c>
      <c r="H145" s="119">
        <v>17.559999999999999</v>
      </c>
      <c r="I145" s="119">
        <f t="shared" ref="I145" si="43">ROUND(H145+(H145*I$5),2)</f>
        <v>22.18</v>
      </c>
      <c r="J145" s="119">
        <f t="shared" ref="J145" si="44">ROUND(I145*F145,2)</f>
        <v>1663.5</v>
      </c>
      <c r="K145" s="27"/>
      <c r="L145"/>
      <c r="M145"/>
      <c r="N145"/>
      <c r="O145"/>
    </row>
    <row r="146" spans="2:15" s="17" customFormat="1" ht="15.75" thickBot="1" x14ac:dyDescent="0.3">
      <c r="B146" s="218" t="str">
        <f>" TOTAL DE "&amp;E126</f>
        <v xml:space="preserve"> TOTAL DE TELHADO</v>
      </c>
      <c r="C146" s="219"/>
      <c r="D146" s="220"/>
      <c r="E146" s="221"/>
      <c r="F146" s="222"/>
      <c r="G146" s="223"/>
      <c r="H146" s="224"/>
      <c r="I146" s="224"/>
      <c r="J146" s="225">
        <f>SUM(J127:J145)</f>
        <v>196154.52000000002</v>
      </c>
      <c r="K146" s="27"/>
    </row>
    <row r="147" spans="2:15" s="17" customFormat="1" ht="9.75" customHeight="1" thickBot="1" x14ac:dyDescent="0.3">
      <c r="B147" s="164"/>
      <c r="C147" s="104"/>
      <c r="D147" s="106"/>
      <c r="E147" s="107"/>
      <c r="F147" s="108"/>
      <c r="G147" s="109"/>
      <c r="H147" s="122"/>
      <c r="I147" s="122"/>
      <c r="J147" s="165"/>
      <c r="K147" s="27"/>
    </row>
    <row r="148" spans="2:15" s="17" customFormat="1" x14ac:dyDescent="0.25">
      <c r="B148" s="157" t="s">
        <v>275</v>
      </c>
      <c r="C148" s="66"/>
      <c r="D148" s="67"/>
      <c r="E148" s="67" t="s">
        <v>86</v>
      </c>
      <c r="F148" s="68"/>
      <c r="G148" s="69"/>
      <c r="H148" s="118"/>
      <c r="I148" s="118"/>
      <c r="J148" s="158"/>
      <c r="K148" s="27"/>
    </row>
    <row r="149" spans="2:15" s="17" customFormat="1" x14ac:dyDescent="0.25">
      <c r="B149" s="100" t="s">
        <v>276</v>
      </c>
      <c r="C149" s="101" t="s">
        <v>1</v>
      </c>
      <c r="D149" s="134">
        <v>88316</v>
      </c>
      <c r="E149" s="102" t="s">
        <v>51</v>
      </c>
      <c r="F149" s="85">
        <v>60</v>
      </c>
      <c r="G149" s="103" t="s">
        <v>34</v>
      </c>
      <c r="H149" s="119">
        <v>23.48</v>
      </c>
      <c r="I149" s="119">
        <f>ROUND(H149+(H149*I$5),2)</f>
        <v>29.66</v>
      </c>
      <c r="J149" s="119">
        <f>ROUND(F149*I149,2)</f>
        <v>1779.6</v>
      </c>
      <c r="K149" s="27"/>
    </row>
    <row r="150" spans="2:15" s="17" customFormat="1" x14ac:dyDescent="0.25">
      <c r="B150" s="100" t="s">
        <v>277</v>
      </c>
      <c r="C150" s="101" t="s">
        <v>1</v>
      </c>
      <c r="D150" s="134">
        <v>99803</v>
      </c>
      <c r="E150" s="102" t="s">
        <v>85</v>
      </c>
      <c r="F150" s="85">
        <v>800</v>
      </c>
      <c r="G150" s="103" t="s">
        <v>26</v>
      </c>
      <c r="H150" s="119">
        <v>4.17</v>
      </c>
      <c r="I150" s="119">
        <f>ROUND(H150+(H150*I$5),2)</f>
        <v>5.27</v>
      </c>
      <c r="J150" s="119">
        <f>ROUND(F150*I150,2)</f>
        <v>4216</v>
      </c>
      <c r="K150" s="27"/>
    </row>
    <row r="151" spans="2:15" s="17" customFormat="1" ht="30" x14ac:dyDescent="0.25">
      <c r="B151" s="100" t="s">
        <v>278</v>
      </c>
      <c r="C151" s="101" t="s">
        <v>28</v>
      </c>
      <c r="D151" s="134"/>
      <c r="E151" s="102" t="s">
        <v>157</v>
      </c>
      <c r="F151" s="85">
        <v>3.5</v>
      </c>
      <c r="G151" s="103" t="s">
        <v>26</v>
      </c>
      <c r="H151" s="119">
        <v>510</v>
      </c>
      <c r="I151" s="119">
        <f>ROUND(H151+(H151*I$5),2)</f>
        <v>644.13</v>
      </c>
      <c r="J151" s="119">
        <f>ROUND(F151*I151,2)</f>
        <v>2254.46</v>
      </c>
      <c r="K151" s="27"/>
    </row>
    <row r="152" spans="2:15" s="17" customFormat="1" ht="15.75" thickBot="1" x14ac:dyDescent="0.3">
      <c r="B152" s="218" t="str">
        <f>" TOTAL DE "&amp;E148</f>
        <v xml:space="preserve"> TOTAL DE SERVIÇOS COMPLEMENTARES</v>
      </c>
      <c r="C152" s="219"/>
      <c r="D152" s="220"/>
      <c r="E152" s="233"/>
      <c r="F152" s="222"/>
      <c r="G152" s="223"/>
      <c r="H152" s="224"/>
      <c r="I152" s="224"/>
      <c r="J152" s="225">
        <f>SUM(J149:J151)</f>
        <v>8250.0600000000013</v>
      </c>
      <c r="K152" s="27"/>
    </row>
    <row r="153" spans="2:15" s="17" customFormat="1" ht="15.75" thickBot="1" x14ac:dyDescent="0.3">
      <c r="B153" s="234"/>
      <c r="C153" s="200"/>
      <c r="D153" s="201"/>
      <c r="E153" s="202" t="s">
        <v>2</v>
      </c>
      <c r="F153" s="203"/>
      <c r="G153" s="204"/>
      <c r="H153" s="205"/>
      <c r="I153" s="205"/>
      <c r="J153" s="235">
        <f>J16+J25+J37+J74+J91+J108+J116+J146+J152+J124</f>
        <v>557471.56000000006</v>
      </c>
      <c r="K153" s="27"/>
    </row>
    <row r="154" spans="2:15" x14ac:dyDescent="0.25">
      <c r="B154" s="166"/>
      <c r="C154" s="56"/>
      <c r="D154" s="48"/>
      <c r="E154" s="60"/>
      <c r="F154" s="29"/>
      <c r="G154" s="30"/>
      <c r="H154" s="160"/>
      <c r="I154" s="160"/>
      <c r="J154" s="161"/>
    </row>
    <row r="155" spans="2:15" x14ac:dyDescent="0.25">
      <c r="B155" s="166"/>
      <c r="C155" s="56"/>
      <c r="D155" s="48"/>
      <c r="E155" s="60"/>
      <c r="F155" s="29"/>
      <c r="G155" s="360" t="s">
        <v>239</v>
      </c>
      <c r="H155" s="360"/>
      <c r="I155" s="360"/>
      <c r="J155" s="361"/>
    </row>
    <row r="156" spans="2:15" x14ac:dyDescent="0.25">
      <c r="B156" s="166"/>
      <c r="C156" s="56"/>
      <c r="D156" s="48"/>
      <c r="E156" s="60"/>
      <c r="F156" s="29"/>
      <c r="G156" s="245"/>
      <c r="H156" s="245"/>
      <c r="I156" s="245"/>
      <c r="J156" s="246"/>
    </row>
    <row r="157" spans="2:15" x14ac:dyDescent="0.25">
      <c r="B157" s="166"/>
      <c r="C157" s="56"/>
      <c r="D157" s="48"/>
      <c r="E157" s="60"/>
      <c r="F157" s="29"/>
      <c r="G157" s="245"/>
      <c r="H157" s="245"/>
      <c r="I157" s="245"/>
      <c r="J157" s="246"/>
    </row>
    <row r="158" spans="2:15" x14ac:dyDescent="0.25">
      <c r="B158" s="166"/>
      <c r="C158" s="56"/>
      <c r="D158" s="48"/>
      <c r="E158" s="60"/>
      <c r="F158" s="29"/>
      <c r="G158" s="245"/>
      <c r="H158" s="245"/>
      <c r="I158" s="245"/>
      <c r="J158" s="246"/>
    </row>
    <row r="159" spans="2:15" s="111" customFormat="1" x14ac:dyDescent="0.25">
      <c r="B159" s="166"/>
      <c r="C159" s="56"/>
      <c r="D159" s="48"/>
      <c r="E159" s="30" t="s">
        <v>20</v>
      </c>
      <c r="F159" s="30"/>
      <c r="G159" s="31"/>
      <c r="H159" s="160"/>
      <c r="I159" s="160"/>
      <c r="J159" s="161"/>
      <c r="K159" s="1"/>
      <c r="L159"/>
      <c r="M159"/>
      <c r="N159"/>
    </row>
    <row r="160" spans="2:15" x14ac:dyDescent="0.25">
      <c r="B160" s="166"/>
      <c r="C160" s="56"/>
      <c r="D160" s="48"/>
      <c r="E160" s="32" t="s">
        <v>87</v>
      </c>
      <c r="F160" s="30"/>
      <c r="G160" s="31"/>
      <c r="H160" s="160"/>
      <c r="I160" s="160"/>
      <c r="J160" s="161"/>
    </row>
    <row r="161" spans="2:19" x14ac:dyDescent="0.25">
      <c r="B161" s="164"/>
      <c r="C161" s="104"/>
      <c r="D161" s="167"/>
      <c r="E161" s="168" t="s">
        <v>88</v>
      </c>
      <c r="F161" s="109"/>
      <c r="G161" s="169"/>
      <c r="H161" s="170"/>
      <c r="I161" s="170"/>
      <c r="J161" s="171"/>
    </row>
    <row r="162" spans="2:19" x14ac:dyDescent="0.25">
      <c r="B162" s="28"/>
      <c r="C162" s="56"/>
      <c r="D162" s="48"/>
      <c r="E162" s="19"/>
      <c r="F162" s="29"/>
      <c r="G162" s="31"/>
      <c r="H162" s="120"/>
      <c r="I162" s="120"/>
      <c r="J162" s="120"/>
    </row>
    <row r="165" spans="2:19" s="111" customFormat="1" x14ac:dyDescent="0.25">
      <c r="B165" s="13"/>
      <c r="C165" s="173"/>
      <c r="D165" s="174"/>
      <c r="E165" s="175"/>
      <c r="F165" s="176"/>
      <c r="G165" s="177"/>
      <c r="H165" s="178"/>
      <c r="I165" s="178"/>
      <c r="K165" s="1"/>
      <c r="L165"/>
      <c r="M165"/>
      <c r="N165"/>
      <c r="O165"/>
      <c r="P165"/>
      <c r="Q165"/>
      <c r="R165"/>
      <c r="S165"/>
    </row>
    <row r="166" spans="2:19" s="111" customFormat="1" x14ac:dyDescent="0.25">
      <c r="B166" s="13"/>
      <c r="C166" s="51"/>
      <c r="D166" s="174"/>
      <c r="E166" s="175"/>
      <c r="F166" s="176"/>
      <c r="G166" s="177"/>
      <c r="H166" s="178"/>
      <c r="I166" s="178"/>
      <c r="K166" s="1"/>
      <c r="L166"/>
      <c r="M166"/>
      <c r="N166"/>
      <c r="O166"/>
      <c r="P166"/>
      <c r="Q166"/>
      <c r="R166"/>
      <c r="S166"/>
    </row>
    <row r="168" spans="2:19" s="111" customFormat="1" x14ac:dyDescent="0.25">
      <c r="B168" s="13"/>
      <c r="C168" s="210"/>
      <c r="D168" s="41"/>
      <c r="E168" s="57"/>
      <c r="F168" s="39"/>
      <c r="G168" s="2"/>
      <c r="H168" s="110"/>
      <c r="I168" s="110"/>
      <c r="K168" s="1"/>
      <c r="L168"/>
      <c r="M168"/>
      <c r="N168"/>
      <c r="O168"/>
      <c r="P168"/>
      <c r="Q168"/>
      <c r="R168"/>
      <c r="S168"/>
    </row>
    <row r="169" spans="2:19" x14ac:dyDescent="0.25">
      <c r="C169" s="179"/>
    </row>
    <row r="170" spans="2:19" x14ac:dyDescent="0.25">
      <c r="C170" s="179"/>
    </row>
  </sheetData>
  <mergeCells count="10">
    <mergeCell ref="N66:Q66"/>
    <mergeCell ref="N103:O103"/>
    <mergeCell ref="G155:J155"/>
    <mergeCell ref="E3:F4"/>
    <mergeCell ref="H3:I3"/>
    <mergeCell ref="I4:J4"/>
    <mergeCell ref="B7:J7"/>
    <mergeCell ref="G8:J8"/>
    <mergeCell ref="C9:E9"/>
    <mergeCell ref="G9:I9"/>
  </mergeCells>
  <phoneticPr fontId="29" type="noConversion"/>
  <conditionalFormatting sqref="G10:I12">
    <cfRule type="cellIs" dxfId="13" priority="12" stopIfTrue="1" operator="equal">
      <formula>0</formula>
    </cfRule>
  </conditionalFormatting>
  <conditionalFormatting sqref="G18:I18">
    <cfRule type="cellIs" dxfId="12" priority="9" stopIfTrue="1" operator="equal">
      <formula>0</formula>
    </cfRule>
  </conditionalFormatting>
  <conditionalFormatting sqref="G27:I27">
    <cfRule type="cellIs" dxfId="11" priority="5" stopIfTrue="1" operator="equal">
      <formula>0</formula>
    </cfRule>
  </conditionalFormatting>
  <conditionalFormatting sqref="G39:I39">
    <cfRule type="cellIs" dxfId="10" priority="10" stopIfTrue="1" operator="equal">
      <formula>0</formula>
    </cfRule>
  </conditionalFormatting>
  <conditionalFormatting sqref="G75:I77">
    <cfRule type="cellIs" dxfId="9" priority="8" stopIfTrue="1" operator="equal">
      <formula>0</formula>
    </cfRule>
  </conditionalFormatting>
  <conditionalFormatting sqref="G80:I80">
    <cfRule type="cellIs" dxfId="8" priority="7" stopIfTrue="1" operator="equal">
      <formula>0</formula>
    </cfRule>
  </conditionalFormatting>
  <conditionalFormatting sqref="G86:I86">
    <cfRule type="cellIs" dxfId="7" priority="3" stopIfTrue="1" operator="equal">
      <formula>0</formula>
    </cfRule>
  </conditionalFormatting>
  <conditionalFormatting sqref="G93:I93">
    <cfRule type="cellIs" dxfId="6" priority="6" stopIfTrue="1" operator="equal">
      <formula>0</formula>
    </cfRule>
  </conditionalFormatting>
  <conditionalFormatting sqref="G110:I110">
    <cfRule type="cellIs" dxfId="5" priority="4" stopIfTrue="1" operator="equal">
      <formula>0</formula>
    </cfRule>
  </conditionalFormatting>
  <conditionalFormatting sqref="G118:I124">
    <cfRule type="cellIs" dxfId="4" priority="1" stopIfTrue="1" operator="equal">
      <formula>0</formula>
    </cfRule>
  </conditionalFormatting>
  <conditionalFormatting sqref="G126:I126">
    <cfRule type="cellIs" dxfId="3" priority="11" stopIfTrue="1" operator="equal">
      <formula>0</formula>
    </cfRule>
  </conditionalFormatting>
  <conditionalFormatting sqref="G148:I148">
    <cfRule type="cellIs" dxfId="2" priority="13" stopIfTrue="1" operator="equal">
      <formula>0</formula>
    </cfRule>
  </conditionalFormatting>
  <printOptions horizontalCentered="1"/>
  <pageMargins left="0.47244094488188981" right="0.47244094488188981" top="0.39370078740157483" bottom="0.39370078740157483" header="0" footer="0"/>
  <pageSetup paperSize="9" scale="78" firstPageNumber="0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2EF9E-98F1-4F06-AF59-52DBBB0F6902}">
  <dimension ref="B2:M48"/>
  <sheetViews>
    <sheetView topLeftCell="A7" workbookViewId="0">
      <selection activeCell="F51" sqref="F51"/>
    </sheetView>
  </sheetViews>
  <sheetFormatPr defaultRowHeight="15" x14ac:dyDescent="0.25"/>
  <cols>
    <col min="5" max="5" width="11.42578125" customWidth="1"/>
    <col min="6" max="6" width="10.42578125" customWidth="1"/>
    <col min="7" max="7" width="16.85546875" customWidth="1"/>
    <col min="8" max="8" width="18.42578125" bestFit="1" customWidth="1"/>
    <col min="13" max="13" width="64.85546875" customWidth="1"/>
  </cols>
  <sheetData>
    <row r="2" spans="2:13" x14ac:dyDescent="0.25">
      <c r="B2" s="379" t="s">
        <v>320</v>
      </c>
      <c r="C2" s="380"/>
      <c r="D2" s="380"/>
      <c r="E2" s="381"/>
    </row>
    <row r="3" spans="2:13" x14ac:dyDescent="0.25">
      <c r="B3" s="375" t="s">
        <v>319</v>
      </c>
      <c r="C3" s="376"/>
      <c r="D3" s="317"/>
      <c r="E3" s="318"/>
      <c r="H3" t="s">
        <v>322</v>
      </c>
    </row>
    <row r="4" spans="2:13" x14ac:dyDescent="0.25">
      <c r="B4" s="377"/>
      <c r="C4" s="378"/>
      <c r="D4" t="s">
        <v>197</v>
      </c>
      <c r="E4" s="319" t="s">
        <v>22</v>
      </c>
    </row>
    <row r="5" spans="2:13" x14ac:dyDescent="0.25">
      <c r="B5" s="320">
        <v>0.9</v>
      </c>
      <c r="C5">
        <v>1.5</v>
      </c>
      <c r="D5">
        <v>2</v>
      </c>
      <c r="E5" s="319">
        <f>B5*C5*D5</f>
        <v>2.7</v>
      </c>
      <c r="H5" t="s">
        <v>257</v>
      </c>
      <c r="I5">
        <v>91.05</v>
      </c>
      <c r="J5">
        <v>2.8</v>
      </c>
      <c r="K5">
        <f>I5*J5</f>
        <v>254.93999999999997</v>
      </c>
      <c r="M5" t="s">
        <v>323</v>
      </c>
    </row>
    <row r="6" spans="2:13" x14ac:dyDescent="0.25">
      <c r="B6" s="320">
        <v>2</v>
      </c>
      <c r="C6">
        <v>1.2</v>
      </c>
      <c r="D6">
        <v>3</v>
      </c>
      <c r="E6" s="319">
        <f t="shared" ref="E6:E18" si="0">B6*C6*D6</f>
        <v>7.1999999999999993</v>
      </c>
      <c r="I6">
        <v>158.46</v>
      </c>
      <c r="J6">
        <v>3.2</v>
      </c>
      <c r="K6">
        <f>I6*J6</f>
        <v>507.07200000000006</v>
      </c>
      <c r="M6" t="s">
        <v>324</v>
      </c>
    </row>
    <row r="7" spans="2:13" x14ac:dyDescent="0.25">
      <c r="B7" s="320">
        <v>2</v>
      </c>
      <c r="C7">
        <v>1.5</v>
      </c>
      <c r="D7">
        <v>2</v>
      </c>
      <c r="E7" s="319">
        <f t="shared" si="0"/>
        <v>6</v>
      </c>
      <c r="H7" t="s">
        <v>325</v>
      </c>
      <c r="K7" s="315">
        <v>57.64</v>
      </c>
    </row>
    <row r="8" spans="2:13" x14ac:dyDescent="0.25">
      <c r="B8" s="320">
        <v>3.8</v>
      </c>
      <c r="C8">
        <v>0.7</v>
      </c>
      <c r="D8">
        <v>3</v>
      </c>
      <c r="E8" s="319">
        <f t="shared" si="0"/>
        <v>7.9799999999999986</v>
      </c>
      <c r="K8">
        <f>(K5+K6)-K7</f>
        <v>704.37200000000007</v>
      </c>
      <c r="L8" t="s">
        <v>258</v>
      </c>
    </row>
    <row r="9" spans="2:13" x14ac:dyDescent="0.25">
      <c r="B9" s="320">
        <v>0.9</v>
      </c>
      <c r="C9">
        <v>2.1</v>
      </c>
      <c r="D9">
        <v>2</v>
      </c>
      <c r="E9" s="319">
        <f t="shared" si="0"/>
        <v>3.7800000000000002</v>
      </c>
    </row>
    <row r="10" spans="2:13" x14ac:dyDescent="0.25">
      <c r="B10" s="320">
        <v>1.4</v>
      </c>
      <c r="C10">
        <v>2.1</v>
      </c>
      <c r="D10">
        <v>1</v>
      </c>
      <c r="E10" s="319">
        <f t="shared" si="0"/>
        <v>2.94</v>
      </c>
      <c r="H10" t="s">
        <v>259</v>
      </c>
      <c r="I10">
        <v>614.17999999999995</v>
      </c>
      <c r="J10">
        <v>2.8</v>
      </c>
      <c r="K10">
        <f>I10*J10</f>
        <v>1719.7039999999997</v>
      </c>
    </row>
    <row r="11" spans="2:13" x14ac:dyDescent="0.25">
      <c r="B11" s="320">
        <v>2</v>
      </c>
      <c r="C11">
        <v>1.05</v>
      </c>
      <c r="D11">
        <f>2+5+4</f>
        <v>11</v>
      </c>
      <c r="E11" s="319">
        <f t="shared" si="0"/>
        <v>23.1</v>
      </c>
      <c r="H11" t="s">
        <v>325</v>
      </c>
      <c r="K11" s="315">
        <v>53.5</v>
      </c>
    </row>
    <row r="12" spans="2:13" x14ac:dyDescent="0.25">
      <c r="B12" s="320">
        <v>1.05</v>
      </c>
      <c r="C12">
        <v>1.05</v>
      </c>
      <c r="D12">
        <v>1</v>
      </c>
      <c r="E12" s="319">
        <f t="shared" si="0"/>
        <v>1.1025</v>
      </c>
      <c r="K12">
        <f>K10-K11</f>
        <v>1666.2039999999997</v>
      </c>
    </row>
    <row r="13" spans="2:13" x14ac:dyDescent="0.25">
      <c r="B13" s="320">
        <v>0.9</v>
      </c>
      <c r="C13">
        <v>0.6</v>
      </c>
      <c r="D13">
        <v>8</v>
      </c>
      <c r="E13" s="319">
        <f t="shared" si="0"/>
        <v>4.32</v>
      </c>
    </row>
    <row r="14" spans="2:13" x14ac:dyDescent="0.25">
      <c r="B14" s="320">
        <v>7.8</v>
      </c>
      <c r="C14">
        <v>1.2</v>
      </c>
      <c r="D14">
        <v>2</v>
      </c>
      <c r="E14" s="319">
        <f t="shared" si="0"/>
        <v>18.72</v>
      </c>
      <c r="H14" t="s">
        <v>332</v>
      </c>
      <c r="K14">
        <f>K12+K8</f>
        <v>2370.576</v>
      </c>
    </row>
    <row r="15" spans="2:13" x14ac:dyDescent="0.25">
      <c r="B15" s="320">
        <v>1</v>
      </c>
      <c r="C15">
        <v>0.6</v>
      </c>
      <c r="D15">
        <v>1</v>
      </c>
      <c r="E15" s="319">
        <f t="shared" si="0"/>
        <v>0.6</v>
      </c>
    </row>
    <row r="16" spans="2:13" x14ac:dyDescent="0.25">
      <c r="B16" s="320">
        <v>3.85</v>
      </c>
      <c r="C16">
        <v>1.05</v>
      </c>
      <c r="D16">
        <f>4+2+12</f>
        <v>18</v>
      </c>
      <c r="E16" s="319">
        <f t="shared" si="0"/>
        <v>72.765000000000015</v>
      </c>
    </row>
    <row r="17" spans="2:7" x14ac:dyDescent="0.25">
      <c r="B17" s="320">
        <v>2.85</v>
      </c>
      <c r="C17">
        <v>0.6</v>
      </c>
      <c r="D17">
        <v>1</v>
      </c>
      <c r="E17" s="319">
        <f t="shared" si="0"/>
        <v>1.71</v>
      </c>
    </row>
    <row r="18" spans="2:7" x14ac:dyDescent="0.25">
      <c r="B18" s="321">
        <v>3.9</v>
      </c>
      <c r="C18" s="322">
        <v>0.6</v>
      </c>
      <c r="D18" s="322">
        <v>1</v>
      </c>
      <c r="E18" s="323">
        <f t="shared" si="0"/>
        <v>2.34</v>
      </c>
    </row>
    <row r="19" spans="2:7" x14ac:dyDescent="0.25">
      <c r="E19" s="316">
        <f>SUM(E5:E18)</f>
        <v>155.25750000000002</v>
      </c>
    </row>
    <row r="20" spans="2:7" x14ac:dyDescent="0.25">
      <c r="B20" s="378" t="s">
        <v>321</v>
      </c>
      <c r="C20" s="378"/>
      <c r="D20" s="378"/>
      <c r="E20">
        <f>E19*2</f>
        <v>310.51500000000004</v>
      </c>
    </row>
    <row r="22" spans="2:7" x14ac:dyDescent="0.25">
      <c r="B22" s="378" t="s">
        <v>331</v>
      </c>
      <c r="C22" s="378"/>
      <c r="D22" s="378"/>
      <c r="E22" s="378"/>
      <c r="F22" s="378"/>
      <c r="G22" s="378"/>
    </row>
    <row r="23" spans="2:7" x14ac:dyDescent="0.25">
      <c r="B23" t="s">
        <v>257</v>
      </c>
      <c r="D23" t="s">
        <v>326</v>
      </c>
      <c r="E23" t="s">
        <v>327</v>
      </c>
      <c r="F23" t="s">
        <v>328</v>
      </c>
      <c r="G23" t="s">
        <v>329</v>
      </c>
    </row>
    <row r="24" spans="2:7" x14ac:dyDescent="0.25">
      <c r="B24">
        <v>2</v>
      </c>
      <c r="C24">
        <v>1.5</v>
      </c>
      <c r="D24">
        <f>B24*C24</f>
        <v>3</v>
      </c>
      <c r="E24">
        <f>D24-2</f>
        <v>1</v>
      </c>
      <c r="F24">
        <v>2</v>
      </c>
      <c r="G24">
        <f>E24*F24</f>
        <v>2</v>
      </c>
    </row>
    <row r="25" spans="2:7" x14ac:dyDescent="0.25">
      <c r="B25">
        <v>2</v>
      </c>
      <c r="C25">
        <v>1.2</v>
      </c>
      <c r="D25">
        <f>B25*C25</f>
        <v>2.4</v>
      </c>
      <c r="E25">
        <f>D25-2</f>
        <v>0.39999999999999991</v>
      </c>
      <c r="F25">
        <v>3</v>
      </c>
      <c r="G25">
        <f>E25*F25</f>
        <v>1.1999999999999997</v>
      </c>
    </row>
    <row r="26" spans="2:7" x14ac:dyDescent="0.25">
      <c r="B26">
        <v>3.8</v>
      </c>
      <c r="C26">
        <v>0.7</v>
      </c>
      <c r="D26">
        <f>B26*C26</f>
        <v>2.6599999999999997</v>
      </c>
      <c r="E26">
        <f>D26-2</f>
        <v>0.6599999999999997</v>
      </c>
      <c r="F26">
        <v>3</v>
      </c>
      <c r="G26">
        <f>E26*F26</f>
        <v>1.9799999999999991</v>
      </c>
    </row>
    <row r="27" spans="2:7" x14ac:dyDescent="0.25">
      <c r="B27">
        <v>34.97</v>
      </c>
      <c r="C27">
        <v>1.5</v>
      </c>
      <c r="D27">
        <f>B27*C27</f>
        <v>52.454999999999998</v>
      </c>
      <c r="E27" t="s">
        <v>330</v>
      </c>
      <c r="G27">
        <f>D27</f>
        <v>52.454999999999998</v>
      </c>
    </row>
    <row r="28" spans="2:7" x14ac:dyDescent="0.25">
      <c r="G28" s="324">
        <f>SUM(G24:G27)</f>
        <v>57.634999999999998</v>
      </c>
    </row>
    <row r="30" spans="2:7" x14ac:dyDescent="0.25">
      <c r="B30" t="s">
        <v>259</v>
      </c>
      <c r="D30" t="s">
        <v>326</v>
      </c>
      <c r="E30" t="s">
        <v>327</v>
      </c>
      <c r="F30" t="s">
        <v>328</v>
      </c>
      <c r="G30" t="s">
        <v>329</v>
      </c>
    </row>
    <row r="31" spans="2:7" x14ac:dyDescent="0.25">
      <c r="B31">
        <v>2.0499999999999998</v>
      </c>
      <c r="C31">
        <v>1.05</v>
      </c>
      <c r="D31">
        <f>B31*C31</f>
        <v>2.1524999999999999</v>
      </c>
      <c r="E31">
        <f>D31-2</f>
        <v>0.15249999999999986</v>
      </c>
      <c r="F31">
        <v>11</v>
      </c>
      <c r="G31">
        <f>E31*F31</f>
        <v>1.6774999999999984</v>
      </c>
    </row>
    <row r="32" spans="2:7" x14ac:dyDescent="0.25">
      <c r="B32">
        <v>7.8</v>
      </c>
      <c r="C32">
        <v>1.2</v>
      </c>
      <c r="D32">
        <f>B32*C32</f>
        <v>9.36</v>
      </c>
      <c r="E32">
        <f>D32-2</f>
        <v>7.3599999999999994</v>
      </c>
      <c r="F32">
        <v>2</v>
      </c>
      <c r="G32">
        <f>E32*F32</f>
        <v>14.719999999999999</v>
      </c>
    </row>
    <row r="33" spans="2:12" x14ac:dyDescent="0.25">
      <c r="B33">
        <v>3.85</v>
      </c>
      <c r="C33">
        <v>1.05</v>
      </c>
      <c r="D33">
        <f>B33*C33</f>
        <v>4.0425000000000004</v>
      </c>
      <c r="E33">
        <f>D33-2</f>
        <v>2.0425000000000004</v>
      </c>
      <c r="F33">
        <v>18</v>
      </c>
      <c r="G33">
        <f>E33*F33</f>
        <v>36.765000000000008</v>
      </c>
    </row>
    <row r="34" spans="2:12" x14ac:dyDescent="0.25">
      <c r="B34">
        <v>3.9</v>
      </c>
      <c r="C34">
        <v>0.6</v>
      </c>
      <c r="D34">
        <f>B34*C34</f>
        <v>2.34</v>
      </c>
      <c r="E34">
        <f>D34-2</f>
        <v>0.33999999999999986</v>
      </c>
      <c r="F34">
        <v>1</v>
      </c>
      <c r="G34">
        <f>E34*F34</f>
        <v>0.33999999999999986</v>
      </c>
    </row>
    <row r="35" spans="2:12" x14ac:dyDescent="0.25">
      <c r="G35" s="315">
        <f>SUM(G31:G34)</f>
        <v>53.502500000000012</v>
      </c>
    </row>
    <row r="37" spans="2:12" x14ac:dyDescent="0.25">
      <c r="H37" t="s">
        <v>334</v>
      </c>
    </row>
    <row r="39" spans="2:12" x14ac:dyDescent="0.25">
      <c r="H39" t="s">
        <v>257</v>
      </c>
      <c r="I39">
        <v>50.2</v>
      </c>
      <c r="J39">
        <v>2.8</v>
      </c>
      <c r="K39">
        <f>I39*J39</f>
        <v>140.56</v>
      </c>
    </row>
    <row r="40" spans="2:12" x14ac:dyDescent="0.25">
      <c r="I40">
        <v>93.5</v>
      </c>
      <c r="J40">
        <v>3.2</v>
      </c>
      <c r="K40">
        <f>I40*J40</f>
        <v>299.2</v>
      </c>
    </row>
    <row r="41" spans="2:12" x14ac:dyDescent="0.25">
      <c r="H41" t="s">
        <v>325</v>
      </c>
      <c r="K41" s="315">
        <v>57.64</v>
      </c>
    </row>
    <row r="42" spans="2:12" x14ac:dyDescent="0.25">
      <c r="K42">
        <f>(K39+K40)-K41</f>
        <v>382.12</v>
      </c>
      <c r="L42" t="s">
        <v>258</v>
      </c>
    </row>
    <row r="44" spans="2:12" x14ac:dyDescent="0.25">
      <c r="H44" t="s">
        <v>259</v>
      </c>
      <c r="I44">
        <v>209.31</v>
      </c>
      <c r="J44">
        <v>2.8</v>
      </c>
      <c r="K44">
        <f>I44*J44</f>
        <v>586.06799999999998</v>
      </c>
    </row>
    <row r="45" spans="2:12" x14ac:dyDescent="0.25">
      <c r="H45" t="s">
        <v>325</v>
      </c>
      <c r="K45" s="315">
        <v>53.5</v>
      </c>
    </row>
    <row r="46" spans="2:12" x14ac:dyDescent="0.25">
      <c r="K46">
        <f>K44-K45</f>
        <v>532.56799999999998</v>
      </c>
    </row>
    <row r="48" spans="2:12" x14ac:dyDescent="0.25">
      <c r="H48" t="s">
        <v>332</v>
      </c>
      <c r="K48">
        <f>K46+K42</f>
        <v>914.68799999999999</v>
      </c>
    </row>
  </sheetData>
  <mergeCells count="4">
    <mergeCell ref="B3:C4"/>
    <mergeCell ref="B2:E2"/>
    <mergeCell ref="B20:D20"/>
    <mergeCell ref="B22:G22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EC9EA-2119-4BCD-B745-D30B7F5E2CCF}">
  <sheetPr>
    <tabColor theme="8" tint="0.59999389629810485"/>
    <pageSetUpPr fitToPage="1"/>
  </sheetPr>
  <dimension ref="B2:S56"/>
  <sheetViews>
    <sheetView tabSelected="1" view="pageBreakPreview" topLeftCell="A25" zoomScale="88" zoomScaleNormal="88" zoomScaleSheetLayoutView="88" zoomScalePageLayoutView="85" workbookViewId="0">
      <selection activeCell="B44" sqref="B44"/>
    </sheetView>
  </sheetViews>
  <sheetFormatPr defaultRowHeight="15" x14ac:dyDescent="0.25"/>
  <cols>
    <col min="2" max="2" width="9.140625" style="13"/>
    <col min="3" max="3" width="14.28515625" style="51" customWidth="1"/>
    <col min="4" max="4" width="13.28515625" style="41" customWidth="1"/>
    <col min="5" max="5" width="66.7109375" style="57" customWidth="1"/>
    <col min="6" max="6" width="14" style="39" bestFit="1" customWidth="1"/>
    <col min="7" max="7" width="9" style="2" customWidth="1"/>
    <col min="8" max="9" width="15.7109375" style="110" customWidth="1"/>
    <col min="10" max="10" width="15.7109375" style="111" customWidth="1"/>
    <col min="11" max="11" width="15.42578125" style="1" customWidth="1"/>
    <col min="12" max="12" width="12" customWidth="1"/>
    <col min="13" max="13" width="9.5703125" customWidth="1"/>
    <col min="14" max="14" width="9.140625" customWidth="1"/>
    <col min="15" max="15" width="10.5703125" customWidth="1"/>
    <col min="16" max="19" width="9.140625" customWidth="1"/>
  </cols>
  <sheetData>
    <row r="2" spans="2:13" ht="15.75" customHeight="1" x14ac:dyDescent="0.25">
      <c r="B2" s="139"/>
      <c r="C2" s="140"/>
      <c r="D2" s="141"/>
      <c r="E2" s="141"/>
      <c r="F2" s="141"/>
      <c r="G2" s="142"/>
      <c r="H2" s="143"/>
      <c r="I2" s="144"/>
      <c r="J2" s="145"/>
    </row>
    <row r="3" spans="2:13" ht="17.25" customHeight="1" x14ac:dyDescent="0.25">
      <c r="B3" s="146"/>
      <c r="C3" s="5"/>
      <c r="D3" s="44"/>
      <c r="E3" s="362" t="s">
        <v>6</v>
      </c>
      <c r="F3" s="362"/>
      <c r="G3" s="7"/>
      <c r="H3" s="363" t="s">
        <v>9</v>
      </c>
      <c r="I3" s="364"/>
      <c r="J3" s="147"/>
    </row>
    <row r="4" spans="2:13" ht="15.75" x14ac:dyDescent="0.25">
      <c r="B4" s="148"/>
      <c r="C4" s="4"/>
      <c r="D4" s="45"/>
      <c r="E4" s="362"/>
      <c r="F4" s="362"/>
      <c r="G4" s="3"/>
      <c r="H4" s="112" t="s">
        <v>8</v>
      </c>
      <c r="I4" s="365">
        <v>46105</v>
      </c>
      <c r="J4" s="366"/>
    </row>
    <row r="5" spans="2:13" ht="15.75" x14ac:dyDescent="0.25">
      <c r="B5" s="148"/>
      <c r="C5" s="4"/>
      <c r="D5" s="45"/>
      <c r="E5" s="58"/>
      <c r="F5" s="34"/>
      <c r="G5" s="6"/>
      <c r="H5" s="113" t="s">
        <v>3</v>
      </c>
      <c r="I5" s="149">
        <v>0.26369999999999999</v>
      </c>
      <c r="J5" s="150"/>
      <c r="L5" s="61"/>
      <c r="M5" s="62"/>
    </row>
    <row r="6" spans="2:13" ht="16.5" thickBot="1" x14ac:dyDescent="0.3">
      <c r="B6" s="151"/>
      <c r="C6" s="10"/>
      <c r="D6" s="46"/>
      <c r="E6" s="59"/>
      <c r="F6" s="35"/>
      <c r="G6" s="11"/>
      <c r="H6" s="114"/>
      <c r="I6" s="115"/>
      <c r="J6" s="152"/>
      <c r="L6" s="63"/>
      <c r="M6" s="64"/>
    </row>
    <row r="7" spans="2:13" s="8" customFormat="1" ht="21.75" thickBot="1" x14ac:dyDescent="0.3">
      <c r="B7" s="367" t="s">
        <v>7</v>
      </c>
      <c r="C7" s="368"/>
      <c r="D7" s="368"/>
      <c r="E7" s="368"/>
      <c r="F7" s="368"/>
      <c r="G7" s="368"/>
      <c r="H7" s="368"/>
      <c r="I7" s="368"/>
      <c r="J7" s="369"/>
      <c r="K7" s="9"/>
    </row>
    <row r="8" spans="2:13" s="12" customFormat="1" ht="17.100000000000001" customHeight="1" x14ac:dyDescent="0.25">
      <c r="B8" s="211" t="s">
        <v>10</v>
      </c>
      <c r="C8" s="212" t="s">
        <v>376</v>
      </c>
      <c r="D8" s="213"/>
      <c r="E8" s="212"/>
      <c r="F8" s="214" t="s">
        <v>12</v>
      </c>
      <c r="G8" s="370">
        <v>46142</v>
      </c>
      <c r="H8" s="371"/>
      <c r="I8" s="371"/>
      <c r="J8" s="372"/>
      <c r="K8" s="36"/>
    </row>
    <row r="9" spans="2:13" s="12" customFormat="1" ht="17.100000000000001" customHeight="1" thickBot="1" x14ac:dyDescent="0.3">
      <c r="B9" s="215" t="s">
        <v>11</v>
      </c>
      <c r="C9" s="373" t="s">
        <v>158</v>
      </c>
      <c r="D9" s="374"/>
      <c r="E9" s="374"/>
      <c r="F9" s="216"/>
      <c r="G9" s="373"/>
      <c r="H9" s="374"/>
      <c r="I9" s="374"/>
      <c r="J9" s="217"/>
      <c r="K9" s="36"/>
    </row>
    <row r="10" spans="2:13" s="17" customFormat="1" ht="30.75" thickBot="1" x14ac:dyDescent="0.3">
      <c r="B10" s="153" t="s">
        <v>0</v>
      </c>
      <c r="C10" s="53" t="s">
        <v>15</v>
      </c>
      <c r="D10" s="21" t="s">
        <v>14</v>
      </c>
      <c r="E10" s="21" t="s">
        <v>16</v>
      </c>
      <c r="F10" s="22" t="s">
        <v>5</v>
      </c>
      <c r="G10" s="23" t="s">
        <v>13</v>
      </c>
      <c r="H10" s="116" t="s">
        <v>17</v>
      </c>
      <c r="I10" s="116" t="s">
        <v>18</v>
      </c>
      <c r="J10" s="154" t="s">
        <v>39</v>
      </c>
      <c r="K10" s="27"/>
    </row>
    <row r="11" spans="2:13" s="17" customFormat="1" x14ac:dyDescent="0.25">
      <c r="B11" s="157" t="s">
        <v>27</v>
      </c>
      <c r="C11" s="66"/>
      <c r="D11" s="67"/>
      <c r="E11" s="67" t="s">
        <v>84</v>
      </c>
      <c r="F11" s="68"/>
      <c r="G11" s="69"/>
      <c r="H11" s="118"/>
      <c r="I11" s="118"/>
      <c r="J11" s="158"/>
      <c r="K11" s="27"/>
    </row>
    <row r="12" spans="2:13" s="17" customFormat="1" ht="30" x14ac:dyDescent="0.25">
      <c r="B12" s="131" t="s">
        <v>4</v>
      </c>
      <c r="C12" s="101" t="s">
        <v>1</v>
      </c>
      <c r="D12" s="132">
        <v>103689</v>
      </c>
      <c r="E12" s="133" t="s">
        <v>159</v>
      </c>
      <c r="F12" s="105">
        <v>3</v>
      </c>
      <c r="G12" s="103" t="s">
        <v>26</v>
      </c>
      <c r="H12" s="119">
        <v>493.03</v>
      </c>
      <c r="I12" s="119">
        <f>ROUND(H12+(H12*I$5),2)</f>
        <v>623.04</v>
      </c>
      <c r="J12" s="119">
        <f>ROUND(F12*I12,2)</f>
        <v>1869.12</v>
      </c>
      <c r="K12" s="138"/>
    </row>
    <row r="13" spans="2:13" s="17" customFormat="1" x14ac:dyDescent="0.25">
      <c r="B13" s="131" t="s">
        <v>222</v>
      </c>
      <c r="C13" s="101" t="s">
        <v>1</v>
      </c>
      <c r="D13" s="132">
        <v>90778</v>
      </c>
      <c r="E13" s="133" t="s">
        <v>223</v>
      </c>
      <c r="F13" s="105">
        <v>20</v>
      </c>
      <c r="G13" s="103" t="s">
        <v>34</v>
      </c>
      <c r="H13" s="119">
        <v>135.68</v>
      </c>
      <c r="I13" s="119">
        <f>ROUND(H13+(H13*I$5),2)</f>
        <v>171.46</v>
      </c>
      <c r="J13" s="119">
        <f>ROUND(F13*I13,2)</f>
        <v>3429.2</v>
      </c>
      <c r="K13" s="138"/>
    </row>
    <row r="14" spans="2:13" s="17" customFormat="1" x14ac:dyDescent="0.25">
      <c r="B14" s="131" t="s">
        <v>296</v>
      </c>
      <c r="C14" s="247" t="s">
        <v>28</v>
      </c>
      <c r="D14" s="134"/>
      <c r="E14" s="102" t="s">
        <v>237</v>
      </c>
      <c r="F14" s="85">
        <v>10</v>
      </c>
      <c r="G14" s="103" t="s">
        <v>68</v>
      </c>
      <c r="H14" s="119">
        <v>450</v>
      </c>
      <c r="I14" s="119">
        <f>ROUND(H14+(H14*I$5),2)</f>
        <v>568.66999999999996</v>
      </c>
      <c r="J14" s="119">
        <f>ROUND(F14*I14,2)</f>
        <v>5686.7</v>
      </c>
      <c r="K14" s="138"/>
    </row>
    <row r="15" spans="2:13" s="17" customFormat="1" ht="15.75" thickBot="1" x14ac:dyDescent="0.3">
      <c r="B15" s="218" t="str">
        <f>"SUBTOTAL DE "&amp;E11</f>
        <v>SUBTOTAL DE SERVIÇOS PRELIMINARES</v>
      </c>
      <c r="C15" s="219"/>
      <c r="D15" s="220"/>
      <c r="E15" s="221"/>
      <c r="F15" s="222"/>
      <c r="G15" s="223"/>
      <c r="H15" s="224"/>
      <c r="I15" s="224"/>
      <c r="J15" s="225">
        <f>SUM(J12:J14)</f>
        <v>10985.02</v>
      </c>
      <c r="K15" s="27"/>
    </row>
    <row r="16" spans="2:13" s="17" customFormat="1" ht="8.25" customHeight="1" x14ac:dyDescent="0.25">
      <c r="B16" s="164"/>
      <c r="C16" s="104"/>
      <c r="D16" s="106"/>
      <c r="E16" s="107"/>
      <c r="F16" s="108"/>
      <c r="G16" s="109"/>
      <c r="H16" s="122"/>
      <c r="I16" s="122"/>
      <c r="J16" s="165"/>
      <c r="K16" s="27"/>
    </row>
    <row r="17" spans="2:15" s="17" customFormat="1" x14ac:dyDescent="0.25">
      <c r="B17" s="249" t="s">
        <v>30</v>
      </c>
      <c r="C17" s="250"/>
      <c r="D17" s="251"/>
      <c r="E17" s="251" t="s">
        <v>82</v>
      </c>
      <c r="F17" s="252"/>
      <c r="G17" s="253"/>
      <c r="H17" s="254"/>
      <c r="I17" s="254"/>
      <c r="J17" s="255"/>
      <c r="K17" s="27"/>
    </row>
    <row r="18" spans="2:15" s="17" customFormat="1" ht="60" x14ac:dyDescent="0.25">
      <c r="B18" s="243" t="s">
        <v>31</v>
      </c>
      <c r="C18" s="101" t="s">
        <v>49</v>
      </c>
      <c r="D18" s="134">
        <v>20193</v>
      </c>
      <c r="E18" s="135" t="s">
        <v>378</v>
      </c>
      <c r="F18" s="136">
        <v>200</v>
      </c>
      <c r="G18" s="103" t="s">
        <v>128</v>
      </c>
      <c r="H18" s="119">
        <v>22.5</v>
      </c>
      <c r="I18" s="119">
        <f t="shared" ref="I18:I36" si="0">ROUND(H18+(H18*I$5),2)</f>
        <v>28.43</v>
      </c>
      <c r="J18" s="119">
        <f t="shared" ref="J18:J19" si="1">ROUND(I18*F18,2)</f>
        <v>5686</v>
      </c>
      <c r="K18" s="190"/>
    </row>
    <row r="19" spans="2:15" s="17" customFormat="1" ht="45" x14ac:dyDescent="0.25">
      <c r="B19" s="243" t="s">
        <v>32</v>
      </c>
      <c r="C19" s="101" t="s">
        <v>1</v>
      </c>
      <c r="D19" s="134">
        <v>97063</v>
      </c>
      <c r="E19" s="135" t="s">
        <v>126</v>
      </c>
      <c r="F19" s="136">
        <v>50</v>
      </c>
      <c r="G19" s="103" t="s">
        <v>26</v>
      </c>
      <c r="H19" s="119">
        <v>21.08</v>
      </c>
      <c r="I19" s="119">
        <f t="shared" si="0"/>
        <v>26.64</v>
      </c>
      <c r="J19" s="119">
        <f t="shared" si="1"/>
        <v>1332</v>
      </c>
      <c r="K19" s="27"/>
    </row>
    <row r="20" spans="2:15" s="17" customFormat="1" ht="30" x14ac:dyDescent="0.25">
      <c r="B20" s="243" t="s">
        <v>48</v>
      </c>
      <c r="C20" s="101" t="s">
        <v>1</v>
      </c>
      <c r="D20" s="134">
        <v>93287</v>
      </c>
      <c r="E20" s="135" t="s">
        <v>221</v>
      </c>
      <c r="F20" s="136">
        <v>30</v>
      </c>
      <c r="G20" s="103" t="s">
        <v>131</v>
      </c>
      <c r="H20" s="119">
        <v>363.06</v>
      </c>
      <c r="I20" s="119">
        <f>ROUND(H20+(H20*I$5),2)</f>
        <v>458.8</v>
      </c>
      <c r="J20" s="119">
        <f t="shared" ref="J20:J25" si="2">ROUND(I20*F20,2)</f>
        <v>13764</v>
      </c>
      <c r="K20" s="27"/>
    </row>
    <row r="21" spans="2:15" s="17" customFormat="1" ht="30" x14ac:dyDescent="0.25">
      <c r="B21" s="243" t="s">
        <v>288</v>
      </c>
      <c r="C21" s="101" t="s">
        <v>1</v>
      </c>
      <c r="D21" s="134">
        <v>93288</v>
      </c>
      <c r="E21" s="135" t="s">
        <v>221</v>
      </c>
      <c r="F21" s="136">
        <v>10</v>
      </c>
      <c r="G21" s="103" t="s">
        <v>132</v>
      </c>
      <c r="H21" s="119">
        <v>192.95</v>
      </c>
      <c r="I21" s="119">
        <f>ROUND(H21+(H21*I$5),2)</f>
        <v>243.83</v>
      </c>
      <c r="J21" s="119">
        <f t="shared" si="2"/>
        <v>2438.3000000000002</v>
      </c>
      <c r="K21" s="27"/>
    </row>
    <row r="22" spans="2:15" s="17" customFormat="1" ht="35.25" customHeight="1" x14ac:dyDescent="0.25">
      <c r="B22" s="243" t="s">
        <v>289</v>
      </c>
      <c r="C22" s="101" t="s">
        <v>1</v>
      </c>
      <c r="D22" s="134">
        <v>97649</v>
      </c>
      <c r="E22" s="135" t="s">
        <v>121</v>
      </c>
      <c r="F22" s="136">
        <f>360+734+41</f>
        <v>1135</v>
      </c>
      <c r="G22" s="103" t="s">
        <v>26</v>
      </c>
      <c r="H22" s="119">
        <v>4.83</v>
      </c>
      <c r="I22" s="119">
        <f t="shared" si="0"/>
        <v>6.1</v>
      </c>
      <c r="J22" s="119">
        <f t="shared" si="2"/>
        <v>6923.5</v>
      </c>
      <c r="K22" s="27"/>
    </row>
    <row r="23" spans="2:15" s="17" customFormat="1" ht="35.25" customHeight="1" x14ac:dyDescent="0.25">
      <c r="B23" s="243" t="s">
        <v>299</v>
      </c>
      <c r="C23" s="101" t="s">
        <v>1</v>
      </c>
      <c r="D23" s="134">
        <v>97650</v>
      </c>
      <c r="E23" s="135" t="s">
        <v>122</v>
      </c>
      <c r="F23" s="136">
        <v>381.5</v>
      </c>
      <c r="G23" s="103" t="s">
        <v>26</v>
      </c>
      <c r="H23" s="119">
        <v>8.2200000000000006</v>
      </c>
      <c r="I23" s="119">
        <f t="shared" si="0"/>
        <v>10.39</v>
      </c>
      <c r="J23" s="119">
        <f t="shared" si="2"/>
        <v>3963.79</v>
      </c>
      <c r="K23" s="27" t="s">
        <v>361</v>
      </c>
    </row>
    <row r="24" spans="2:15" s="17" customFormat="1" ht="18" customHeight="1" x14ac:dyDescent="0.25">
      <c r="B24" s="243" t="s">
        <v>362</v>
      </c>
      <c r="C24" s="101" t="s">
        <v>1</v>
      </c>
      <c r="D24" s="134">
        <v>104803</v>
      </c>
      <c r="E24" s="135" t="s">
        <v>214</v>
      </c>
      <c r="F24" s="136">
        <v>196.4</v>
      </c>
      <c r="G24" s="103" t="s">
        <v>19</v>
      </c>
      <c r="H24" s="119">
        <v>4.8499999999999996</v>
      </c>
      <c r="I24" s="119">
        <f t="shared" si="0"/>
        <v>6.13</v>
      </c>
      <c r="J24" s="119">
        <f t="shared" si="2"/>
        <v>1203.93</v>
      </c>
      <c r="K24" s="27"/>
    </row>
    <row r="25" spans="2:15" s="17" customFormat="1" ht="45" x14ac:dyDescent="0.25">
      <c r="B25" s="243" t="s">
        <v>363</v>
      </c>
      <c r="C25" s="101" t="s">
        <v>1</v>
      </c>
      <c r="D25" s="134">
        <v>92543</v>
      </c>
      <c r="E25" s="135" t="s">
        <v>215</v>
      </c>
      <c r="F25" s="136">
        <v>381.5</v>
      </c>
      <c r="G25" s="103" t="s">
        <v>26</v>
      </c>
      <c r="H25" s="119">
        <v>25.42</v>
      </c>
      <c r="I25" s="119">
        <f t="shared" si="0"/>
        <v>32.119999999999997</v>
      </c>
      <c r="J25" s="119">
        <f t="shared" si="2"/>
        <v>12253.78</v>
      </c>
      <c r="K25" s="27"/>
    </row>
    <row r="26" spans="2:15" s="17" customFormat="1" ht="30" x14ac:dyDescent="0.25">
      <c r="B26" s="243" t="s">
        <v>364</v>
      </c>
      <c r="C26" s="101" t="s">
        <v>1</v>
      </c>
      <c r="D26" s="134">
        <v>94213</v>
      </c>
      <c r="E26" s="135" t="s">
        <v>123</v>
      </c>
      <c r="F26" s="136">
        <f>F22</f>
        <v>1135</v>
      </c>
      <c r="G26" s="103" t="s">
        <v>26</v>
      </c>
      <c r="H26" s="119">
        <v>58.11</v>
      </c>
      <c r="I26" s="119">
        <f t="shared" si="0"/>
        <v>73.430000000000007</v>
      </c>
      <c r="J26" s="119">
        <f t="shared" ref="J26:J36" si="3">ROUND(I26*F26,2)</f>
        <v>83343.05</v>
      </c>
      <c r="K26" s="27"/>
    </row>
    <row r="27" spans="2:15" s="33" customFormat="1" ht="30" x14ac:dyDescent="0.25">
      <c r="B27" s="243" t="s">
        <v>365</v>
      </c>
      <c r="C27" s="101" t="s">
        <v>1</v>
      </c>
      <c r="D27" s="134">
        <v>94227</v>
      </c>
      <c r="E27" s="135" t="s">
        <v>124</v>
      </c>
      <c r="F27" s="136">
        <v>212</v>
      </c>
      <c r="G27" s="103" t="s">
        <v>19</v>
      </c>
      <c r="H27" s="119">
        <v>73.040000000000006</v>
      </c>
      <c r="I27" s="119">
        <f t="shared" si="0"/>
        <v>92.3</v>
      </c>
      <c r="J27" s="119">
        <f t="shared" si="3"/>
        <v>19567.599999999999</v>
      </c>
      <c r="K27" s="38"/>
      <c r="L27"/>
      <c r="M27"/>
      <c r="N27"/>
      <c r="O27"/>
    </row>
    <row r="28" spans="2:15" s="18" customFormat="1" ht="30" x14ac:dyDescent="0.25">
      <c r="B28" s="243" t="s">
        <v>366</v>
      </c>
      <c r="C28" s="101" t="s">
        <v>1</v>
      </c>
      <c r="D28" s="134">
        <v>94227</v>
      </c>
      <c r="E28" s="135" t="s">
        <v>130</v>
      </c>
      <c r="F28" s="136">
        <v>123</v>
      </c>
      <c r="G28" s="103" t="s">
        <v>19</v>
      </c>
      <c r="H28" s="119">
        <v>73.040000000000006</v>
      </c>
      <c r="I28" s="119">
        <f t="shared" si="0"/>
        <v>92.3</v>
      </c>
      <c r="J28" s="119">
        <f t="shared" si="3"/>
        <v>11352.9</v>
      </c>
      <c r="K28" s="37"/>
      <c r="L28"/>
      <c r="M28"/>
      <c r="N28"/>
      <c r="O28"/>
    </row>
    <row r="29" spans="2:15" s="18" customFormat="1" ht="30" x14ac:dyDescent="0.25">
      <c r="B29" s="243" t="s">
        <v>367</v>
      </c>
      <c r="C29" s="101" t="s">
        <v>1</v>
      </c>
      <c r="D29" s="134">
        <v>100327</v>
      </c>
      <c r="E29" s="135" t="s">
        <v>125</v>
      </c>
      <c r="F29" s="136">
        <v>13</v>
      </c>
      <c r="G29" s="103" t="s">
        <v>19</v>
      </c>
      <c r="H29" s="119">
        <v>67.260000000000005</v>
      </c>
      <c r="I29" s="119">
        <f t="shared" si="0"/>
        <v>85</v>
      </c>
      <c r="J29" s="119">
        <f t="shared" si="3"/>
        <v>1105</v>
      </c>
      <c r="K29" s="37"/>
      <c r="L29"/>
      <c r="M29"/>
      <c r="N29"/>
      <c r="O29"/>
    </row>
    <row r="30" spans="2:15" s="18" customFormat="1" ht="30" x14ac:dyDescent="0.25">
      <c r="B30" s="243" t="s">
        <v>368</v>
      </c>
      <c r="C30" s="101" t="s">
        <v>49</v>
      </c>
      <c r="D30" s="134">
        <v>43614</v>
      </c>
      <c r="E30" s="135" t="s">
        <v>353</v>
      </c>
      <c r="F30" s="136">
        <v>212</v>
      </c>
      <c r="G30" s="103" t="s">
        <v>19</v>
      </c>
      <c r="H30" s="119">
        <v>14.54</v>
      </c>
      <c r="I30" s="119">
        <f t="shared" si="0"/>
        <v>18.37</v>
      </c>
      <c r="J30" s="119">
        <f t="shared" si="3"/>
        <v>3894.44</v>
      </c>
      <c r="K30" s="37"/>
      <c r="L30"/>
      <c r="M30"/>
      <c r="N30"/>
      <c r="O30"/>
    </row>
    <row r="31" spans="2:15" s="20" customFormat="1" ht="17.100000000000001" customHeight="1" x14ac:dyDescent="0.25">
      <c r="B31" s="243" t="s">
        <v>369</v>
      </c>
      <c r="C31" s="101" t="s">
        <v>1</v>
      </c>
      <c r="D31" s="134">
        <v>88323</v>
      </c>
      <c r="E31" s="135" t="s">
        <v>83</v>
      </c>
      <c r="F31" s="136">
        <v>100</v>
      </c>
      <c r="G31" s="103" t="s">
        <v>34</v>
      </c>
      <c r="H31" s="119">
        <v>27.25</v>
      </c>
      <c r="I31" s="119">
        <f t="shared" si="0"/>
        <v>34.44</v>
      </c>
      <c r="J31" s="119">
        <f t="shared" si="3"/>
        <v>3444</v>
      </c>
      <c r="K31" s="65"/>
      <c r="L31"/>
      <c r="M31"/>
      <c r="N31"/>
      <c r="O31"/>
    </row>
    <row r="32" spans="2:15" s="20" customFormat="1" ht="30" x14ac:dyDescent="0.25">
      <c r="B32" s="243" t="s">
        <v>370</v>
      </c>
      <c r="C32" s="101" t="s">
        <v>1</v>
      </c>
      <c r="D32" s="244">
        <v>97640</v>
      </c>
      <c r="E32" s="195" t="s">
        <v>219</v>
      </c>
      <c r="F32" s="136">
        <f>60.24+91.76</f>
        <v>152</v>
      </c>
      <c r="G32" s="103" t="s">
        <v>26</v>
      </c>
      <c r="H32" s="119">
        <v>2.17</v>
      </c>
      <c r="I32" s="119">
        <f t="shared" si="0"/>
        <v>2.74</v>
      </c>
      <c r="J32" s="119">
        <f t="shared" si="3"/>
        <v>416.48</v>
      </c>
      <c r="K32" s="65"/>
      <c r="L32"/>
      <c r="M32"/>
      <c r="N32"/>
      <c r="O32"/>
    </row>
    <row r="33" spans="2:15" s="17" customFormat="1" ht="30" x14ac:dyDescent="0.25">
      <c r="B33" s="243" t="s">
        <v>371</v>
      </c>
      <c r="C33" s="101" t="s">
        <v>1</v>
      </c>
      <c r="D33" s="134">
        <v>96486</v>
      </c>
      <c r="E33" s="195" t="s">
        <v>220</v>
      </c>
      <c r="F33" s="136">
        <v>185</v>
      </c>
      <c r="G33" s="103" t="s">
        <v>26</v>
      </c>
      <c r="H33" s="119">
        <v>88.71</v>
      </c>
      <c r="I33" s="119">
        <f t="shared" si="0"/>
        <v>112.1</v>
      </c>
      <c r="J33" s="119">
        <f t="shared" si="3"/>
        <v>20738.5</v>
      </c>
      <c r="K33" s="27" t="s">
        <v>355</v>
      </c>
      <c r="L33"/>
      <c r="M33"/>
      <c r="N33"/>
      <c r="O33"/>
    </row>
    <row r="34" spans="2:15" s="17" customFormat="1" ht="30" x14ac:dyDescent="0.25">
      <c r="B34" s="243" t="s">
        <v>372</v>
      </c>
      <c r="C34" s="101" t="s">
        <v>1</v>
      </c>
      <c r="D34" s="330">
        <v>102193</v>
      </c>
      <c r="E34" s="195" t="s">
        <v>357</v>
      </c>
      <c r="F34" s="136">
        <v>75</v>
      </c>
      <c r="G34" s="103" t="s">
        <v>26</v>
      </c>
      <c r="H34" s="119">
        <v>2.2000000000000002</v>
      </c>
      <c r="I34" s="119">
        <f t="shared" si="0"/>
        <v>2.78</v>
      </c>
      <c r="J34" s="119">
        <f t="shared" si="3"/>
        <v>208.5</v>
      </c>
      <c r="K34" s="27"/>
      <c r="L34"/>
      <c r="M34"/>
      <c r="N34"/>
      <c r="O34"/>
    </row>
    <row r="35" spans="2:15" s="17" customFormat="1" ht="30" x14ac:dyDescent="0.25">
      <c r="B35" s="243" t="s">
        <v>373</v>
      </c>
      <c r="C35" s="101" t="s">
        <v>1</v>
      </c>
      <c r="D35" s="330">
        <v>102197</v>
      </c>
      <c r="E35" s="195" t="s">
        <v>359</v>
      </c>
      <c r="F35" s="136">
        <v>75</v>
      </c>
      <c r="G35" s="103" t="s">
        <v>26</v>
      </c>
      <c r="H35" s="119">
        <v>31.18</v>
      </c>
      <c r="I35" s="119">
        <f t="shared" si="0"/>
        <v>39.4</v>
      </c>
      <c r="J35" s="119">
        <f t="shared" si="3"/>
        <v>2955</v>
      </c>
      <c r="K35" s="27"/>
      <c r="L35"/>
      <c r="M35"/>
      <c r="N35"/>
      <c r="O35"/>
    </row>
    <row r="36" spans="2:15" s="17" customFormat="1" ht="30" x14ac:dyDescent="0.25">
      <c r="B36" s="243" t="s">
        <v>374</v>
      </c>
      <c r="C36" s="101" t="s">
        <v>1</v>
      </c>
      <c r="D36" s="330">
        <v>102219</v>
      </c>
      <c r="E36" s="195" t="s">
        <v>360</v>
      </c>
      <c r="F36" s="136">
        <v>75</v>
      </c>
      <c r="G36" s="103" t="s">
        <v>26</v>
      </c>
      <c r="H36" s="119">
        <v>17.559999999999999</v>
      </c>
      <c r="I36" s="119">
        <f t="shared" si="0"/>
        <v>22.19</v>
      </c>
      <c r="J36" s="119">
        <f t="shared" si="3"/>
        <v>1664.25</v>
      </c>
      <c r="K36" s="27"/>
      <c r="L36"/>
      <c r="M36"/>
      <c r="N36"/>
      <c r="O36"/>
    </row>
    <row r="37" spans="2:15" s="17" customFormat="1" ht="15.75" thickBot="1" x14ac:dyDescent="0.3">
      <c r="B37" s="218" t="str">
        <f>" TOTAL DE "&amp;E17</f>
        <v xml:space="preserve"> TOTAL DE TELHADO</v>
      </c>
      <c r="C37" s="219"/>
      <c r="D37" s="220"/>
      <c r="E37" s="221"/>
      <c r="F37" s="222"/>
      <c r="G37" s="223"/>
      <c r="H37" s="224"/>
      <c r="I37" s="224"/>
      <c r="J37" s="225">
        <f>SUM(J18:J36)</f>
        <v>196255.02000000002</v>
      </c>
      <c r="K37" s="27"/>
    </row>
    <row r="38" spans="2:15" s="17" customFormat="1" ht="9.75" customHeight="1" thickBot="1" x14ac:dyDescent="0.3">
      <c r="B38" s="164"/>
      <c r="C38" s="104"/>
      <c r="D38" s="106"/>
      <c r="E38" s="107"/>
      <c r="F38" s="108"/>
      <c r="G38" s="109"/>
      <c r="H38" s="122"/>
      <c r="I38" s="122"/>
      <c r="J38" s="165"/>
      <c r="K38" s="27"/>
    </row>
    <row r="39" spans="2:15" s="17" customFormat="1" ht="15.75" thickBot="1" x14ac:dyDescent="0.3">
      <c r="B39" s="234"/>
      <c r="C39" s="200"/>
      <c r="D39" s="201"/>
      <c r="E39" s="202" t="s">
        <v>2</v>
      </c>
      <c r="F39" s="203"/>
      <c r="G39" s="204"/>
      <c r="H39" s="205"/>
      <c r="I39" s="205"/>
      <c r="J39" s="235">
        <f>J15+J37</f>
        <v>207240.04</v>
      </c>
      <c r="K39" s="27"/>
    </row>
    <row r="40" spans="2:15" x14ac:dyDescent="0.25">
      <c r="B40" s="166"/>
      <c r="C40" s="56"/>
      <c r="D40" s="48"/>
      <c r="E40" s="60"/>
      <c r="F40" s="29"/>
      <c r="G40" s="30"/>
      <c r="H40" s="160"/>
      <c r="I40" s="160"/>
      <c r="J40" s="161"/>
    </row>
    <row r="41" spans="2:15" x14ac:dyDescent="0.25">
      <c r="B41" s="166"/>
      <c r="C41" s="56"/>
      <c r="D41" s="48"/>
      <c r="E41" s="60"/>
      <c r="F41" s="29"/>
      <c r="G41" s="360" t="s">
        <v>377</v>
      </c>
      <c r="H41" s="360"/>
      <c r="I41" s="360"/>
      <c r="J41" s="361"/>
    </row>
    <row r="42" spans="2:15" x14ac:dyDescent="0.25">
      <c r="B42" s="166"/>
      <c r="C42" s="56"/>
      <c r="D42" s="48"/>
      <c r="E42" s="60"/>
      <c r="F42" s="29"/>
      <c r="G42" s="245"/>
      <c r="H42" s="245"/>
      <c r="I42" s="245"/>
      <c r="J42" s="246"/>
    </row>
    <row r="43" spans="2:15" x14ac:dyDescent="0.25">
      <c r="B43" s="166"/>
      <c r="C43" s="56"/>
      <c r="D43" s="48"/>
      <c r="E43" s="60"/>
      <c r="F43" s="29"/>
      <c r="G43" s="245"/>
      <c r="H43" s="245"/>
      <c r="I43" s="245"/>
      <c r="J43" s="246"/>
    </row>
    <row r="44" spans="2:15" x14ac:dyDescent="0.25">
      <c r="B44" s="166"/>
      <c r="C44" s="56"/>
      <c r="D44" s="48"/>
      <c r="E44" s="60"/>
      <c r="F44" s="29"/>
      <c r="G44" s="245"/>
      <c r="H44" s="245"/>
      <c r="I44" s="245"/>
      <c r="J44" s="246"/>
    </row>
    <row r="45" spans="2:15" s="111" customFormat="1" x14ac:dyDescent="0.25">
      <c r="B45" s="166"/>
      <c r="C45" s="56"/>
      <c r="D45" s="48"/>
      <c r="E45" s="30" t="s">
        <v>20</v>
      </c>
      <c r="F45" s="30"/>
      <c r="G45" s="31"/>
      <c r="H45" s="160"/>
      <c r="I45" s="160"/>
      <c r="J45" s="161"/>
      <c r="K45" s="1"/>
      <c r="L45"/>
      <c r="M45"/>
      <c r="N45"/>
    </row>
    <row r="46" spans="2:15" x14ac:dyDescent="0.25">
      <c r="B46" s="166"/>
      <c r="C46" s="56"/>
      <c r="D46" s="48"/>
      <c r="E46" s="32" t="s">
        <v>87</v>
      </c>
      <c r="F46" s="30"/>
      <c r="G46" s="31"/>
      <c r="H46" s="160"/>
      <c r="I46" s="160"/>
      <c r="J46" s="161"/>
    </row>
    <row r="47" spans="2:15" x14ac:dyDescent="0.25">
      <c r="B47" s="164"/>
      <c r="C47" s="104"/>
      <c r="D47" s="167"/>
      <c r="E47" s="168" t="s">
        <v>88</v>
      </c>
      <c r="F47" s="109"/>
      <c r="G47" s="169"/>
      <c r="H47" s="170"/>
      <c r="I47" s="170"/>
      <c r="J47" s="171"/>
    </row>
    <row r="48" spans="2:15" x14ac:dyDescent="0.25">
      <c r="B48" s="28"/>
      <c r="C48" s="56"/>
      <c r="D48" s="48"/>
      <c r="E48" s="19"/>
      <c r="F48" s="29"/>
      <c r="G48" s="31"/>
      <c r="H48" s="120"/>
      <c r="I48" s="120"/>
      <c r="J48" s="120"/>
    </row>
    <row r="51" spans="2:19" s="111" customFormat="1" x14ac:dyDescent="0.25">
      <c r="B51" s="13"/>
      <c r="C51" s="173"/>
      <c r="D51" s="174"/>
      <c r="E51" s="175"/>
      <c r="F51" s="176"/>
      <c r="G51" s="177"/>
      <c r="H51" s="178"/>
      <c r="I51" s="178"/>
      <c r="K51" s="1"/>
      <c r="L51"/>
      <c r="M51"/>
      <c r="N51"/>
      <c r="O51"/>
      <c r="P51"/>
      <c r="Q51"/>
      <c r="R51"/>
      <c r="S51"/>
    </row>
    <row r="52" spans="2:19" s="111" customFormat="1" x14ac:dyDescent="0.25">
      <c r="B52" s="13"/>
      <c r="C52" s="51"/>
      <c r="D52" s="174"/>
      <c r="E52" s="175"/>
      <c r="F52" s="176"/>
      <c r="G52" s="177"/>
      <c r="H52" s="178"/>
      <c r="I52" s="178"/>
      <c r="K52" s="1"/>
      <c r="L52"/>
      <c r="M52"/>
      <c r="N52"/>
      <c r="O52"/>
      <c r="P52"/>
      <c r="Q52"/>
      <c r="R52"/>
      <c r="S52"/>
    </row>
    <row r="54" spans="2:19" s="111" customFormat="1" x14ac:dyDescent="0.25">
      <c r="B54" s="13"/>
      <c r="C54" s="210"/>
      <c r="D54" s="41"/>
      <c r="E54" s="57"/>
      <c r="F54" s="39"/>
      <c r="G54" s="2"/>
      <c r="H54" s="110"/>
      <c r="I54" s="110"/>
      <c r="K54" s="1"/>
      <c r="L54"/>
      <c r="M54"/>
      <c r="N54"/>
      <c r="O54"/>
      <c r="P54"/>
      <c r="Q54"/>
      <c r="R54"/>
      <c r="S54"/>
    </row>
    <row r="55" spans="2:19" x14ac:dyDescent="0.25">
      <c r="C55" s="179"/>
    </row>
    <row r="56" spans="2:19" x14ac:dyDescent="0.25">
      <c r="C56" s="179"/>
    </row>
  </sheetData>
  <mergeCells count="8">
    <mergeCell ref="G41:J41"/>
    <mergeCell ref="E3:F4"/>
    <mergeCell ref="H3:I3"/>
    <mergeCell ref="I4:J4"/>
    <mergeCell ref="B7:J7"/>
    <mergeCell ref="G8:J8"/>
    <mergeCell ref="C9:E9"/>
    <mergeCell ref="G9:I9"/>
  </mergeCells>
  <phoneticPr fontId="29" type="noConversion"/>
  <conditionalFormatting sqref="G10:I11">
    <cfRule type="cellIs" dxfId="1" priority="11" stopIfTrue="1" operator="equal">
      <formula>0</formula>
    </cfRule>
  </conditionalFormatting>
  <conditionalFormatting sqref="G17:I17">
    <cfRule type="cellIs" dxfId="0" priority="10" stopIfTrue="1" operator="equal">
      <formula>0</formula>
    </cfRule>
  </conditionalFormatting>
  <printOptions horizontalCentered="1"/>
  <pageMargins left="0.47244094488188981" right="0.47244094488188981" top="0.39370078740157483" bottom="0.39370078740157483" header="0" footer="0"/>
  <pageSetup paperSize="9" scale="78" firstPageNumber="0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CD118-18C8-4F24-87F2-0A67C358B635}">
  <sheetPr>
    <pageSetUpPr fitToPage="1"/>
  </sheetPr>
  <dimension ref="A1:I65520"/>
  <sheetViews>
    <sheetView view="pageBreakPreview" zoomScale="80" zoomScaleNormal="70" zoomScaleSheetLayoutView="80" workbookViewId="0">
      <selection activeCell="D17" sqref="D17:G17"/>
    </sheetView>
  </sheetViews>
  <sheetFormatPr defaultRowHeight="15" x14ac:dyDescent="0.25"/>
  <cols>
    <col min="2" max="2" width="4.5703125" customWidth="1"/>
    <col min="3" max="3" width="1.28515625" style="1" customWidth="1"/>
    <col min="4" max="4" width="75" style="1" customWidth="1"/>
    <col min="5" max="5" width="25.140625" style="41" customWidth="1"/>
    <col min="6" max="6" width="23.5703125" style="41" customWidth="1"/>
    <col min="7" max="7" width="23.42578125" style="41" customWidth="1"/>
    <col min="8" max="8" width="16.7109375" bestFit="1" customWidth="1"/>
  </cols>
  <sheetData>
    <row r="1" spans="1:9" ht="15.75" thickBot="1" x14ac:dyDescent="0.3">
      <c r="B1" s="332"/>
      <c r="C1" s="333"/>
      <c r="D1" s="333"/>
      <c r="E1" s="334"/>
      <c r="F1" s="334"/>
      <c r="G1" s="335"/>
    </row>
    <row r="2" spans="1:9" s="84" customFormat="1" ht="20.100000000000001" customHeight="1" thickBot="1" x14ac:dyDescent="0.3">
      <c r="A2" s="81"/>
      <c r="B2" s="398" t="s">
        <v>21</v>
      </c>
      <c r="C2" s="386"/>
      <c r="D2" s="386"/>
      <c r="E2" s="386"/>
      <c r="F2" s="386"/>
      <c r="G2" s="399"/>
      <c r="H2" s="82"/>
      <c r="I2" s="83"/>
    </row>
    <row r="3" spans="1:9" s="41" customFormat="1" ht="17.100000000000001" customHeight="1" x14ac:dyDescent="0.25">
      <c r="A3" s="40"/>
      <c r="B3" s="400" t="s">
        <v>375</v>
      </c>
      <c r="C3" s="389"/>
      <c r="D3" s="389"/>
      <c r="E3" s="389"/>
      <c r="F3" s="389"/>
      <c r="G3" s="401"/>
      <c r="H3" s="75"/>
      <c r="I3" s="71"/>
    </row>
    <row r="4" spans="1:9" s="41" customFormat="1" ht="17.100000000000001" customHeight="1" thickBot="1" x14ac:dyDescent="0.3">
      <c r="A4" s="40"/>
      <c r="B4" s="402" t="s">
        <v>47</v>
      </c>
      <c r="C4" s="392"/>
      <c r="D4" s="392"/>
      <c r="E4" s="392"/>
      <c r="F4" s="392"/>
      <c r="G4" s="403"/>
      <c r="H4" s="75"/>
      <c r="I4" s="71"/>
    </row>
    <row r="5" spans="1:9" ht="6.95" customHeight="1" x14ac:dyDescent="0.25">
      <c r="A5" s="14"/>
      <c r="B5" s="404"/>
      <c r="C5" s="384"/>
      <c r="D5" s="384"/>
      <c r="E5" s="97"/>
      <c r="F5" s="97"/>
      <c r="G5" s="336"/>
      <c r="H5" s="16"/>
      <c r="I5" s="16"/>
    </row>
    <row r="6" spans="1:9" ht="15.75" customHeight="1" x14ac:dyDescent="0.25">
      <c r="A6" s="14"/>
      <c r="B6" s="332"/>
      <c r="C6" s="91"/>
      <c r="D6" s="92" t="s">
        <v>0</v>
      </c>
      <c r="E6" s="92" t="s">
        <v>36</v>
      </c>
      <c r="F6" s="93" t="s">
        <v>37</v>
      </c>
      <c r="G6" s="337" t="s">
        <v>22</v>
      </c>
      <c r="H6" s="74" t="s">
        <v>23</v>
      </c>
      <c r="I6" s="16"/>
    </row>
    <row r="7" spans="1:9" s="287" customFormat="1" ht="15.75" customHeight="1" x14ac:dyDescent="0.25">
      <c r="A7" s="279"/>
      <c r="B7" s="338">
        <v>1</v>
      </c>
      <c r="C7" s="281"/>
      <c r="D7" s="282" t="s">
        <v>84</v>
      </c>
      <c r="E7" s="283">
        <f>E8*$G$7</f>
        <v>7689.5140000000001</v>
      </c>
      <c r="F7" s="283">
        <f>F8*$G$7</f>
        <v>3295.5059999999999</v>
      </c>
      <c r="G7" s="283">
        <f>'ORÇAMENTO TELHADO TANCREDO'!J15</f>
        <v>10985.02</v>
      </c>
      <c r="H7" s="285">
        <f>G7/$G$11</f>
        <v>5.300626268939148E-2</v>
      </c>
      <c r="I7" s="286"/>
    </row>
    <row r="8" spans="1:9" s="16" customFormat="1" ht="15.75" customHeight="1" x14ac:dyDescent="0.25">
      <c r="A8" s="15"/>
      <c r="B8" s="339"/>
      <c r="C8" s="98"/>
      <c r="D8" s="98"/>
      <c r="E8" s="123">
        <v>0.7</v>
      </c>
      <c r="F8" s="123">
        <v>0.3</v>
      </c>
      <c r="G8" s="123">
        <f>SUM(E8:F8)</f>
        <v>1</v>
      </c>
      <c r="H8" s="285"/>
    </row>
    <row r="9" spans="1:9" s="287" customFormat="1" ht="15.75" customHeight="1" x14ac:dyDescent="0.25">
      <c r="A9" s="279"/>
      <c r="B9" s="338">
        <v>2</v>
      </c>
      <c r="C9" s="281"/>
      <c r="D9" s="282" t="s">
        <v>82</v>
      </c>
      <c r="E9" s="283">
        <f>E10*$G$9</f>
        <v>127565.76300000002</v>
      </c>
      <c r="F9" s="283">
        <f>F10*$G$9</f>
        <v>68689.256999999998</v>
      </c>
      <c r="G9" s="283">
        <f>'ORÇAMENTO TELHADO TANCREDO'!J37</f>
        <v>196255.02000000002</v>
      </c>
      <c r="H9" s="285">
        <f>G9/$G$11</f>
        <v>0.94699373731060843</v>
      </c>
      <c r="I9" s="291"/>
    </row>
    <row r="10" spans="1:9" s="16" customFormat="1" ht="15.75" customHeight="1" x14ac:dyDescent="0.25">
      <c r="A10" s="15"/>
      <c r="B10" s="339" t="s">
        <v>279</v>
      </c>
      <c r="C10" s="98"/>
      <c r="D10" s="98"/>
      <c r="E10" s="123">
        <v>0.65</v>
      </c>
      <c r="F10" s="123">
        <v>0.35</v>
      </c>
      <c r="G10" s="123">
        <f>SUM(E10:F10)</f>
        <v>1</v>
      </c>
      <c r="H10" s="285"/>
    </row>
    <row r="11" spans="1:9" s="299" customFormat="1" ht="17.100000000000001" customHeight="1" x14ac:dyDescent="0.25">
      <c r="A11" s="292"/>
      <c r="B11" s="340"/>
      <c r="C11" s="294"/>
      <c r="D11" s="295" t="s">
        <v>24</v>
      </c>
      <c r="E11" s="296">
        <f>E7+E9</f>
        <v>135255.27700000003</v>
      </c>
      <c r="F11" s="296">
        <f>F7+F9</f>
        <v>71984.762999999992</v>
      </c>
      <c r="G11" s="296">
        <f>SUM(E11:F11)</f>
        <v>207240.04000000004</v>
      </c>
      <c r="H11" s="285">
        <f>G11/$G$11</f>
        <v>1</v>
      </c>
      <c r="I11" s="298"/>
    </row>
    <row r="12" spans="1:9" ht="15.75" customHeight="1" x14ac:dyDescent="0.25">
      <c r="A12" s="14"/>
      <c r="B12" s="341"/>
      <c r="C12" s="98"/>
      <c r="D12" s="98"/>
      <c r="E12" s="125">
        <f>E11/$G$11</f>
        <v>0.65265031313446964</v>
      </c>
      <c r="F12" s="125">
        <f>F11/$G$11</f>
        <v>0.3473496868655303</v>
      </c>
      <c r="G12" s="342">
        <f>SUM(E12:F12)</f>
        <v>1</v>
      </c>
      <c r="H12" s="285"/>
      <c r="I12" s="16"/>
    </row>
    <row r="13" spans="1:9" s="299" customFormat="1" ht="17.100000000000001" customHeight="1" x14ac:dyDescent="0.25">
      <c r="A13" s="292"/>
      <c r="B13" s="340"/>
      <c r="C13" s="294"/>
      <c r="D13" s="295" t="s">
        <v>25</v>
      </c>
      <c r="E13" s="296">
        <f>E11</f>
        <v>135255.27700000003</v>
      </c>
      <c r="F13" s="296">
        <f>E13+F11</f>
        <v>207240.04000000004</v>
      </c>
      <c r="G13" s="343"/>
      <c r="H13" s="301"/>
      <c r="I13" s="298"/>
    </row>
    <row r="14" spans="1:9" ht="15.75" customHeight="1" thickBot="1" x14ac:dyDescent="0.3">
      <c r="A14" s="14"/>
      <c r="B14" s="344"/>
      <c r="C14" s="79"/>
      <c r="D14" s="79"/>
      <c r="E14" s="126">
        <f>E12</f>
        <v>0.65265031313446964</v>
      </c>
      <c r="F14" s="126">
        <f>SUM(E14+F12)</f>
        <v>1</v>
      </c>
      <c r="G14" s="345"/>
      <c r="H14" s="73"/>
      <c r="I14" s="16"/>
    </row>
    <row r="15" spans="1:9" ht="15.75" customHeight="1" x14ac:dyDescent="0.25">
      <c r="A15" s="14"/>
      <c r="B15" s="341"/>
      <c r="C15" s="98"/>
      <c r="D15" s="98"/>
      <c r="E15" s="128"/>
      <c r="F15" s="128"/>
      <c r="G15" s="346"/>
      <c r="H15" s="130"/>
      <c r="I15" s="16"/>
    </row>
    <row r="16" spans="1:9" ht="15.75" customHeight="1" x14ac:dyDescent="0.25">
      <c r="A16" s="14"/>
      <c r="B16" s="341"/>
      <c r="C16" s="98"/>
      <c r="D16" s="98"/>
      <c r="E16" s="128"/>
      <c r="F16" s="128"/>
      <c r="G16" s="346"/>
      <c r="H16" s="130"/>
      <c r="I16" s="16"/>
    </row>
    <row r="17" spans="1:9" ht="15.75" customHeight="1" x14ac:dyDescent="0.25">
      <c r="A17" s="14"/>
      <c r="B17" s="341"/>
      <c r="C17" s="98"/>
      <c r="D17" s="360" t="s">
        <v>377</v>
      </c>
      <c r="E17" s="360"/>
      <c r="F17" s="360"/>
      <c r="G17" s="361"/>
      <c r="H17" s="130"/>
      <c r="I17" s="16"/>
    </row>
    <row r="18" spans="1:9" ht="15.75" customHeight="1" x14ac:dyDescent="0.25">
      <c r="A18" s="14"/>
      <c r="B18" s="341"/>
      <c r="C18" s="98"/>
      <c r="D18" s="98"/>
      <c r="E18" s="128"/>
      <c r="F18" s="128"/>
      <c r="G18" s="346"/>
      <c r="H18" s="130"/>
      <c r="I18" s="16"/>
    </row>
    <row r="19" spans="1:9" ht="15.75" customHeight="1" x14ac:dyDescent="0.25">
      <c r="A19" s="14"/>
      <c r="B19" s="341"/>
      <c r="C19" s="98"/>
      <c r="D19" s="98"/>
      <c r="E19" s="128"/>
      <c r="F19" s="128"/>
      <c r="G19" s="347"/>
      <c r="H19" s="130"/>
      <c r="I19" s="16"/>
    </row>
    <row r="20" spans="1:9" ht="15.75" customHeight="1" x14ac:dyDescent="0.25">
      <c r="A20" s="14"/>
      <c r="B20" s="341"/>
      <c r="C20" s="98"/>
      <c r="D20" s="98"/>
      <c r="E20" s="128"/>
      <c r="F20" s="128"/>
      <c r="G20" s="346"/>
      <c r="H20" s="130"/>
      <c r="I20" s="16"/>
    </row>
    <row r="21" spans="1:9" ht="15.75" customHeight="1" x14ac:dyDescent="0.25">
      <c r="A21" s="14"/>
      <c r="B21" s="341"/>
      <c r="C21" s="98"/>
      <c r="D21" s="30" t="s">
        <v>20</v>
      </c>
      <c r="E21" s="128"/>
      <c r="F21" s="128"/>
      <c r="G21" s="346"/>
      <c r="H21" s="130"/>
      <c r="I21" s="16"/>
    </row>
    <row r="22" spans="1:9" ht="15.75" customHeight="1" x14ac:dyDescent="0.25">
      <c r="A22" s="14"/>
      <c r="B22" s="341"/>
      <c r="C22" s="98"/>
      <c r="D22" s="32" t="s">
        <v>87</v>
      </c>
      <c r="E22" s="128"/>
      <c r="F22" s="128"/>
      <c r="G22" s="346"/>
      <c r="H22" s="130"/>
      <c r="I22" s="16"/>
    </row>
    <row r="23" spans="1:9" ht="15.75" customHeight="1" x14ac:dyDescent="0.25">
      <c r="A23" s="14"/>
      <c r="B23" s="341"/>
      <c r="C23" s="98"/>
      <c r="D23" s="331" t="s">
        <v>88</v>
      </c>
      <c r="E23" s="128"/>
      <c r="F23" s="128"/>
      <c r="G23" s="346"/>
      <c r="H23" s="130"/>
      <c r="I23" s="16"/>
    </row>
    <row r="24" spans="1:9" ht="15.75" customHeight="1" x14ac:dyDescent="0.25">
      <c r="A24" s="14"/>
      <c r="B24" s="341"/>
      <c r="C24" s="98"/>
      <c r="D24" s="98"/>
      <c r="E24" s="128"/>
      <c r="F24" s="128"/>
      <c r="G24" s="346"/>
      <c r="H24" s="130"/>
      <c r="I24" s="16"/>
    </row>
    <row r="25" spans="1:9" ht="15.75" customHeight="1" x14ac:dyDescent="0.25">
      <c r="A25" s="14"/>
      <c r="B25" s="348"/>
      <c r="C25" s="349"/>
      <c r="D25" s="349"/>
      <c r="E25" s="350"/>
      <c r="F25" s="350"/>
      <c r="G25" s="351"/>
      <c r="H25" s="130"/>
      <c r="I25" s="16"/>
    </row>
    <row r="26" spans="1:9" ht="15" customHeight="1" x14ac:dyDescent="0.25">
      <c r="B26" s="16"/>
      <c r="C26" s="72"/>
      <c r="D26" s="72" t="s">
        <v>379</v>
      </c>
      <c r="E26" s="71"/>
      <c r="F26" s="71"/>
      <c r="G26" s="382"/>
      <c r="H26" s="382"/>
      <c r="I26" s="382"/>
    </row>
    <row r="27" spans="1:9" ht="15" customHeight="1" x14ac:dyDescent="0.25">
      <c r="B27" s="16"/>
      <c r="C27" s="72"/>
      <c r="D27" s="72"/>
      <c r="E27" s="71"/>
      <c r="F27" s="71"/>
      <c r="G27" s="382"/>
      <c r="H27" s="382"/>
      <c r="I27" s="382"/>
    </row>
    <row r="28" spans="1:9" ht="15" customHeight="1" x14ac:dyDescent="0.25">
      <c r="G28" s="394"/>
      <c r="H28" s="394"/>
      <c r="I28" s="394"/>
    </row>
    <row r="29" spans="1:9" ht="15" customHeight="1" x14ac:dyDescent="0.25">
      <c r="G29" s="382"/>
      <c r="H29" s="382"/>
      <c r="I29" s="382"/>
    </row>
    <row r="65497" ht="12.75" customHeight="1" x14ac:dyDescent="0.25"/>
    <row r="65498" ht="12.75" customHeight="1" x14ac:dyDescent="0.25"/>
    <row r="65499" ht="12.75" customHeight="1" x14ac:dyDescent="0.25"/>
    <row r="65500" ht="12.75" customHeight="1" x14ac:dyDescent="0.25"/>
    <row r="65501" ht="12.75" customHeight="1" x14ac:dyDescent="0.25"/>
    <row r="65502" ht="12.75" customHeight="1" x14ac:dyDescent="0.25"/>
    <row r="65503" ht="12.75" customHeight="1" x14ac:dyDescent="0.25"/>
    <row r="65504" ht="12.75" customHeight="1" x14ac:dyDescent="0.25"/>
    <row r="65505" ht="12.75" customHeight="1" x14ac:dyDescent="0.25"/>
    <row r="65506" ht="12.75" customHeight="1" x14ac:dyDescent="0.25"/>
    <row r="65507" ht="12.75" customHeight="1" x14ac:dyDescent="0.25"/>
    <row r="65508" ht="12.75" customHeight="1" x14ac:dyDescent="0.25"/>
    <row r="65509" ht="12.75" customHeight="1" x14ac:dyDescent="0.25"/>
    <row r="65510" ht="12.75" customHeight="1" x14ac:dyDescent="0.25"/>
    <row r="65511" ht="12.75" customHeight="1" x14ac:dyDescent="0.25"/>
    <row r="65512" ht="12.75" customHeight="1" x14ac:dyDescent="0.25"/>
    <row r="65513" ht="12.75" customHeight="1" x14ac:dyDescent="0.25"/>
    <row r="65514" ht="12.75" customHeight="1" x14ac:dyDescent="0.25"/>
    <row r="65515" ht="12.75" customHeight="1" x14ac:dyDescent="0.25"/>
    <row r="65516" ht="12.75" customHeight="1" x14ac:dyDescent="0.25"/>
    <row r="65517" ht="12.75" customHeight="1" x14ac:dyDescent="0.25"/>
    <row r="65518" ht="12.75" customHeight="1" x14ac:dyDescent="0.25"/>
    <row r="65519" ht="12.75" customHeight="1" x14ac:dyDescent="0.25"/>
    <row r="65520" ht="12.75" customHeight="1" x14ac:dyDescent="0.25"/>
  </sheetData>
  <mergeCells count="8">
    <mergeCell ref="G26:I27"/>
    <mergeCell ref="G28:I28"/>
    <mergeCell ref="G29:I29"/>
    <mergeCell ref="B2:G2"/>
    <mergeCell ref="B3:G3"/>
    <mergeCell ref="B4:G4"/>
    <mergeCell ref="B5:D5"/>
    <mergeCell ref="D17:G17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1897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</vt:i4>
      </vt:variant>
    </vt:vector>
  </HeadingPairs>
  <TitlesOfParts>
    <vt:vector size="19" baseType="lpstr">
      <vt:lpstr>CRONOGRAMA</vt:lpstr>
      <vt:lpstr>COMPOSIÇÕES</vt:lpstr>
      <vt:lpstr>GERAL</vt:lpstr>
      <vt:lpstr>Levantamento</vt:lpstr>
      <vt:lpstr>ORÇAMENTO TELHADO TANCREDO</vt:lpstr>
      <vt:lpstr>CRONOGRAMA TELHADO</vt:lpstr>
      <vt:lpstr>COMPOSIÇÕES!Area_de_impressao</vt:lpstr>
      <vt:lpstr>CRONOGRAMA!Area_de_impressao</vt:lpstr>
      <vt:lpstr>'CRONOGRAMA TELHADO'!Area_de_impressao</vt:lpstr>
      <vt:lpstr>GERAL!Area_de_impressao</vt:lpstr>
      <vt:lpstr>'ORÇAMENTO TELHADO TANCREDO'!Area_de_impressao</vt:lpstr>
      <vt:lpstr>GERAL!Excel_BuiltIn_Print_Area</vt:lpstr>
      <vt:lpstr>'ORÇAMENTO TELHADO TANCREDO'!Excel_BuiltIn_Print_Area</vt:lpstr>
      <vt:lpstr>GERAL!Print_Area_0</vt:lpstr>
      <vt:lpstr>'ORÇAMENTO TELHADO TANCREDO'!Print_Area_0</vt:lpstr>
      <vt:lpstr>GERAL!Print_Area_1</vt:lpstr>
      <vt:lpstr>'ORÇAMENTO TELHADO TANCREDO'!Print_Area_1</vt:lpstr>
      <vt:lpstr>GERAL!Titulos_de_impressao</vt:lpstr>
      <vt:lpstr>'ORÇAMENTO TELHADO TANCREDO'!Titulos_de_impressao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urbanismo5</dc:creator>
  <cp:lastModifiedBy>Urbanismo10</cp:lastModifiedBy>
  <cp:revision>92</cp:revision>
  <cp:lastPrinted>2026-04-30T18:25:33Z</cp:lastPrinted>
  <dcterms:created xsi:type="dcterms:W3CDTF">2015-04-17T17:12:20Z</dcterms:created>
  <dcterms:modified xsi:type="dcterms:W3CDTF">2026-04-30T19:27:16Z</dcterms:modified>
  <dc:language>pt-BR</dc:language>
</cp:coreProperties>
</file>