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codeName="{372AB895-14C1-FC20-EB20-F1B4BCFD95AE}"/>
  <workbookPr codeName="EstaPasta_de_trabalho"/>
  <mc:AlternateContent xmlns:mc="http://schemas.openxmlformats.org/markup-compatibility/2006">
    <mc:Choice Requires="x15">
      <x15ac:absPath xmlns:x15ac="http://schemas.microsoft.com/office/spreadsheetml/2010/11/ac" url="C:\Users\felipe.zortea\Desktop\DOCS\Registro de preços\REGISTROS DE PREÇOS 2024\MATERIAIS BRITADOS\2024\LICITAÇÃO\"/>
    </mc:Choice>
  </mc:AlternateContent>
  <xr:revisionPtr revIDLastSave="0" documentId="13_ncr:1_{6FB0684F-0EF2-4C6C-A413-55F6B655F287}" xr6:coauthVersionLast="47" xr6:coauthVersionMax="47" xr10:uidLastSave="{00000000-0000-0000-0000-000000000000}"/>
  <bookViews>
    <workbookView xWindow="-120" yWindow="-120" windowWidth="29040" windowHeight="15840" activeTab="3" xr2:uid="{00000000-000D-0000-FFFF-FFFF00000000}"/>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(1)'!$I$1:$R$51</definedName>
    <definedName name="_xlnm.Print_Area" localSheetId="2">'BDI (2)'!$I$1:$R$51</definedName>
    <definedName name="_xlnm.Print_Area" localSheetId="5">CFF!$L$1:$AA$45</definedName>
    <definedName name="_xlnm.Print_Area" localSheetId="0">DADOS!$A$1:$X$87</definedName>
    <definedName name="_xlnm.Print_Area" localSheetId="4">PLQ!$B$1:$O$60</definedName>
    <definedName name="_xlnm.Print_Area" localSheetId="3">PO!$K$1:$T$70</definedName>
    <definedName name="_xlnm.Database">TEXT(Import.DataBase,"mm-aaaa")</definedName>
    <definedName name="CFF.ColunaPadrão">CFF!$AK:$AK</definedName>
    <definedName name="CFF.Colunas">CFF!$P$10:$AF$10</definedName>
    <definedName name="CFF.Dados">OFFSET(CFF!$L$17,1,0):OFFSET(CFF!$AF$39,-1,-1)</definedName>
    <definedName name="CFF.IncluirLinha">MAX(PO!$V$12:$V$54)*CFF.NumLinha-ROW(CFF!$F$39)+ROW(CFF!$F$17)+1</definedName>
    <definedName name="CFF.Item">OFFSET(CFF!$L$17,1,0):OFFSET(CFF!$AF$39,-1,-1)</definedName>
    <definedName name="CFF.LinhaPadrão">CFF!$A$11:$W$11</definedName>
    <definedName name="CFF.NumLinha">ROW(CFF!$D$14)-ROW(CFF!$D$10)-1</definedName>
    <definedName name="Código" localSheetId="3">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OFFSET(PO!$M$12,1,0):OFFSET(PO!$M$54,-1,0)</definedName>
    <definedName name="Import.CR">DADOS!$A$29</definedName>
    <definedName name="Import.CTEF">DADOS!$A$43</definedName>
    <definedName name="Import.CustoUnitário">OFFSET(PO!$Q$12,1,0):OFFSET(PO!$Q$54,-1,0)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OFFSET(PO!$N$12,1,0):OFFSET(PO!$N$54,-1,0)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OFFSET(PO!$L$12,1,0):OFFSET(PO!$L$54,-1,0)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OFFSET(PO!$K$12,1,0):OFFSET(PO!$K$54,-1,0)</definedName>
    <definedName name="Import.Localidade">DADOS!$K$32</definedName>
    <definedName name="Import.LocalSINAPI">DADOS!$D$38</definedName>
    <definedName name="Import.Município">DADOS!$G$32</definedName>
    <definedName name="Import.Nível">OFFSET(PO!$J$12,1,0):OFFSET(PO!$J$54,-1,0)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OFFSET(PLQ!$F$12,1,0):OFFSET(PLQ!$P$54,-1,-1)</definedName>
    <definedName name="Import.POArred">PO!$X$3:$X$7</definedName>
    <definedName name="Import.PreçoTotal">OFFSET(PO!$T$12,1,0):OFFSET(PO!$T$54,-1,0)</definedName>
    <definedName name="Import.PreçoUnitário">OFFSET(PO!$S$12,1,0):OFFSET(PO!$S$54,-1,0)</definedName>
    <definedName name="Import.Programa">DADOS!$F$29</definedName>
    <definedName name="Import.Proponente">DADOS!$A$32</definedName>
    <definedName name="Import.Quantidade">OFFSET(PO!$P$12,1,0):OFFSET(PO!$P$54,-1,0)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OFFSET(PO!$O$12,1,0):OFFSET(PO!$O$54,-1,0)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OFFSET(PO!$Z$12,1,0):OFFSET(PO!$Z$54,-1,0)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PO!$K$55</definedName>
    <definedName name="linhaSINAPIxls" localSheetId="3">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PLQ!$B$9:OFFSET(PLQ!$B$54,-1,0)</definedName>
    <definedName name="PLQ.LinhaPadrão">PLQ!$A$11:$P$11</definedName>
    <definedName name="PLQ.qtde.frentes">COUNTA(PLQ!$F$9:$P$9)</definedName>
    <definedName name="PO.BDI">OFFSET(PO!$R$12,1,0):OFFSET(PO!$R$54,-1,0)</definedName>
    <definedName name="PO.CustoRef">OFFSET(PO!$Y$12,1,0):OFFSET(PO!$Y$54,-1,0)</definedName>
    <definedName name="PO.CustoUnitario">ROUND(PO!$Q1,15-13*PO!$X$4)</definedName>
    <definedName name="PO.Dados">PO!$C$12:OFFSET(PO!$Z$54,-1,0)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workbook>
</file>

<file path=xl/calcChain.xml><?xml version="1.0" encoding="utf-8"?>
<calcChain xmlns="http://schemas.openxmlformats.org/spreadsheetml/2006/main">
  <c r="P31" i="12" l="1"/>
  <c r="P37" i="12"/>
  <c r="P15" i="12"/>
  <c r="P50" i="12"/>
  <c r="P49" i="12"/>
  <c r="P43" i="12"/>
  <c r="P44" i="12"/>
  <c r="AA36" i="11"/>
  <c r="Z36" i="11"/>
  <c r="Y36" i="11"/>
  <c r="X36" i="11"/>
  <c r="W36" i="11"/>
  <c r="V36" i="11"/>
  <c r="U36" i="11"/>
  <c r="T36" i="11"/>
  <c r="S36" i="11"/>
  <c r="Q36" i="11"/>
  <c r="P36" i="11"/>
  <c r="AA33" i="11"/>
  <c r="Z33" i="11"/>
  <c r="Y33" i="11"/>
  <c r="X33" i="11"/>
  <c r="W33" i="11"/>
  <c r="V33" i="11"/>
  <c r="U33" i="11"/>
  <c r="T33" i="11"/>
  <c r="S33" i="11"/>
  <c r="Q33" i="11"/>
  <c r="P33" i="11"/>
  <c r="AA30" i="11"/>
  <c r="Z30" i="11"/>
  <c r="Y30" i="11"/>
  <c r="X30" i="11"/>
  <c r="W30" i="11"/>
  <c r="V30" i="11"/>
  <c r="U30" i="11"/>
  <c r="T30" i="11"/>
  <c r="S30" i="11"/>
  <c r="Q30" i="11"/>
  <c r="P30" i="11"/>
  <c r="AA27" i="11"/>
  <c r="Z27" i="11"/>
  <c r="Y27" i="11"/>
  <c r="X27" i="11"/>
  <c r="W27" i="11"/>
  <c r="V27" i="11"/>
  <c r="U27" i="11"/>
  <c r="T27" i="11"/>
  <c r="S27" i="11"/>
  <c r="Q27" i="11"/>
  <c r="P27" i="11"/>
  <c r="AA24" i="11"/>
  <c r="Z24" i="11"/>
  <c r="Y24" i="11"/>
  <c r="X24" i="11"/>
  <c r="W24" i="11"/>
  <c r="V24" i="11"/>
  <c r="U24" i="11"/>
  <c r="T24" i="11"/>
  <c r="S24" i="11"/>
  <c r="Q24" i="11"/>
  <c r="P24" i="11"/>
  <c r="Z21" i="11"/>
  <c r="Y21" i="11"/>
  <c r="X21" i="11"/>
  <c r="W21" i="11"/>
  <c r="V21" i="11"/>
  <c r="U21" i="11"/>
  <c r="T21" i="11"/>
  <c r="S21" i="11"/>
  <c r="R21" i="11"/>
  <c r="R24" i="11" s="1"/>
  <c r="R27" i="11" s="1"/>
  <c r="R30" i="11" s="1"/>
  <c r="R33" i="11" s="1"/>
  <c r="R36" i="11" s="1"/>
  <c r="N23" i="18" l="1"/>
  <c r="J50" i="18" l="1"/>
  <c r="J49" i="18"/>
  <c r="J48" i="18"/>
  <c r="J47" i="18"/>
  <c r="A45" i="18"/>
  <c r="A46" i="18" s="1"/>
  <c r="C44" i="18"/>
  <c r="O42" i="18"/>
  <c r="A39" i="18"/>
  <c r="A40" i="18" s="1"/>
  <c r="C38" i="18"/>
  <c r="I35" i="18"/>
  <c r="M32" i="18"/>
  <c r="I29" i="18"/>
  <c r="A29" i="18"/>
  <c r="A32" i="18" s="1"/>
  <c r="A28" i="18"/>
  <c r="C28" i="18" s="1"/>
  <c r="C27" i="18"/>
  <c r="N24" i="18"/>
  <c r="N26" i="18" s="1"/>
  <c r="C23" i="18"/>
  <c r="A23" i="18"/>
  <c r="A24" i="18" s="1"/>
  <c r="M22" i="18"/>
  <c r="I22" i="18"/>
  <c r="A22" i="18"/>
  <c r="C22" i="18" s="1"/>
  <c r="M21" i="18"/>
  <c r="I21" i="18"/>
  <c r="C21" i="18"/>
  <c r="M20" i="18"/>
  <c r="I20" i="18"/>
  <c r="M19" i="18"/>
  <c r="I19" i="18"/>
  <c r="M18" i="18"/>
  <c r="I18" i="18"/>
  <c r="C17" i="18"/>
  <c r="A17" i="18"/>
  <c r="A18" i="18" s="1"/>
  <c r="C15" i="18"/>
  <c r="A15" i="18"/>
  <c r="C14" i="18"/>
  <c r="C13" i="18"/>
  <c r="C12" i="18"/>
  <c r="Q11" i="18"/>
  <c r="L32" i="18" s="1"/>
  <c r="C11" i="18"/>
  <c r="C10" i="18"/>
  <c r="C9" i="18"/>
  <c r="I8" i="18"/>
  <c r="C8" i="18"/>
  <c r="K5" i="18"/>
  <c r="I5" i="18"/>
  <c r="C3" i="18"/>
  <c r="A3" i="18"/>
  <c r="A4" i="18" s="1"/>
  <c r="C2" i="18"/>
  <c r="N1" i="18"/>
  <c r="F48" i="13"/>
  <c r="A48" i="13"/>
  <c r="E48" i="13" s="1"/>
  <c r="X48" i="12"/>
  <c r="W48" i="12"/>
  <c r="A48" i="12"/>
  <c r="F42" i="13"/>
  <c r="A42" i="13"/>
  <c r="E42" i="13" s="1"/>
  <c r="X42" i="12"/>
  <c r="W42" i="12"/>
  <c r="A42" i="12"/>
  <c r="F36" i="13"/>
  <c r="A36" i="13"/>
  <c r="E36" i="13" s="1"/>
  <c r="X36" i="12"/>
  <c r="W36" i="12"/>
  <c r="A36" i="12"/>
  <c r="F22" i="13"/>
  <c r="A22" i="13"/>
  <c r="E22" i="13" s="1"/>
  <c r="X22" i="12"/>
  <c r="W22" i="12"/>
  <c r="A22" i="12"/>
  <c r="F14" i="13"/>
  <c r="A14" i="13"/>
  <c r="E14" i="13" s="1"/>
  <c r="X14" i="12"/>
  <c r="W14" i="12"/>
  <c r="A14" i="12"/>
  <c r="F30" i="13"/>
  <c r="A30" i="13"/>
  <c r="E30" i="13" s="1"/>
  <c r="X30" i="12"/>
  <c r="D30" i="13" s="1"/>
  <c r="W30" i="12"/>
  <c r="A30" i="12"/>
  <c r="X2" i="11"/>
  <c r="A5" i="18" l="1"/>
  <c r="C4" i="18"/>
  <c r="C18" i="18"/>
  <c r="A19" i="18"/>
  <c r="A41" i="18"/>
  <c r="C40" i="18"/>
  <c r="A25" i="18"/>
  <c r="C24" i="18"/>
  <c r="C46" i="18"/>
  <c r="A47" i="18"/>
  <c r="A33" i="18"/>
  <c r="C32" i="18"/>
  <c r="O27" i="18"/>
  <c r="N25" i="18"/>
  <c r="M33" i="18"/>
  <c r="C29" i="18"/>
  <c r="I37" i="18"/>
  <c r="C39" i="18"/>
  <c r="C45" i="18"/>
  <c r="D48" i="13"/>
  <c r="D42" i="13"/>
  <c r="D36" i="13"/>
  <c r="D22" i="13"/>
  <c r="D14" i="13"/>
  <c r="F53" i="13"/>
  <c r="A53" i="13"/>
  <c r="W53" i="12"/>
  <c r="A53" i="12"/>
  <c r="B53" i="12" s="1"/>
  <c r="F51" i="13"/>
  <c r="A51" i="13"/>
  <c r="F50" i="13"/>
  <c r="A50" i="13"/>
  <c r="F49" i="13"/>
  <c r="A49" i="13"/>
  <c r="F47" i="13"/>
  <c r="A47" i="13"/>
  <c r="F46" i="13"/>
  <c r="A46" i="13"/>
  <c r="F45" i="13"/>
  <c r="A45" i="13"/>
  <c r="F44" i="13"/>
  <c r="A44" i="13"/>
  <c r="F43" i="13"/>
  <c r="A43" i="13"/>
  <c r="F41" i="13"/>
  <c r="A41" i="13"/>
  <c r="F40" i="13"/>
  <c r="A40" i="13"/>
  <c r="F39" i="13"/>
  <c r="A39" i="13"/>
  <c r="F38" i="13"/>
  <c r="A38" i="13"/>
  <c r="F37" i="13"/>
  <c r="A37" i="13"/>
  <c r="F35" i="13"/>
  <c r="A35" i="13"/>
  <c r="F34" i="13"/>
  <c r="A34" i="13"/>
  <c r="F33" i="13"/>
  <c r="A33" i="13"/>
  <c r="F32" i="13"/>
  <c r="A32" i="13"/>
  <c r="F31" i="13"/>
  <c r="A31" i="13"/>
  <c r="W51" i="12"/>
  <c r="A51" i="12"/>
  <c r="V51" i="12" s="1"/>
  <c r="W50" i="12"/>
  <c r="A50" i="12"/>
  <c r="I50" i="12" s="1"/>
  <c r="W49" i="12"/>
  <c r="A49" i="12"/>
  <c r="I49" i="12" s="1"/>
  <c r="W47" i="12"/>
  <c r="A47" i="12"/>
  <c r="I47" i="12" s="1"/>
  <c r="W46" i="12"/>
  <c r="A46" i="12"/>
  <c r="I46" i="12" s="1"/>
  <c r="W45" i="12"/>
  <c r="A45" i="12"/>
  <c r="I45" i="12" s="1"/>
  <c r="W44" i="12"/>
  <c r="A44" i="12"/>
  <c r="I44" i="12" s="1"/>
  <c r="W43" i="12"/>
  <c r="A43" i="12"/>
  <c r="I43" i="12" s="1"/>
  <c r="W41" i="12"/>
  <c r="A41" i="12"/>
  <c r="I41" i="12" s="1"/>
  <c r="W40" i="12"/>
  <c r="A40" i="12"/>
  <c r="I40" i="12" s="1"/>
  <c r="W39" i="12"/>
  <c r="A39" i="12"/>
  <c r="I39" i="12" s="1"/>
  <c r="W38" i="12"/>
  <c r="A38" i="12"/>
  <c r="I38" i="12" s="1"/>
  <c r="W37" i="12"/>
  <c r="A37" i="12"/>
  <c r="I37" i="12" s="1"/>
  <c r="W35" i="12"/>
  <c r="A35" i="12"/>
  <c r="I35" i="12" s="1"/>
  <c r="W34" i="12"/>
  <c r="A34" i="12"/>
  <c r="I34" i="12" s="1"/>
  <c r="W33" i="12"/>
  <c r="A33" i="12"/>
  <c r="I33" i="12" s="1"/>
  <c r="W32" i="12"/>
  <c r="A32" i="12"/>
  <c r="I32" i="12" s="1"/>
  <c r="W31" i="12"/>
  <c r="A31" i="12"/>
  <c r="A26" i="18" l="1"/>
  <c r="C26" i="18" s="1"/>
  <c r="C25" i="18"/>
  <c r="N27" i="18"/>
  <c r="O25" i="18"/>
  <c r="A42" i="18"/>
  <c r="C41" i="18"/>
  <c r="A34" i="18"/>
  <c r="C34" i="18" s="1"/>
  <c r="C33" i="18"/>
  <c r="A20" i="18"/>
  <c r="C20" i="18" s="1"/>
  <c r="C19" i="18"/>
  <c r="A48" i="18"/>
  <c r="C47" i="18"/>
  <c r="C5" i="18"/>
  <c r="A6" i="18"/>
  <c r="C48" i="13"/>
  <c r="C42" i="13"/>
  <c r="C36" i="13"/>
  <c r="C22" i="13"/>
  <c r="C14" i="13"/>
  <c r="C30" i="13"/>
  <c r="V43" i="12"/>
  <c r="V38" i="12"/>
  <c r="H53" i="12"/>
  <c r="V33" i="12"/>
  <c r="V47" i="12"/>
  <c r="V41" i="12"/>
  <c r="V46" i="12"/>
  <c r="V40" i="12"/>
  <c r="V45" i="12"/>
  <c r="V50" i="12"/>
  <c r="V37" i="12"/>
  <c r="V35" i="12"/>
  <c r="V34" i="12"/>
  <c r="V39" i="12"/>
  <c r="V44" i="12"/>
  <c r="V49" i="12"/>
  <c r="E53" i="13"/>
  <c r="V53" i="12"/>
  <c r="I53" i="12"/>
  <c r="H32" i="12"/>
  <c r="H33" i="12"/>
  <c r="H34" i="12"/>
  <c r="H35" i="12"/>
  <c r="H37" i="12"/>
  <c r="H38" i="12"/>
  <c r="H39" i="12"/>
  <c r="H40" i="12"/>
  <c r="H41" i="12"/>
  <c r="H43" i="12"/>
  <c r="H44" i="12"/>
  <c r="H45" i="12"/>
  <c r="H46" i="12"/>
  <c r="H47" i="12"/>
  <c r="H49" i="12"/>
  <c r="H50" i="12"/>
  <c r="H31" i="12"/>
  <c r="V31" i="12"/>
  <c r="I31" i="12"/>
  <c r="V32" i="12"/>
  <c r="E32" i="13"/>
  <c r="B31" i="12"/>
  <c r="B32" i="12"/>
  <c r="B33" i="12"/>
  <c r="B34" i="12"/>
  <c r="B35" i="12"/>
  <c r="B37" i="12"/>
  <c r="B38" i="12"/>
  <c r="B39" i="12"/>
  <c r="B40" i="12"/>
  <c r="B41" i="12"/>
  <c r="B43" i="12"/>
  <c r="B44" i="12"/>
  <c r="B45" i="12"/>
  <c r="B46" i="12"/>
  <c r="B47" i="12"/>
  <c r="B49" i="12"/>
  <c r="B50" i="12"/>
  <c r="I51" i="12"/>
  <c r="E31" i="13"/>
  <c r="E33" i="13"/>
  <c r="E35" i="13"/>
  <c r="E38" i="13"/>
  <c r="E40" i="13"/>
  <c r="E43" i="13"/>
  <c r="E45" i="13"/>
  <c r="E47" i="13"/>
  <c r="E50" i="13"/>
  <c r="B51" i="12"/>
  <c r="E34" i="13"/>
  <c r="E37" i="13"/>
  <c r="E39" i="13"/>
  <c r="E41" i="13"/>
  <c r="E44" i="13"/>
  <c r="E46" i="13"/>
  <c r="E49" i="13"/>
  <c r="E51" i="13"/>
  <c r="H51" i="12"/>
  <c r="F52" i="13"/>
  <c r="A52" i="13"/>
  <c r="F29" i="13"/>
  <c r="A29" i="13"/>
  <c r="F28" i="13"/>
  <c r="A28" i="13"/>
  <c r="F27" i="13"/>
  <c r="A27" i="13"/>
  <c r="F26" i="13"/>
  <c r="A26" i="13"/>
  <c r="F25" i="13"/>
  <c r="A25" i="13"/>
  <c r="F24" i="13"/>
  <c r="A24" i="13"/>
  <c r="F23" i="13"/>
  <c r="A23" i="13"/>
  <c r="F21" i="13"/>
  <c r="A21" i="13"/>
  <c r="F20" i="13"/>
  <c r="A20" i="13"/>
  <c r="W52" i="12"/>
  <c r="A52" i="12"/>
  <c r="V52" i="12" s="1"/>
  <c r="W29" i="12"/>
  <c r="A29" i="12"/>
  <c r="H29" i="12" s="1"/>
  <c r="W28" i="12"/>
  <c r="A28" i="12"/>
  <c r="V28" i="12" s="1"/>
  <c r="W27" i="12"/>
  <c r="A27" i="12"/>
  <c r="V27" i="12" s="1"/>
  <c r="W26" i="12"/>
  <c r="A26" i="12"/>
  <c r="V26" i="12" s="1"/>
  <c r="W25" i="12"/>
  <c r="A25" i="12"/>
  <c r="V25" i="12" s="1"/>
  <c r="W24" i="12"/>
  <c r="A24" i="12"/>
  <c r="V24" i="12" s="1"/>
  <c r="W23" i="12"/>
  <c r="A23" i="12"/>
  <c r="V23" i="12" s="1"/>
  <c r="W21" i="12"/>
  <c r="A21" i="12"/>
  <c r="V21" i="12" s="1"/>
  <c r="W20" i="12"/>
  <c r="A20" i="12"/>
  <c r="V20" i="12" s="1"/>
  <c r="F19" i="13"/>
  <c r="A19" i="13"/>
  <c r="F18" i="13"/>
  <c r="A18" i="13"/>
  <c r="F17" i="13"/>
  <c r="A17" i="13"/>
  <c r="F16" i="13"/>
  <c r="A16" i="13"/>
  <c r="F15" i="13"/>
  <c r="A15" i="13"/>
  <c r="W19" i="12"/>
  <c r="A19" i="12"/>
  <c r="H19" i="12" s="1"/>
  <c r="W18" i="12"/>
  <c r="A18" i="12"/>
  <c r="H18" i="12" s="1"/>
  <c r="W17" i="12"/>
  <c r="A17" i="12"/>
  <c r="H17" i="12" s="1"/>
  <c r="W16" i="12"/>
  <c r="A16" i="12"/>
  <c r="V16" i="12" s="1"/>
  <c r="W15" i="12"/>
  <c r="A15" i="12"/>
  <c r="V15" i="12" s="1"/>
  <c r="A49" i="18" l="1"/>
  <c r="C49" i="18" s="1"/>
  <c r="C48" i="18"/>
  <c r="A43" i="18"/>
  <c r="C43" i="18" s="1"/>
  <c r="C42" i="18"/>
  <c r="A7" i="18"/>
  <c r="C7" i="18" s="1"/>
  <c r="C6" i="18"/>
  <c r="R19" i="18" s="1"/>
  <c r="Q20" i="18"/>
  <c r="P26" i="18"/>
  <c r="P22" i="18"/>
  <c r="R21" i="18"/>
  <c r="Q19" i="18"/>
  <c r="P18" i="18"/>
  <c r="P21" i="18"/>
  <c r="R26" i="18"/>
  <c r="Q26" i="18"/>
  <c r="R22" i="18"/>
  <c r="Q21" i="18"/>
  <c r="R18" i="18"/>
  <c r="Q22" i="18"/>
  <c r="R20" i="18"/>
  <c r="H27" i="12"/>
  <c r="H23" i="12"/>
  <c r="H15" i="12"/>
  <c r="H52" i="12"/>
  <c r="V17" i="12"/>
  <c r="V18" i="12"/>
  <c r="H20" i="12"/>
  <c r="H25" i="12"/>
  <c r="V29" i="12"/>
  <c r="H16" i="12"/>
  <c r="H21" i="12"/>
  <c r="H26" i="12"/>
  <c r="H24" i="12"/>
  <c r="H28" i="12"/>
  <c r="I20" i="12"/>
  <c r="I21" i="12"/>
  <c r="I23" i="12"/>
  <c r="I24" i="12"/>
  <c r="I25" i="12"/>
  <c r="I26" i="12"/>
  <c r="I27" i="12"/>
  <c r="I28" i="12"/>
  <c r="I29" i="12"/>
  <c r="I52" i="12"/>
  <c r="E20" i="13"/>
  <c r="E23" i="13"/>
  <c r="E25" i="13"/>
  <c r="E27" i="13"/>
  <c r="E29" i="13"/>
  <c r="B20" i="12"/>
  <c r="B21" i="12"/>
  <c r="B23" i="12"/>
  <c r="B24" i="12"/>
  <c r="B25" i="12"/>
  <c r="B26" i="12"/>
  <c r="B27" i="12"/>
  <c r="B28" i="12"/>
  <c r="B29" i="12"/>
  <c r="B52" i="12"/>
  <c r="E21" i="13"/>
  <c r="E24" i="13"/>
  <c r="E26" i="13"/>
  <c r="E28" i="13"/>
  <c r="E52" i="13"/>
  <c r="E16" i="13"/>
  <c r="E18" i="13"/>
  <c r="V19" i="12"/>
  <c r="I15" i="12"/>
  <c r="I16" i="12"/>
  <c r="I17" i="12"/>
  <c r="I18" i="12"/>
  <c r="I19" i="12"/>
  <c r="E15" i="13"/>
  <c r="E17" i="13"/>
  <c r="E19" i="13"/>
  <c r="B15" i="12"/>
  <c r="B16" i="12"/>
  <c r="B17" i="12"/>
  <c r="B18" i="12"/>
  <c r="B19" i="12"/>
  <c r="O26" i="18" l="1"/>
  <c r="V27" i="18" s="1"/>
  <c r="T16" i="18" s="1"/>
  <c r="P20" i="18"/>
  <c r="Q18" i="18"/>
  <c r="P19" i="18"/>
  <c r="D53" i="13"/>
  <c r="D52" i="13"/>
  <c r="D51" i="13"/>
  <c r="D50" i="13"/>
  <c r="D49" i="13"/>
  <c r="D47" i="13"/>
  <c r="D46" i="13"/>
  <c r="D43" i="13"/>
  <c r="D41" i="13"/>
  <c r="D40" i="13"/>
  <c r="D39" i="13"/>
  <c r="D38" i="13"/>
  <c r="D37" i="13"/>
  <c r="D35" i="13"/>
  <c r="D34" i="13"/>
  <c r="D33" i="13"/>
  <c r="D29" i="13"/>
  <c r="D28" i="13"/>
  <c r="D27" i="13"/>
  <c r="D26" i="13"/>
  <c r="D25" i="13"/>
  <c r="D21" i="13"/>
  <c r="D20" i="13"/>
  <c r="D17" i="13"/>
  <c r="D16" i="13"/>
  <c r="D15" i="13"/>
  <c r="C53" i="13"/>
  <c r="C52" i="13"/>
  <c r="C51" i="13"/>
  <c r="C50" i="13"/>
  <c r="C49" i="13"/>
  <c r="C47" i="13"/>
  <c r="C46" i="13"/>
  <c r="D45" i="13"/>
  <c r="C45" i="13"/>
  <c r="C44" i="13"/>
  <c r="D44" i="13"/>
  <c r="C43" i="13"/>
  <c r="C41" i="13"/>
  <c r="C40" i="13"/>
  <c r="C39" i="13"/>
  <c r="C38" i="13"/>
  <c r="C37" i="13"/>
  <c r="C35" i="13"/>
  <c r="C34" i="13"/>
  <c r="C33" i="13"/>
  <c r="C32" i="13"/>
  <c r="D32" i="13"/>
  <c r="C31" i="13"/>
  <c r="D31" i="13"/>
  <c r="C29" i="13"/>
  <c r="C28" i="13"/>
  <c r="C27" i="13"/>
  <c r="C26" i="13"/>
  <c r="C25" i="13"/>
  <c r="D24" i="13"/>
  <c r="C24" i="13"/>
  <c r="D23" i="13"/>
  <c r="C23" i="13"/>
  <c r="C21" i="13"/>
  <c r="C20" i="13"/>
  <c r="C19" i="13"/>
  <c r="D19" i="13"/>
  <c r="D18" i="13"/>
  <c r="C18" i="13"/>
  <c r="C17" i="13"/>
  <c r="C16" i="13"/>
  <c r="C15" i="13"/>
  <c r="F11" i="13" l="1"/>
  <c r="F13" i="13"/>
  <c r="E7" i="13" l="1"/>
  <c r="P9" i="12"/>
  <c r="F10" i="13"/>
  <c r="G10" i="13" s="1"/>
  <c r="H10" i="13" s="1"/>
  <c r="I10" i="13" s="1"/>
  <c r="J10" i="13" s="1"/>
  <c r="K10" i="13" s="1"/>
  <c r="L10" i="13" s="1"/>
  <c r="M10" i="13" s="1"/>
  <c r="N10" i="13" s="1"/>
  <c r="O10" i="13" s="1"/>
  <c r="U10" i="13"/>
  <c r="AK9" i="11"/>
  <c r="AK10" i="11" s="1"/>
  <c r="K62" i="12"/>
  <c r="X13" i="12"/>
  <c r="W13" i="12"/>
  <c r="N24" i="17"/>
  <c r="N26" i="17" s="1"/>
  <c r="Q224" i="16"/>
  <c r="Q223" i="16"/>
  <c r="P2" i="11"/>
  <c r="A20" i="11"/>
  <c r="A23" i="11" s="1"/>
  <c r="Q10" i="12"/>
  <c r="Q11" i="17"/>
  <c r="M33" i="17" s="1"/>
  <c r="N8" i="11"/>
  <c r="O9" i="11"/>
  <c r="P9" i="11" s="1"/>
  <c r="O10" i="11"/>
  <c r="A13" i="11"/>
  <c r="K13" i="11" s="1"/>
  <c r="N11" i="11" s="1"/>
  <c r="D17" i="11"/>
  <c r="L41" i="11"/>
  <c r="B59" i="13"/>
  <c r="A11" i="13"/>
  <c r="E11" i="13" s="1"/>
  <c r="X11" i="12"/>
  <c r="O11" i="12" s="1"/>
  <c r="D11" i="13" s="1"/>
  <c r="J12" i="12"/>
  <c r="A12" i="13" s="1"/>
  <c r="N12" i="12"/>
  <c r="U12" i="12" s="1"/>
  <c r="A13" i="13"/>
  <c r="E13" i="13" s="1"/>
  <c r="K65"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V38" i="16"/>
  <c r="U38" i="16"/>
  <c r="X38" i="16"/>
  <c r="A26" i="11" l="1"/>
  <c r="I49" i="17"/>
  <c r="I49" i="18"/>
  <c r="B56" i="13"/>
  <c r="I42" i="18"/>
  <c r="I50" i="17"/>
  <c r="I50" i="18"/>
  <c r="A46" i="17"/>
  <c r="A47" i="17" s="1"/>
  <c r="A48" i="17" s="1"/>
  <c r="A40" i="17"/>
  <c r="A41" i="17" s="1"/>
  <c r="A17" i="17"/>
  <c r="C17" i="17" s="1"/>
  <c r="G57" i="16"/>
  <c r="C46" i="17"/>
  <c r="C40" i="17"/>
  <c r="C28" i="17"/>
  <c r="N25" i="17"/>
  <c r="O25" i="17" s="1"/>
  <c r="I37" i="17"/>
  <c r="L32" i="17"/>
  <c r="A49" i="17"/>
  <c r="C49" i="17" s="1"/>
  <c r="C48" i="17"/>
  <c r="C47" i="17"/>
  <c r="A4" i="17"/>
  <c r="A23" i="17"/>
  <c r="D11" i="12"/>
  <c r="V11" i="12"/>
  <c r="F11" i="12"/>
  <c r="H11" i="12"/>
  <c r="E11" i="12"/>
  <c r="C11" i="12"/>
  <c r="B11" i="12"/>
  <c r="C13" i="12"/>
  <c r="V13" i="12"/>
  <c r="F13" i="12"/>
  <c r="L44"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A29" i="11" l="1"/>
  <c r="V14" i="12"/>
  <c r="M21" i="11" s="1"/>
  <c r="C14" i="12"/>
  <c r="D14" i="12"/>
  <c r="D15" i="12" s="1"/>
  <c r="D16" i="12" s="1"/>
  <c r="D17" i="12" s="1"/>
  <c r="D18" i="12" s="1"/>
  <c r="D19" i="12" s="1"/>
  <c r="D20" i="12" s="1"/>
  <c r="D21" i="12" s="1"/>
  <c r="E14" i="12"/>
  <c r="E15" i="12" s="1"/>
  <c r="E16" i="12" s="1"/>
  <c r="E17" i="12" s="1"/>
  <c r="E18" i="12" s="1"/>
  <c r="E19" i="12" s="1"/>
  <c r="E20" i="12" s="1"/>
  <c r="E21" i="12" s="1"/>
  <c r="G14" i="12"/>
  <c r="G15" i="12" s="1"/>
  <c r="G16" i="12" s="1"/>
  <c r="G17" i="12" s="1"/>
  <c r="G18" i="12" s="1"/>
  <c r="G19" i="12" s="1"/>
  <c r="G20" i="12" s="1"/>
  <c r="G21" i="12" s="1"/>
  <c r="F14" i="12"/>
  <c r="F15" i="12" s="1"/>
  <c r="F16" i="12" s="1"/>
  <c r="F17" i="12" s="1"/>
  <c r="F18" i="12" s="1"/>
  <c r="F19" i="12" s="1"/>
  <c r="F20" i="12" s="1"/>
  <c r="F21" i="12" s="1"/>
  <c r="A18" i="17"/>
  <c r="N27" i="17"/>
  <c r="A5" i="17"/>
  <c r="C4" i="17"/>
  <c r="A19" i="17"/>
  <c r="C18" i="17"/>
  <c r="C23" i="17"/>
  <c r="A24" i="17"/>
  <c r="C20" i="11"/>
  <c r="K11" i="12"/>
  <c r="B11" i="13" s="1"/>
  <c r="M18" i="11"/>
  <c r="K13" i="12"/>
  <c r="L18" i="11" s="1"/>
  <c r="C11" i="13"/>
  <c r="R9" i="11"/>
  <c r="S9" i="11" s="1"/>
  <c r="T9" i="11" s="1"/>
  <c r="U9" i="11" s="1"/>
  <c r="V9" i="11" s="1"/>
  <c r="W9" i="11" s="1"/>
  <c r="X9" i="11" s="1"/>
  <c r="Y9" i="11" s="1"/>
  <c r="Z9" i="11" s="1"/>
  <c r="AA9" i="11" s="1"/>
  <c r="AB9" i="11" s="1"/>
  <c r="AC9" i="11" s="1"/>
  <c r="AD9" i="11" s="1"/>
  <c r="AE9" i="11" s="1"/>
  <c r="G13" i="11"/>
  <c r="I13" i="11"/>
  <c r="H13" i="11"/>
  <c r="B13" i="11"/>
  <c r="E13" i="11"/>
  <c r="J13" i="11"/>
  <c r="C42" i="17"/>
  <c r="A43" i="17"/>
  <c r="C43" i="17" s="1"/>
  <c r="C33" i="17"/>
  <c r="A34" i="17"/>
  <c r="C34" i="17" s="1"/>
  <c r="T38" i="16"/>
  <c r="C23" i="11" l="1"/>
  <c r="A32" i="11"/>
  <c r="V22" i="12"/>
  <c r="Z48" i="12"/>
  <c r="S48" i="12" s="1"/>
  <c r="Z42" i="12"/>
  <c r="S42" i="12" s="1"/>
  <c r="Z36" i="12"/>
  <c r="S36" i="12" s="1"/>
  <c r="Z22" i="12"/>
  <c r="S22" i="12" s="1"/>
  <c r="F22" i="12"/>
  <c r="F23" i="12" s="1"/>
  <c r="F24" i="12" s="1"/>
  <c r="F25" i="12" s="1"/>
  <c r="F26" i="12" s="1"/>
  <c r="F27" i="12" s="1"/>
  <c r="F28" i="12" s="1"/>
  <c r="F29" i="12" s="1"/>
  <c r="F30" i="12" s="1"/>
  <c r="F31" i="12" s="1"/>
  <c r="F32" i="12" s="1"/>
  <c r="F33" i="12" s="1"/>
  <c r="F34" i="12" s="1"/>
  <c r="F35" i="12" s="1"/>
  <c r="G22" i="12"/>
  <c r="G23" i="12" s="1"/>
  <c r="G24" i="12" s="1"/>
  <c r="G25" i="12" s="1"/>
  <c r="G26" i="12" s="1"/>
  <c r="G27" i="12" s="1"/>
  <c r="G28" i="12" s="1"/>
  <c r="G29" i="12" s="1"/>
  <c r="G30" i="12" s="1"/>
  <c r="G31" i="12" s="1"/>
  <c r="G32" i="12" s="1"/>
  <c r="G33" i="12" s="1"/>
  <c r="G34" i="12" s="1"/>
  <c r="G35" i="12" s="1"/>
  <c r="E22" i="12"/>
  <c r="E23" i="12" s="1"/>
  <c r="E24" i="12" s="1"/>
  <c r="E25" i="12" s="1"/>
  <c r="E26" i="12" s="1"/>
  <c r="E27" i="12" s="1"/>
  <c r="E28" i="12" s="1"/>
  <c r="E29" i="12" s="1"/>
  <c r="E30" i="12" s="1"/>
  <c r="E31" i="12" s="1"/>
  <c r="E32" i="12" s="1"/>
  <c r="E33" i="12" s="1"/>
  <c r="E34" i="12" s="1"/>
  <c r="E35" i="12" s="1"/>
  <c r="D22" i="12"/>
  <c r="K14" i="12"/>
  <c r="B14" i="13" s="1"/>
  <c r="Z14" i="12"/>
  <c r="S14" i="12" s="1"/>
  <c r="C15" i="12"/>
  <c r="Z30" i="12"/>
  <c r="S30" i="12" s="1"/>
  <c r="Y13" i="11"/>
  <c r="AB13" i="11"/>
  <c r="X13" i="11"/>
  <c r="AB12" i="11"/>
  <c r="X12" i="11"/>
  <c r="AB11" i="11"/>
  <c r="X11" i="11"/>
  <c r="AE13" i="11"/>
  <c r="AA13" i="11"/>
  <c r="AE12" i="11"/>
  <c r="AA12" i="11"/>
  <c r="AE11" i="11"/>
  <c r="AA11" i="11"/>
  <c r="AD13" i="11"/>
  <c r="Z13" i="11"/>
  <c r="AD12" i="11"/>
  <c r="Z12" i="11"/>
  <c r="AD11" i="11"/>
  <c r="Z11" i="11"/>
  <c r="AC13" i="11"/>
  <c r="AC11" i="11"/>
  <c r="Y11" i="11"/>
  <c r="AC12" i="11"/>
  <c r="Y12" i="11"/>
  <c r="G20" i="11"/>
  <c r="Z53" i="12"/>
  <c r="Z51" i="12"/>
  <c r="Z50" i="12"/>
  <c r="Z49" i="12"/>
  <c r="Z47" i="12"/>
  <c r="Z46" i="12"/>
  <c r="Z45" i="12"/>
  <c r="Z44" i="12"/>
  <c r="Z43" i="12"/>
  <c r="Z41" i="12"/>
  <c r="Z40" i="12"/>
  <c r="Z39" i="12"/>
  <c r="Z38" i="12"/>
  <c r="Z37" i="12"/>
  <c r="Z35" i="12"/>
  <c r="Z34" i="12"/>
  <c r="Z33" i="12"/>
  <c r="Z32" i="12"/>
  <c r="Z31" i="12"/>
  <c r="Z52" i="12"/>
  <c r="Z29" i="12"/>
  <c r="Z28" i="12"/>
  <c r="Z27" i="12"/>
  <c r="Z26" i="12"/>
  <c r="Z25" i="12"/>
  <c r="Z24" i="12"/>
  <c r="Z23" i="12"/>
  <c r="Z21" i="12"/>
  <c r="Z20" i="12"/>
  <c r="Z19" i="12"/>
  <c r="Z18" i="12"/>
  <c r="Z17" i="12"/>
  <c r="Z16" i="12"/>
  <c r="Z15" i="12"/>
  <c r="S108" i="16"/>
  <c r="Z13" i="12"/>
  <c r="Z11" i="12"/>
  <c r="S11" i="12" s="1"/>
  <c r="T11" i="12" s="1"/>
  <c r="T227" i="16"/>
  <c r="C19" i="17"/>
  <c r="A20" i="17"/>
  <c r="C20" i="17" s="1"/>
  <c r="C24" i="17"/>
  <c r="A25" i="17"/>
  <c r="C5" i="17"/>
  <c r="A6" i="17"/>
  <c r="E20" i="11"/>
  <c r="H20" i="11"/>
  <c r="F20" i="11"/>
  <c r="B13" i="13"/>
  <c r="R10" i="11"/>
  <c r="T10" i="11" s="1"/>
  <c r="V10" i="11" s="1"/>
  <c r="X10" i="11" s="1"/>
  <c r="Z10" i="11" s="1"/>
  <c r="AB10" i="11" s="1"/>
  <c r="AD10" i="11" s="1"/>
  <c r="D13" i="11"/>
  <c r="W13" i="11"/>
  <c r="R11" i="11"/>
  <c r="Q11" i="11"/>
  <c r="W12" i="11"/>
  <c r="V12" i="11"/>
  <c r="S13" i="11"/>
  <c r="Q13" i="11"/>
  <c r="R13" i="11"/>
  <c r="AK12" i="11"/>
  <c r="AK13" i="11"/>
  <c r="V11" i="11"/>
  <c r="P13" i="11"/>
  <c r="U11" i="11"/>
  <c r="T13" i="11"/>
  <c r="AK11" i="11"/>
  <c r="U13" i="11"/>
  <c r="S11" i="11"/>
  <c r="W11" i="11"/>
  <c r="T12" i="11"/>
  <c r="S12" i="11"/>
  <c r="P12" i="11"/>
  <c r="V13" i="11"/>
  <c r="R12" i="11"/>
  <c r="Q12" i="11"/>
  <c r="T11" i="11"/>
  <c r="U12" i="11"/>
  <c r="P11" i="11"/>
  <c r="S10" i="11"/>
  <c r="U10" i="11" s="1"/>
  <c r="W10" i="11" s="1"/>
  <c r="Y10" i="11" s="1"/>
  <c r="AA10" i="11" s="1"/>
  <c r="AC10" i="11" s="1"/>
  <c r="AE10" i="11" s="1"/>
  <c r="L21" i="11" l="1"/>
  <c r="H23" i="11"/>
  <c r="G23" i="11"/>
  <c r="F23" i="11"/>
  <c r="E23" i="11"/>
  <c r="C26" i="11"/>
  <c r="M24" i="11"/>
  <c r="A35" i="11"/>
  <c r="V30" i="12"/>
  <c r="E36" i="12"/>
  <c r="E37" i="12" s="1"/>
  <c r="E38" i="12" s="1"/>
  <c r="E39" i="12" s="1"/>
  <c r="E40" i="12" s="1"/>
  <c r="E41" i="12" s="1"/>
  <c r="G36" i="12"/>
  <c r="G37" i="12" s="1"/>
  <c r="G38" i="12" s="1"/>
  <c r="G39" i="12" s="1"/>
  <c r="G40" i="12" s="1"/>
  <c r="G41" i="12" s="1"/>
  <c r="F36" i="12"/>
  <c r="F37" i="12" s="1"/>
  <c r="F38" i="12" s="1"/>
  <c r="F39" i="12" s="1"/>
  <c r="F40" i="12" s="1"/>
  <c r="F41" i="12" s="1"/>
  <c r="D23" i="12"/>
  <c r="K15" i="12"/>
  <c r="B15" i="13" s="1"/>
  <c r="C16" i="12"/>
  <c r="C25" i="17"/>
  <c r="A26" i="17"/>
  <c r="C26" i="17" s="1"/>
  <c r="C6" i="17"/>
  <c r="A7" i="17"/>
  <c r="C7" i="17" s="1"/>
  <c r="Q20" i="17" s="1"/>
  <c r="A38" i="11" l="1"/>
  <c r="V36" i="12"/>
  <c r="V42" i="12" s="1"/>
  <c r="V48" i="12" s="1"/>
  <c r="H26" i="11"/>
  <c r="G26" i="11"/>
  <c r="F26" i="11"/>
  <c r="E26" i="11"/>
  <c r="B23" i="11"/>
  <c r="C29" i="11"/>
  <c r="B26" i="11" s="1"/>
  <c r="M27" i="11"/>
  <c r="G42" i="12"/>
  <c r="G43" i="12" s="1"/>
  <c r="G44" i="12" s="1"/>
  <c r="G45" i="12" s="1"/>
  <c r="G46" i="12" s="1"/>
  <c r="G47" i="12" s="1"/>
  <c r="F42" i="12"/>
  <c r="F43" i="12" s="1"/>
  <c r="F44" i="12" s="1"/>
  <c r="F45" i="12" s="1"/>
  <c r="F46" i="12" s="1"/>
  <c r="F47" i="12" s="1"/>
  <c r="E42" i="12"/>
  <c r="E43" i="12" s="1"/>
  <c r="E44" i="12" s="1"/>
  <c r="E45" i="12" s="1"/>
  <c r="E46" i="12" s="1"/>
  <c r="E47" i="12" s="1"/>
  <c r="D24" i="12"/>
  <c r="C17" i="12"/>
  <c r="K16" i="12"/>
  <c r="B16" i="13" s="1"/>
  <c r="P18" i="17"/>
  <c r="R26" i="17"/>
  <c r="P22" i="17"/>
  <c r="P19" i="17"/>
  <c r="P21" i="17"/>
  <c r="R22" i="17"/>
  <c r="Q26" i="17"/>
  <c r="Q22" i="17"/>
  <c r="R19" i="17"/>
  <c r="P26" i="17"/>
  <c r="R21" i="17"/>
  <c r="R18" i="17"/>
  <c r="Q18" i="17"/>
  <c r="P20" i="17"/>
  <c r="R20" i="17"/>
  <c r="Q21" i="17"/>
  <c r="Q19" i="17"/>
  <c r="C32" i="11" l="1"/>
  <c r="H32" i="11" s="1"/>
  <c r="M30" i="11"/>
  <c r="J23" i="11"/>
  <c r="F29" i="11"/>
  <c r="J26" i="11" s="1"/>
  <c r="H29" i="11"/>
  <c r="G29" i="11"/>
  <c r="E29" i="11"/>
  <c r="C35" i="11"/>
  <c r="AC21" i="11"/>
  <c r="AK21" i="11"/>
  <c r="AK22" i="11" s="1"/>
  <c r="AE21" i="11"/>
  <c r="AD21" i="11"/>
  <c r="AB21" i="11"/>
  <c r="P22" i="11"/>
  <c r="M33" i="11"/>
  <c r="C38" i="11"/>
  <c r="M36" i="11"/>
  <c r="AD24" i="11"/>
  <c r="AK24" i="11"/>
  <c r="AK25" i="11" s="1"/>
  <c r="AE24" i="11"/>
  <c r="AC24" i="11"/>
  <c r="P25" i="11"/>
  <c r="AB24" i="11"/>
  <c r="O26" i="17"/>
  <c r="O27" i="17" s="1"/>
  <c r="E48" i="12"/>
  <c r="E49" i="12" s="1"/>
  <c r="E50" i="12" s="1"/>
  <c r="E51" i="12" s="1"/>
  <c r="E52" i="12" s="1"/>
  <c r="E53" i="12" s="1"/>
  <c r="F48" i="12"/>
  <c r="F49" i="12" s="1"/>
  <c r="F50" i="12" s="1"/>
  <c r="F51" i="12" s="1"/>
  <c r="F52" i="12" s="1"/>
  <c r="F53" i="12" s="1"/>
  <c r="G48" i="12"/>
  <c r="G49" i="12" s="1"/>
  <c r="G50" i="12" s="1"/>
  <c r="G51" i="12" s="1"/>
  <c r="G52" i="12" s="1"/>
  <c r="G53" i="12" s="1"/>
  <c r="D25" i="12"/>
  <c r="K17" i="12"/>
  <c r="B17" i="13" s="1"/>
  <c r="C18" i="12"/>
  <c r="V27" i="17"/>
  <c r="T16" i="17" s="1"/>
  <c r="E32" i="11" l="1"/>
  <c r="E35" i="11" s="1"/>
  <c r="E38" i="11" s="1"/>
  <c r="B29" i="11"/>
  <c r="F32" i="11"/>
  <c r="J29" i="11" s="1"/>
  <c r="B32" i="11"/>
  <c r="Q22" i="11"/>
  <c r="R22" i="11" s="1"/>
  <c r="G32" i="11"/>
  <c r="Q25" i="11"/>
  <c r="R25" i="11" s="1"/>
  <c r="B38" i="11"/>
  <c r="H38" i="11"/>
  <c r="I38" i="11"/>
  <c r="G38" i="11"/>
  <c r="B35" i="11"/>
  <c r="H35" i="11"/>
  <c r="G35" i="11"/>
  <c r="D26" i="12"/>
  <c r="K18" i="12"/>
  <c r="B18" i="13" s="1"/>
  <c r="C19" i="12"/>
  <c r="AK30" i="11" l="1"/>
  <c r="AK31" i="11" s="1"/>
  <c r="AC27" i="11"/>
  <c r="P28" i="11"/>
  <c r="Q28" i="11" s="1"/>
  <c r="R28" i="11" s="1"/>
  <c r="S28" i="11" s="1"/>
  <c r="F35" i="11"/>
  <c r="AD27" i="11"/>
  <c r="AB27" i="11"/>
  <c r="AE27" i="11"/>
  <c r="AK27" i="11"/>
  <c r="AK28" i="11" s="1"/>
  <c r="AD30" i="11"/>
  <c r="AE30" i="11"/>
  <c r="AC30" i="11"/>
  <c r="AB30" i="11"/>
  <c r="P31" i="11"/>
  <c r="AK36" i="11"/>
  <c r="AK37" i="11" s="1"/>
  <c r="AE36" i="11"/>
  <c r="AD36" i="11"/>
  <c r="AC36" i="11"/>
  <c r="AB36" i="11"/>
  <c r="P37" i="11"/>
  <c r="S25" i="11"/>
  <c r="AD33" i="11"/>
  <c r="AC33" i="11"/>
  <c r="AB33" i="11"/>
  <c r="P34" i="11"/>
  <c r="AK33" i="11"/>
  <c r="AK34" i="11" s="1"/>
  <c r="AE33" i="11"/>
  <c r="S22" i="11"/>
  <c r="D27" i="12"/>
  <c r="K19" i="12"/>
  <c r="B19" i="13" s="1"/>
  <c r="C20" i="12"/>
  <c r="B20" i="11"/>
  <c r="F38" i="11" l="1"/>
  <c r="I29" i="11" s="1"/>
  <c r="D29" i="11" s="1"/>
  <c r="J32" i="11"/>
  <c r="Q31" i="11"/>
  <c r="R31" i="11" s="1"/>
  <c r="Q37" i="11"/>
  <c r="R37" i="11" s="1"/>
  <c r="Q34" i="11"/>
  <c r="T28" i="11"/>
  <c r="T25" i="11"/>
  <c r="T22" i="11"/>
  <c r="D28" i="12"/>
  <c r="C21" i="12"/>
  <c r="C22" i="12" s="1"/>
  <c r="K22" i="12" s="1"/>
  <c r="K20" i="12"/>
  <c r="B20" i="13" s="1"/>
  <c r="J38" i="11" l="1"/>
  <c r="D38" i="11" s="1"/>
  <c r="I26" i="11"/>
  <c r="D26" i="11" s="1"/>
  <c r="I35" i="11"/>
  <c r="I32" i="11"/>
  <c r="D32" i="11" s="1"/>
  <c r="I23" i="11"/>
  <c r="D23" i="11" s="1"/>
  <c r="J35" i="11"/>
  <c r="R34" i="11"/>
  <c r="U25" i="11"/>
  <c r="S31" i="11"/>
  <c r="U22" i="11"/>
  <c r="S37" i="11"/>
  <c r="U28" i="11"/>
  <c r="B22" i="13"/>
  <c r="L24" i="11"/>
  <c r="D29" i="12"/>
  <c r="C23" i="12"/>
  <c r="K21" i="12"/>
  <c r="B21" i="13" s="1"/>
  <c r="D35" i="11" l="1"/>
  <c r="T31" i="11"/>
  <c r="T37" i="11"/>
  <c r="V28" i="11"/>
  <c r="V25" i="11"/>
  <c r="S34" i="11"/>
  <c r="V22" i="11"/>
  <c r="D30" i="12"/>
  <c r="C24" i="12"/>
  <c r="K23" i="12"/>
  <c r="B23" i="13" s="1"/>
  <c r="W22" i="11" l="1"/>
  <c r="T34" i="11"/>
  <c r="U37" i="11"/>
  <c r="W28" i="11"/>
  <c r="U31" i="11"/>
  <c r="W25" i="11"/>
  <c r="D31" i="12"/>
  <c r="I22" i="12"/>
  <c r="C25" i="12"/>
  <c r="K24" i="12"/>
  <c r="B24" i="13" s="1"/>
  <c r="X25" i="11" l="1"/>
  <c r="X28" i="11"/>
  <c r="V31" i="11"/>
  <c r="U34" i="11"/>
  <c r="X22" i="11"/>
  <c r="V37" i="11"/>
  <c r="D32" i="12"/>
  <c r="C26" i="12"/>
  <c r="K25" i="12"/>
  <c r="B25" i="13" s="1"/>
  <c r="V34" i="11" l="1"/>
  <c r="W37" i="11"/>
  <c r="Y28" i="11"/>
  <c r="Y22" i="11"/>
  <c r="W31" i="11"/>
  <c r="Y25" i="11"/>
  <c r="D33" i="12"/>
  <c r="C27" i="12"/>
  <c r="K26" i="12"/>
  <c r="B26" i="13" s="1"/>
  <c r="J20" i="11"/>
  <c r="Z25" i="11" l="1"/>
  <c r="X31" i="11"/>
  <c r="Z28" i="11"/>
  <c r="X37" i="11"/>
  <c r="Z22" i="11"/>
  <c r="W34" i="11"/>
  <c r="D34" i="12"/>
  <c r="K27" i="12"/>
  <c r="B27" i="13" s="1"/>
  <c r="C28" i="12"/>
  <c r="I20" i="11"/>
  <c r="D20" i="11" s="1"/>
  <c r="X34" i="11" l="1"/>
  <c r="AA22" i="11"/>
  <c r="AA28" i="11"/>
  <c r="Y31" i="11"/>
  <c r="Y37" i="11"/>
  <c r="AA25" i="11"/>
  <c r="D35" i="12"/>
  <c r="D36" i="12" s="1"/>
  <c r="K28" i="12"/>
  <c r="B28" i="13" s="1"/>
  <c r="C29" i="12"/>
  <c r="AB25" i="11" l="1"/>
  <c r="Z31" i="11"/>
  <c r="AB22" i="11"/>
  <c r="Z37" i="11"/>
  <c r="AB28" i="11"/>
  <c r="Y34" i="11"/>
  <c r="D37" i="12"/>
  <c r="C30" i="12"/>
  <c r="K29" i="12"/>
  <c r="B29" i="13" s="1"/>
  <c r="AC28" i="11" l="1"/>
  <c r="Z34" i="11"/>
  <c r="AC22" i="11"/>
  <c r="AA31" i="11"/>
  <c r="AC25" i="11"/>
  <c r="AA37" i="11"/>
  <c r="D38" i="12"/>
  <c r="K30" i="12"/>
  <c r="C31" i="12"/>
  <c r="AB37" i="11" l="1"/>
  <c r="AD25" i="11"/>
  <c r="AA34" i="11"/>
  <c r="AD22" i="11"/>
  <c r="AB31" i="11"/>
  <c r="AD28" i="11"/>
  <c r="B30" i="13"/>
  <c r="L27" i="11"/>
  <c r="D39" i="12"/>
  <c r="C32" i="12"/>
  <c r="K31" i="12"/>
  <c r="B31" i="13" s="1"/>
  <c r="AC31" i="11" l="1"/>
  <c r="AB34" i="11"/>
  <c r="AE22" i="11"/>
  <c r="AE25" i="11"/>
  <c r="AC37" i="11"/>
  <c r="AE28" i="11"/>
  <c r="D40" i="12"/>
  <c r="C33" i="12"/>
  <c r="K32" i="12"/>
  <c r="B32" i="13" s="1"/>
  <c r="AD37" i="11" l="1"/>
  <c r="AC34" i="11"/>
  <c r="AD31" i="11"/>
  <c r="D41" i="12"/>
  <c r="C34" i="12"/>
  <c r="K33" i="12"/>
  <c r="B33" i="13" s="1"/>
  <c r="AE31" i="11" l="1"/>
  <c r="AD34" i="11"/>
  <c r="AE37" i="11"/>
  <c r="D42" i="12"/>
  <c r="D43" i="12" s="1"/>
  <c r="I30" i="12"/>
  <c r="K34" i="12"/>
  <c r="B34" i="13" s="1"/>
  <c r="C35" i="12"/>
  <c r="C36" i="12" s="1"/>
  <c r="K36" i="12" s="1"/>
  <c r="B36" i="13" l="1"/>
  <c r="L30" i="11"/>
  <c r="AE34" i="11"/>
  <c r="D44" i="12"/>
  <c r="D45" i="12" s="1"/>
  <c r="D46" i="12" s="1"/>
  <c r="D47" i="12" s="1"/>
  <c r="C37" i="12"/>
  <c r="K35" i="12"/>
  <c r="B35" i="13" s="1"/>
  <c r="D48" i="12" l="1"/>
  <c r="I36" i="12"/>
  <c r="C38" i="12"/>
  <c r="K37" i="12"/>
  <c r="B37" i="13" s="1"/>
  <c r="D49" i="12" l="1"/>
  <c r="D50" i="12" s="1"/>
  <c r="D51" i="12" s="1"/>
  <c r="D52" i="12" s="1"/>
  <c r="D53" i="12" s="1"/>
  <c r="H30" i="12" s="1"/>
  <c r="B30" i="12" s="1"/>
  <c r="C39" i="12"/>
  <c r="K38" i="12"/>
  <c r="B38" i="13" s="1"/>
  <c r="H36" i="12" l="1"/>
  <c r="B36" i="12" s="1"/>
  <c r="I48" i="12"/>
  <c r="H48" i="12"/>
  <c r="H22" i="12"/>
  <c r="B22" i="12" s="1"/>
  <c r="K39" i="12"/>
  <c r="B39" i="13" s="1"/>
  <c r="C40" i="12"/>
  <c r="B48" i="12" l="1"/>
  <c r="C41" i="12"/>
  <c r="C42" i="12" s="1"/>
  <c r="K40" i="12"/>
  <c r="B40" i="13" s="1"/>
  <c r="K42" i="12" l="1"/>
  <c r="K41" i="12"/>
  <c r="B41" i="13" s="1"/>
  <c r="C43" i="12"/>
  <c r="B42" i="13" l="1"/>
  <c r="L33" i="11"/>
  <c r="K43" i="12"/>
  <c r="B43" i="13" s="1"/>
  <c r="C44" i="12"/>
  <c r="C45" i="12" l="1"/>
  <c r="K44" i="12"/>
  <c r="B44" i="13" s="1"/>
  <c r="K45" i="12" l="1"/>
  <c r="B45" i="13" s="1"/>
  <c r="C46" i="12"/>
  <c r="K46" i="12" l="1"/>
  <c r="B46" i="13" s="1"/>
  <c r="C47" i="12"/>
  <c r="C48" i="12" s="1"/>
  <c r="K48" i="12" s="1"/>
  <c r="B48" i="13" l="1"/>
  <c r="L36" i="11"/>
  <c r="K47" i="12"/>
  <c r="B47" i="13" s="1"/>
  <c r="C49" i="12"/>
  <c r="C50" i="12" l="1"/>
  <c r="K49" i="12"/>
  <c r="B49" i="13" s="1"/>
  <c r="K50" i="12" l="1"/>
  <c r="B50" i="13" s="1"/>
  <c r="C51" i="12"/>
  <c r="C52" i="12" l="1"/>
  <c r="K51" i="12"/>
  <c r="B51" i="13" s="1"/>
  <c r="C53" i="12" l="1"/>
  <c r="K52" i="12"/>
  <c r="B52" i="13" s="1"/>
  <c r="H13" i="12" l="1"/>
  <c r="H42" i="12"/>
  <c r="I42" i="12"/>
  <c r="I14" i="12"/>
  <c r="H14" i="12"/>
  <c r="I13" i="12"/>
  <c r="K53" i="12"/>
  <c r="B53" i="13" s="1"/>
  <c r="B13" i="12" l="1"/>
  <c r="B42" i="12"/>
  <c r="B14" i="12"/>
  <c r="B12" i="12" l="1"/>
  <c r="S29" i="12" l="1"/>
  <c r="T29" i="12" s="1"/>
  <c r="S47" i="12"/>
  <c r="T47" i="12" s="1"/>
  <c r="S38" i="12"/>
  <c r="T38" i="12" s="1"/>
  <c r="S44" i="12"/>
  <c r="T44" i="12" s="1"/>
  <c r="S16" i="12"/>
  <c r="T16" i="12" s="1"/>
  <c r="S32" i="12"/>
  <c r="T32" i="12" s="1"/>
  <c r="S18" i="12"/>
  <c r="T18" i="12" s="1"/>
  <c r="S46" i="12"/>
  <c r="T46" i="12" s="1"/>
  <c r="S40" i="12"/>
  <c r="T40" i="12" s="1"/>
  <c r="S15" i="12"/>
  <c r="T15" i="12" s="1"/>
  <c r="S17" i="12"/>
  <c r="T17" i="12" s="1"/>
  <c r="S50" i="12"/>
  <c r="T50" i="12" s="1"/>
  <c r="S43" i="12"/>
  <c r="T43" i="12" s="1"/>
  <c r="S49" i="12"/>
  <c r="T49" i="12" s="1"/>
  <c r="S33" i="12"/>
  <c r="T33" i="12" s="1"/>
  <c r="S45" i="12"/>
  <c r="T45" i="12" s="1"/>
  <c r="S37" i="12"/>
  <c r="T37" i="12" s="1"/>
  <c r="S35" i="12"/>
  <c r="T35" i="12" s="1"/>
  <c r="S41" i="12"/>
  <c r="T41" i="12" s="1"/>
  <c r="S19" i="12"/>
  <c r="T19" i="12" s="1"/>
  <c r="S20" i="12"/>
  <c r="T20" i="12" s="1"/>
  <c r="S39" i="12"/>
  <c r="T39" i="12" s="1"/>
  <c r="S51" i="12"/>
  <c r="T51" i="12" s="1"/>
  <c r="S34" i="12"/>
  <c r="T34" i="12" s="1"/>
  <c r="S31" i="12"/>
  <c r="T31" i="12" s="1"/>
  <c r="S21" i="12"/>
  <c r="T21" i="12" s="1"/>
  <c r="S53" i="12"/>
  <c r="T53" i="12" s="1"/>
  <c r="S52" i="12"/>
  <c r="T52" i="12" s="1"/>
  <c r="T48" i="12" l="1"/>
  <c r="T42" i="12"/>
  <c r="T36" i="12"/>
  <c r="T14" i="12"/>
  <c r="T30" i="12"/>
  <c r="U30" i="12" l="1"/>
  <c r="K29" i="11"/>
  <c r="N27" i="11" s="1"/>
  <c r="U14" i="12"/>
  <c r="K23" i="11"/>
  <c r="N21" i="11" s="1"/>
  <c r="U36" i="12"/>
  <c r="K32" i="11"/>
  <c r="N30" i="11" s="1"/>
  <c r="U42" i="12"/>
  <c r="K35" i="11"/>
  <c r="N33" i="11" s="1"/>
  <c r="U48" i="12"/>
  <c r="K38" i="11"/>
  <c r="N36" i="11" s="1"/>
  <c r="S26" i="12"/>
  <c r="T26" i="12" s="1"/>
  <c r="X39" i="12"/>
  <c r="X33" i="12"/>
  <c r="X53" i="12"/>
  <c r="X50" i="12"/>
  <c r="X15" i="12"/>
  <c r="X31" i="12"/>
  <c r="X17" i="12"/>
  <c r="X35" i="12"/>
  <c r="X40" i="12"/>
  <c r="X21" i="12"/>
  <c r="X16" i="12"/>
  <c r="X32" i="12"/>
  <c r="X46" i="12"/>
  <c r="X38" i="12"/>
  <c r="X51" i="12"/>
  <c r="X37" i="12"/>
  <c r="X29" i="12"/>
  <c r="X45" i="12"/>
  <c r="X34" i="12"/>
  <c r="X52" i="12"/>
  <c r="X47" i="12"/>
  <c r="X23" i="12"/>
  <c r="X26" i="12"/>
  <c r="X28" i="12"/>
  <c r="X20" i="12"/>
  <c r="X19" i="12"/>
  <c r="X41" i="12"/>
  <c r="X49" i="12"/>
  <c r="X18" i="12"/>
  <c r="X43" i="12"/>
  <c r="X44" i="12"/>
  <c r="X24" i="12"/>
  <c r="X25" i="12"/>
  <c r="X27" i="12"/>
  <c r="Q38" i="11" l="1"/>
  <c r="P38" i="11"/>
  <c r="AK38" i="11"/>
  <c r="R38" i="11"/>
  <c r="S38" i="11"/>
  <c r="T38" i="11"/>
  <c r="U38" i="11"/>
  <c r="V38" i="11"/>
  <c r="W38" i="11"/>
  <c r="X38" i="11"/>
  <c r="Y38" i="11"/>
  <c r="Z38" i="11"/>
  <c r="AA38" i="11"/>
  <c r="AB38" i="11"/>
  <c r="AC38" i="11"/>
  <c r="AD38" i="11"/>
  <c r="AE38" i="11"/>
  <c r="AK23" i="11"/>
  <c r="P23" i="11"/>
  <c r="Q23" i="11"/>
  <c r="R23" i="11"/>
  <c r="S23" i="11"/>
  <c r="T23" i="11"/>
  <c r="U23" i="11"/>
  <c r="V23" i="11"/>
  <c r="W23" i="11"/>
  <c r="X23" i="11"/>
  <c r="Y23" i="11"/>
  <c r="Z23" i="11"/>
  <c r="AA23" i="11"/>
  <c r="AB23" i="11"/>
  <c r="AC23" i="11"/>
  <c r="AD23" i="11"/>
  <c r="AE23" i="11"/>
  <c r="P35" i="11"/>
  <c r="AK35" i="11"/>
  <c r="Q35" i="11"/>
  <c r="R35" i="11"/>
  <c r="S35" i="11"/>
  <c r="T35" i="11"/>
  <c r="U35" i="11"/>
  <c r="V35" i="11"/>
  <c r="W35" i="11"/>
  <c r="X35" i="11"/>
  <c r="Y35" i="11"/>
  <c r="Z35" i="11"/>
  <c r="AA35" i="11"/>
  <c r="AB35" i="11"/>
  <c r="AC35" i="11"/>
  <c r="AD35" i="11"/>
  <c r="AE35" i="11"/>
  <c r="P29" i="11"/>
  <c r="R29" i="11"/>
  <c r="AK29" i="11"/>
  <c r="Q29" i="11"/>
  <c r="S29" i="11"/>
  <c r="T29" i="11"/>
  <c r="U29" i="11"/>
  <c r="V29" i="11"/>
  <c r="W29" i="11"/>
  <c r="X29" i="11"/>
  <c r="Y29" i="11"/>
  <c r="Z29" i="11"/>
  <c r="AA29" i="11"/>
  <c r="AB29" i="11"/>
  <c r="AC29" i="11"/>
  <c r="AD29" i="11"/>
  <c r="AE29" i="11"/>
  <c r="AK32" i="11"/>
  <c r="P32" i="11"/>
  <c r="Q32" i="11"/>
  <c r="R32" i="11"/>
  <c r="S32" i="11"/>
  <c r="T32" i="11"/>
  <c r="U32" i="11"/>
  <c r="V32" i="11"/>
  <c r="W32" i="11"/>
  <c r="X32" i="11"/>
  <c r="Y32" i="11"/>
  <c r="Z32" i="11"/>
  <c r="AA32" i="11"/>
  <c r="AB32" i="11"/>
  <c r="AC32" i="11"/>
  <c r="AD32" i="11"/>
  <c r="AE32" i="11"/>
  <c r="U26" i="12"/>
  <c r="U29" i="12"/>
  <c r="U34" i="12"/>
  <c r="U52" i="12"/>
  <c r="U53" i="12"/>
  <c r="U17" i="12"/>
  <c r="U18" i="12"/>
  <c r="U20" i="12"/>
  <c r="U44" i="12"/>
  <c r="U35" i="12"/>
  <c r="U19" i="12"/>
  <c r="U39" i="12"/>
  <c r="U45" i="12"/>
  <c r="U31" i="12"/>
  <c r="U43" i="12"/>
  <c r="S27" i="12"/>
  <c r="T27" i="12" s="1"/>
  <c r="S23" i="12"/>
  <c r="T23" i="12" s="1"/>
  <c r="S25" i="12"/>
  <c r="T25" i="12" s="1"/>
  <c r="S24" i="12"/>
  <c r="T24" i="12" s="1"/>
  <c r="S28" i="12"/>
  <c r="T28" i="12" s="1"/>
  <c r="U27" i="12" l="1"/>
  <c r="U28" i="12"/>
  <c r="U24" i="12"/>
  <c r="U25" i="12"/>
  <c r="U41" i="12"/>
  <c r="U37" i="12"/>
  <c r="U46" i="12"/>
  <c r="U51" i="12"/>
  <c r="U32" i="12"/>
  <c r="U40" i="12"/>
  <c r="U16" i="12"/>
  <c r="U33" i="12"/>
  <c r="U15" i="12"/>
  <c r="U38" i="12"/>
  <c r="U49" i="12"/>
  <c r="U50" i="12"/>
  <c r="U47" i="12"/>
  <c r="U21" i="12"/>
  <c r="T12" i="12"/>
  <c r="N14" i="11" s="1"/>
  <c r="U23" i="12"/>
  <c r="T22" i="12"/>
  <c r="T13" i="12"/>
  <c r="U22" i="12" l="1"/>
  <c r="K26" i="11"/>
  <c r="N24" i="11" s="1"/>
  <c r="K20" i="11"/>
  <c r="N18" i="11" s="1"/>
  <c r="U13" i="12"/>
  <c r="U5" i="12" l="1"/>
  <c r="P26" i="11"/>
  <c r="P20" i="11" s="1"/>
  <c r="AK26" i="11"/>
  <c r="Q26" i="11"/>
  <c r="Q20" i="11" s="1"/>
  <c r="R26" i="11"/>
  <c r="R20" i="11" s="1"/>
  <c r="S26" i="11"/>
  <c r="S20" i="11" s="1"/>
  <c r="T26" i="11"/>
  <c r="T20" i="11" s="1"/>
  <c r="U26" i="11"/>
  <c r="U20" i="11" s="1"/>
  <c r="V26" i="11"/>
  <c r="V20" i="11" s="1"/>
  <c r="W26" i="11"/>
  <c r="W20" i="11" s="1"/>
  <c r="X26" i="11"/>
  <c r="X20" i="11" s="1"/>
  <c r="X17" i="11" s="1"/>
  <c r="Y26" i="11"/>
  <c r="Y20" i="11" s="1"/>
  <c r="Z26" i="11"/>
  <c r="Z20" i="11" s="1"/>
  <c r="AA26" i="11"/>
  <c r="AA20" i="11" s="1"/>
  <c r="AB26" i="11"/>
  <c r="AC26" i="11"/>
  <c r="AC20" i="11" s="1"/>
  <c r="AD26" i="11"/>
  <c r="AD20" i="11" s="1"/>
  <c r="AE26" i="11"/>
  <c r="AE20" i="11" s="1"/>
  <c r="AK20" i="11"/>
  <c r="AK17" i="11" s="1"/>
  <c r="AB20" i="11"/>
  <c r="Y17" i="11" l="1"/>
  <c r="Y16" i="11" s="1"/>
  <c r="Y19" i="11"/>
  <c r="U17" i="11"/>
  <c r="U19" i="11"/>
  <c r="V17" i="11"/>
  <c r="V16" i="11" s="1"/>
  <c r="V19" i="11"/>
  <c r="AB17" i="11"/>
  <c r="AB16" i="11" s="1"/>
  <c r="AB19" i="11"/>
  <c r="AD17" i="11"/>
  <c r="AD19" i="11"/>
  <c r="W17" i="11"/>
  <c r="X15" i="11" s="1"/>
  <c r="X14" i="11" s="1"/>
  <c r="W19" i="11"/>
  <c r="X19" i="11" s="1"/>
  <c r="AC17" i="11"/>
  <c r="AC16" i="11" s="1"/>
  <c r="AC19" i="11"/>
  <c r="R17" i="11"/>
  <c r="R16" i="11" s="1"/>
  <c r="R19" i="11"/>
  <c r="Q17" i="11"/>
  <c r="Q16" i="11" s="1"/>
  <c r="Q19" i="11"/>
  <c r="AA17" i="11"/>
  <c r="AA16" i="11" s="1"/>
  <c r="AA19" i="11"/>
  <c r="S17" i="11"/>
  <c r="S19" i="11"/>
  <c r="Z17" i="11"/>
  <c r="Z16" i="11" s="1"/>
  <c r="Z19" i="11"/>
  <c r="T17" i="11"/>
  <c r="T16" i="11" s="1"/>
  <c r="T19" i="11"/>
  <c r="P17" i="11"/>
  <c r="P15" i="11" s="1"/>
  <c r="P14" i="11" s="1"/>
  <c r="P19" i="11"/>
  <c r="AE17" i="11"/>
  <c r="AE16" i="11" s="1"/>
  <c r="AE19" i="11"/>
  <c r="U16" i="11"/>
  <c r="AK15" i="11"/>
  <c r="AK14" i="11" s="1"/>
  <c r="AK16" i="11"/>
  <c r="X16" i="11"/>
  <c r="AD18" i="11" l="1"/>
  <c r="AD15" i="11"/>
  <c r="AD14" i="11" s="1"/>
  <c r="T15" i="11"/>
  <c r="T14" i="11" s="1"/>
  <c r="Y15" i="11"/>
  <c r="Y14" i="11" s="1"/>
  <c r="P16" i="11"/>
  <c r="U15" i="11"/>
  <c r="U14" i="11" s="1"/>
  <c r="V15" i="11"/>
  <c r="V14" i="11" s="1"/>
  <c r="Q15" i="11"/>
  <c r="Q14" i="11" s="1"/>
  <c r="AC15" i="11"/>
  <c r="AC14" i="11" s="1"/>
  <c r="AD16" i="11"/>
  <c r="AA15" i="11"/>
  <c r="AA14" i="11" s="1"/>
  <c r="W16" i="11"/>
  <c r="W15" i="11"/>
  <c r="W14" i="11" s="1"/>
  <c r="R15" i="11"/>
  <c r="R14" i="11" s="1"/>
  <c r="AB18" i="11"/>
  <c r="Z15" i="11"/>
  <c r="Z14" i="11" s="1"/>
  <c r="AE18" i="11"/>
  <c r="AE15" i="11"/>
  <c r="AE14" i="11" s="1"/>
  <c r="S15" i="11"/>
  <c r="S14" i="11" s="1"/>
  <c r="AB15" i="11"/>
  <c r="AB14" i="11" s="1"/>
  <c r="S16" i="11"/>
  <c r="AC18" i="11"/>
  <c r="L8" i="11"/>
  <c r="AK19" i="11"/>
  <c r="AK18" i="11" s="1"/>
</calcChain>
</file>

<file path=xl/sharedStrings.xml><?xml version="1.0" encoding="utf-8"?>
<sst xmlns="http://schemas.openxmlformats.org/spreadsheetml/2006/main" count="737" uniqueCount="320">
  <si>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</si>
  <si>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</si>
  <si>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</si>
  <si>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</si>
  <si>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</si>
  <si>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</si>
  <si>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</si>
  <si>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</si>
  <si>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</si>
  <si>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</si>
  <si>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</si>
  <si>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</si>
  <si>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</si>
  <si>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</si>
  <si>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</si>
  <si>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</si>
  <si>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</si>
  <si>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</si>
  <si>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</si>
  <si>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</si>
  <si>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</si>
  <si>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</si>
  <si>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</si>
  <si>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</si>
  <si>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</si>
  <si>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</si>
  <si>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</si>
  <si>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</si>
  <si>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</si>
  <si>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</si>
  <si>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</si>
  <si>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</si>
  <si>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</si>
  <si>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</si>
  <si>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</si>
  <si>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</si>
  <si>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</si>
  <si>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</si>
  <si>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</si>
  <si>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</si>
  <si>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</si>
  <si>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</si>
  <si>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</si>
  <si>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</si>
  <si>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</si>
  <si>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</si>
  <si>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</si>
  <si>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</si>
  <si>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</si>
  <si>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</si>
  <si>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</si>
  <si>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</si>
  <si>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</si>
  <si>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</si>
  <si>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</si>
  <si>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</si>
  <si>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</si>
  <si>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</si>
  <si>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</si>
  <si>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</si>
  <si>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</si>
  <si>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</si>
  <si>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</si>
  <si>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</si>
  <si>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</si>
  <si>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</si>
  <si>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</si>
  <si>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</si>
  <si>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</si>
  <si>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</si>
  <si>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</si>
  <si>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</si>
  <si>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</si>
  <si>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</si>
  <si>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</si>
  <si>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</si>
  <si>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</si>
  <si>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</si>
  <si>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</si>
  <si>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</si>
  <si>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</si>
  <si>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</si>
  <si>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</si>
  <si>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</si>
  <si>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</si>
  <si>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</si>
  <si>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</si>
  <si>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</si>
  <si>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</si>
  <si>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</si>
  <si>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</si>
  <si>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</si>
  <si>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</si>
  <si>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</si>
  <si>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</si>
  <si>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</si>
  <si>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</si>
  <si>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</si>
  <si>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</si>
  <si>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</si>
  <si>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</si>
  <si>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</si>
  <si>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</si>
  <si>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</si>
  <si>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</si>
  <si>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</si>
  <si>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</si>
  <si>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</si>
  <si>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</si>
  <si>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</si>
  <si>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</si>
  <si>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</si>
  <si>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</si>
  <si>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</si>
  <si>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</si>
  <si>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</si>
  <si>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</si>
  <si>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</si>
  <si>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</si>
  <si>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</si>
  <si>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</si>
  <si>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</si>
  <si>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</si>
  <si>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</si>
  <si>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</si>
  <si>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</si>
  <si>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</si>
  <si>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</si>
  <si>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</si>
  <si>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</si>
  <si>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</si>
  <si>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</si>
  <si>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</si>
  <si>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</si>
  <si>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</si>
  <si>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</si>
  <si>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</si>
  <si>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</si>
  <si>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</si>
  <si>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</si>
  <si>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</si>
  <si>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</si>
  <si>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</si>
  <si>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</si>
  <si>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</si>
  <si>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</si>
  <si>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</si>
  <si>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</si>
  <si>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</si>
  <si>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</si>
  <si>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</si>
  <si>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</si>
  <si>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</si>
  <si>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</si>
  <si>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</si>
  <si>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</si>
  <si>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</si>
  <si>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</si>
  <si>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</si>
  <si>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</si>
  <si>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</si>
  <si>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</si>
  <si>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</si>
  <si>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</si>
  <si>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</si>
  <si>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</si>
  <si>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</si>
  <si>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</si>
  <si>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</si>
  <si>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</si>
  <si>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</si>
  <si>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</si>
  <si>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</si>
  <si>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</si>
  <si>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</si>
  <si>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</si>
  <si>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</si>
  <si>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</si>
  <si>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</si>
  <si>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</si>
  <si>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</si>
  <si>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</si>
  <si>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</si>
  <si>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</si>
  <si>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</si>
  <si>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</si>
  <si>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</si>
  <si>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</si>
  <si>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</si>
  <si>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</si>
  <si>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</si>
  <si>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</si>
  <si>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</si>
  <si>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</si>
  <si>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</si>
  <si>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</si>
  <si>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</si>
  <si>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</si>
  <si>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</si>
  <si>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</si>
  <si>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</si>
  <si>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</si>
  <si>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</si>
  <si>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</si>
  <si>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</si>
  <si>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</si>
  <si>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</si>
  <si>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</si>
  <si>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</si>
  <si>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</si>
  <si>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</si>
  <si>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</si>
  <si>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</si>
  <si>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</si>
  <si>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</si>
  <si>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</si>
  <si>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</si>
  <si>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</si>
  <si>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</si>
  <si>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</si>
  <si>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</si>
  <si>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</si>
  <si>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</si>
  <si>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</si>
  <si>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</si>
  <si>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</si>
  <si>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</si>
  <si>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</si>
  <si>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</si>
  <si>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</si>
  <si>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</si>
  <si>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</si>
  <si>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Não</t>
  </si>
  <si>
    <t>Única</t>
  </si>
  <si>
    <t>02</t>
  </si>
  <si>
    <t>03</t>
  </si>
  <si>
    <t>04</t>
  </si>
  <si>
    <t>05</t>
  </si>
  <si>
    <t>06</t>
  </si>
  <si>
    <t>T</t>
  </si>
  <si>
    <t>07</t>
  </si>
  <si>
    <t xml:space="preserve">PM BENTO </t>
  </si>
  <si>
    <t>01</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</si>
  <si>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</si>
  <si>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</si>
  <si>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</si>
  <si>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</si>
  <si>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</si>
  <si>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</si>
  <si>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</si>
  <si>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</si>
  <si>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</si>
  <si>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</si>
  <si>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</si>
  <si>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</si>
  <si>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</si>
  <si>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</si>
  <si>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</si>
  <si>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</si>
  <si>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</si>
  <si>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</si>
  <si>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</si>
  <si>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</si>
  <si>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</si>
  <si>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</si>
  <si>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</si>
  <si>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</si>
  <si>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</si>
  <si>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</si>
  <si>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</si>
  <si>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PM BENTO</t>
  </si>
  <si>
    <t xml:space="preserve">PEDRA BRITADA N. 1 (9,5 A 19 MM) - ENTREGA SECRETARIA MUNICIPAL DE VIAÇÃO E OBRAS PÚBLICAS </t>
  </si>
  <si>
    <t xml:space="preserve">PEDRA BRITADA N. 3 (38 A 50 MM) - ENTREGA NA SECRETARIA MUNICIPAL DE VIAÇÃO E OBRAS PÚBLICAS </t>
  </si>
  <si>
    <t>PEDRA BRITADA N. 2 (19 A 38 MM) POSTO PEDREIRA/FORNECEDOR, SEM FRETE</t>
  </si>
  <si>
    <t xml:space="preserve">PEDRA BRITADA N. 3 (38 A 50 MM) - POSTO PEDREIRA/FORNECEDOR, SEM FRETE </t>
  </si>
  <si>
    <t xml:space="preserve">BRITA GRADUADA CLASSE A, CONFORME DAER-ES-P 08/91 PARA BASE OU SUB BASE - POSTO PEDREIRA/FORNECEDOR, SEM FRETE </t>
  </si>
  <si>
    <t>MACADAME SECO COM BRITA COMERCIAL - BRITA 4, PEDRISCO E PÓ DE PEDRA - MATERIAL DE ENCHIMENTO FAIXA V - CONFORME DAER-ES-P 07/91 - POSTO PEDREIRA/FORNECEDOR, SEM FRETE</t>
  </si>
  <si>
    <t>PEDRA BRITADA N.1 (9,5 A 19MM) - ENTREGA DISTRITO VALE DOS VINHEDOS</t>
  </si>
  <si>
    <t>PEDRA BRITADA N. 2 (19 A 38 MM)- ENTREGA DISTRITO VALE DOS VINHEDOS</t>
  </si>
  <si>
    <t xml:space="preserve">PEDRA BRITADA N. 3 (38 A 50 MM) - ENTREGA DISTRITO VALE DOS VINHEDOS </t>
  </si>
  <si>
    <t>PEDRA BRITADA N. 0 OU PEDRISCO (4,8 A 9,5 MM) - ENTREGA DISTRITO VALE DOS VINHEDOS</t>
  </si>
  <si>
    <t>PEDRA BRITADA N. 2 ( 19 A 38 MM ) - ENTREGA DISTRITO DE TUIUTY</t>
  </si>
  <si>
    <t>PEDRA BRITADA N. 1 ( 9,5 A 19 MM ) - ENTREGA DISTRITO DE SÃO PEDRO</t>
  </si>
  <si>
    <t xml:space="preserve">PEDRA BRITADA N.2 ( 19 A 38 MM ) - ENTREGA DISTRITO DE SÃO PEDRO </t>
  </si>
  <si>
    <t xml:space="preserve">PEDRA BRITADA N. 3 ( 38 A 50 MM ) - ENTREGA DISTRITO DE SÃO PEDRO </t>
  </si>
  <si>
    <t>PEDRA BRITADA  N. 0 OU PEDRISCO ( 4,8 A 9,5 MM ) - ENTREGA DISTRITO SÃO PEDRO</t>
  </si>
  <si>
    <t>PEDRA BRITADA N. 1 ( 9,5 A 19 MM ) - ENTREGA DISTRITO TUIUTY</t>
  </si>
  <si>
    <t>PEDRA BRITADA N. 0 OU PEDRISCO ( 4,8 A 9,5 MM ) - ENTREGA DISTRITO DE TUIUTY</t>
  </si>
  <si>
    <t>PÓ DE BRITA - ENTREGA DISTRITO DE TUIUTY</t>
  </si>
  <si>
    <t>PEDRA BRITADA N. 2 (19 A 38 MM ) - ENTREGA DISTRITO DE FARIA LEMOS</t>
  </si>
  <si>
    <t xml:space="preserve">PEDRA BRITADA N. 3 ( 38 A 50 MM ) - ENTREGA DISTRITO FARIA LEMOS </t>
  </si>
  <si>
    <t>PEDRA BRITADA N. 0 OU PEDRISCO ( 4,8 A 9,5 MM) - ENTREGA DISTRITO DE FARIA LEMOS</t>
  </si>
  <si>
    <t>PÓ DE BRITA - ENTREGA DISTRITO FARIA LEMOS</t>
  </si>
  <si>
    <t xml:space="preserve">PEDRA BRITADA N. 1 ( 9,5 A 19 MM ) - ENTREGA DISTRITO DE FARIA LEMOS </t>
  </si>
  <si>
    <t>ENTREGUE NA SECRETARIA MUNICIPAL DE VIAÇÃO E OBRAS PÚBLICAS (SMVOP)</t>
  </si>
  <si>
    <t>ENTREGUE NO DISTRITO DE VALE DOS VINHEDOS</t>
  </si>
  <si>
    <t>ENTREGUE NO DISTRITO DE SÃO PEDRO</t>
  </si>
  <si>
    <t>ENTREGUE NO DISTRITO DE TUIUTY</t>
  </si>
  <si>
    <t>ENTREGUE NO DISTRITO DE FARIA LEMOS</t>
  </si>
  <si>
    <t>AQUISIÇÃO DE AGREGADOS BASÁLTICOS</t>
  </si>
  <si>
    <t>PEDRA BRITADA N. 2 (19 A 38 MM) - ENTREGA SECRETARIA MUNICIPAL DE VIAÇÃO E OBRAS PÚBLICAS</t>
  </si>
  <si>
    <t>PEDRA BRITADA N. 0 OU PEDRISCO (4,8 A 9,5 MM) - ENTREGA SECRETARIA MUNICIPAL DE VIAÇÃO E OBRAS PÚBLICAS</t>
  </si>
  <si>
    <t xml:space="preserve">PÓ DE BRITA - ENTREGA DISTRITO VALE DOS VINHEDOS </t>
  </si>
  <si>
    <t>PÓ DE BRITA - ENTREGA DISTRITO SÃO PEDRO</t>
  </si>
  <si>
    <t xml:space="preserve">PÓ DE BRITA - ENTREGA SECRETARIA MUNICIPAL DE VIAÇÃO E OBRAS PÚBLICAS </t>
  </si>
  <si>
    <t xml:space="preserve">BRITA GRADUADA CLASSE A, CONFORME DAER -ES-P 08/91 PARA BASE OU SUB BASE - ENTREGA SECRETARIA MUNICIPAL DE VIAÇÃO E OBRAS PÚBLICAS </t>
  </si>
  <si>
    <t xml:space="preserve">MACADAME SECO COM BRITA COMERCIAL - BRITA 4, PEDRISCO E PÓ DE BRITA - MATERIAL DE ENCHIMENTO FAIXA V - CONFORME DAER-ES-P 07/91 - ENTREGA SECRETARIA MUNICIPAL DE VIAÇÃO E OBRAS PÚBLICAS </t>
  </si>
  <si>
    <t>PEDRA BRITADA N. 3 (38 A 50 MM) - ENTREGA DISTRITO DE TUIUTY</t>
  </si>
  <si>
    <t>PEDRA BRITADA N. 0 OU PEDRISCO (4,8 A 9,5 MM) - POSTO PEDREIRA/FORNECEDOR, SEM FRETE</t>
  </si>
  <si>
    <t>PEDRA BRITADA N. 1 (9,5 A 19 MM) - POSTO PEDREIRA/FORNECEDOR, SEM FRETE</t>
  </si>
  <si>
    <t>PÓ DE BRITA - POSTO PEDREIRA/FORNECEDOR, SEM FRETE</t>
  </si>
  <si>
    <t>SEM FRETE  (PARA RETIRAR NA UNIDADE DE BRITAGEM)</t>
  </si>
  <si>
    <t>RUA JOANA GUINDANI TONELLO (SMVOP) E DISTRITOS</t>
  </si>
  <si>
    <t>DIOGO SEGABINAZZI SIQUEIRA</t>
  </si>
  <si>
    <t>PREFEITO MUNICIPAL</t>
  </si>
  <si>
    <t>APLICADO DIRETAMENTE NO INSUMO (EXCLUSO TRANSPORTE, NO QUADRO DE COMPOSIÇÕES ANALÍTICO) E NA PLANILHA ORÇAMENTÁRIA.</t>
  </si>
  <si>
    <t>APLICADO EM SERVIÇOS DE CARGA/MANOBRA/DESCARGA E DE TRANSPORTE DE INSUMOS (NO QUADRO DE COMPOSIÇÕES ANALÍTICO). NÃO DESONERADO.</t>
  </si>
  <si>
    <t>Para realização de licitação (Registro de Preços).</t>
  </si>
  <si>
    <t>AGREGADOS BASÁLTICOS</t>
  </si>
  <si>
    <t>27 de janeiro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</si>
</sst>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2" fillId="28" borderId="23" xfId="0" applyFont="1" applyFill="1" applyBorder="1" applyAlignment="1">
      <alignment vertical="center" wrapText="1"/>
    </xf>
    <xf numFmtId="0" fontId="2" fillId="25" borderId="23" xfId="0" applyFont="1" applyFill="1" applyBorder="1" applyAlignment="1">
      <alignment vertical="center" wrapText="1"/>
    </xf>
    <xf numFmtId="49" fontId="1" fillId="25" borderId="24" xfId="0" applyNumberFormat="1" applyFont="1" applyFill="1" applyBorder="1" applyAlignment="1">
      <alignment horizontal="center" vertical="center" wrapText="1"/>
    </xf>
    <xf numFmtId="0" fontId="1" fillId="31" borderId="24" xfId="0" applyFont="1" applyFill="1" applyBorder="1" applyAlignment="1">
      <alignment vertical="center" wrapText="1"/>
    </xf>
    <xf numFmtId="0" fontId="1" fillId="31" borderId="24" xfId="0" applyFont="1" applyFill="1" applyBorder="1" applyAlignment="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lignment horizontal="center" textRotation="90"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2" applyFont="1" applyBorder="1" applyAlignment="1">
      <alignment horizontal="left" vertical="top"/>
    </xf>
    <xf numFmtId="0" fontId="22" fillId="0" borderId="0" xfId="72"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lignment horizontal="left" vertical="top"/>
    </xf>
    <xf numFmtId="0" fontId="38" fillId="0" borderId="12" xfId="72"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Alignment="1">
      <alignment horizontal="left"/>
    </xf>
    <xf numFmtId="0" fontId="45" fillId="0" borderId="0" xfId="71" applyFont="1" applyAlignment="1">
      <alignment horizontal="left" vertical="center" indent="1"/>
    </xf>
    <xf numFmtId="0" fontId="1" fillId="0" borderId="14" xfId="71" applyBorder="1" applyAlignment="1">
      <alignment horizontal="left" vertical="center" wrapTex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26" fillId="0" borderId="0" xfId="71" applyFont="1" applyAlignment="1">
      <alignment horizontal="left" vertical="center"/>
    </xf>
    <xf numFmtId="0" fontId="1" fillId="0" borderId="0" xfId="71" applyAlignment="1">
      <alignment horizontal="center" vertical="center"/>
    </xf>
    <xf numFmtId="0" fontId="35" fillId="0" borderId="14" xfId="71" applyFont="1" applyBorder="1" applyAlignment="1">
      <alignment horizontal="center" vertical="center" wrapText="1"/>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49" fontId="1" fillId="0" borderId="0" xfId="71" applyNumberFormat="1" applyAlignment="1" applyProtection="1">
      <alignment horizontal="left"/>
      <protection locked="0"/>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xf>
    <xf numFmtId="0" fontId="22" fillId="0" borderId="14" xfId="71"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49" fillId="0" borderId="0" xfId="0" applyFont="1" applyAlignment="1">
      <alignment horizontal="center" vertical="top"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cellXfs>
  <cellStyles count="8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_Composicao BDI v2.1" xfId="68" xr:uid="{00000000-0005-0000-0000-000043000000}"/>
    <cellStyle name="Neutral" xfId="70" xr:uid="{00000000-0005-0000-0000-000045000000}"/>
    <cellStyle name="Neutro" xfId="69" builtinId="28" customBuiltin="1"/>
    <cellStyle name="Normal" xfId="0" builtinId="0"/>
    <cellStyle name="Normal 2" xfId="71" xr:uid="{00000000-0005-0000-0000-000047000000}"/>
    <cellStyle name="Normal_FICHA DE VERIFICAÇÃO PRELIMINAR - Plano R" xfId="72" xr:uid="{00000000-0005-0000-0000-000048000000}"/>
    <cellStyle name="Nota" xfId="73" builtinId="10" customBuiltin="1"/>
    <cellStyle name="Note" xfId="74" xr:uid="{00000000-0005-0000-0000-00004A000000}"/>
    <cellStyle name="Output" xfId="75" xr:uid="{00000000-0005-0000-0000-00004B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0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8000000}"/>
  </cellStyles>
  <dxfs count="450">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1.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id="{00000000-0008-0000-0100-0000B4600200}"/>
                </a:ext>
              </a:extLst>
            </xdr:cNvPr>
            <xdr:cNvPicPr>
              <a:picLocks noChangeArrowheads="1"/>
              <a:extLst>
                <a:ext uri="{84589F7E-364E-4C9E-8A38-B11213B215E9}">
                  <a14:cameraTool cellRange="PO!$T$1:$T$2" spid="_x0000_s156516"/>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653303</xdr:colOff>
          <xdr:row>1</xdr:row>
          <xdr:rowOff>151840</xdr:rowOff>
        </xdr:to>
        <xdr:pic>
          <xdr:nvPicPr>
            <xdr:cNvPr id="5" name="SigiloPic">
              <a:extLst>
                <a:ext uri="{FF2B5EF4-FFF2-40B4-BE49-F238E27FC236}">
                  <a16:creationId xmlns:a16="http://schemas.microsoft.com/office/drawing/2014/main" id="{00000000-0008-0000-0200-000005000000}"/>
                </a:ext>
              </a:extLst>
            </xdr:cNvPr>
            <xdr:cNvPicPr>
              <a:picLocks noChangeArrowheads="1"/>
              <a:extLst>
                <a:ext uri="{84589F7E-364E-4C9E-8A38-B11213B215E9}">
                  <a14:cameraTool cellRange="PO!$T$1:$T$2" spid="_x0000_s217191"/>
                </a:ext>
              </a:extLst>
            </xdr:cNvPicPr>
          </xdr:nvPicPr>
          <xdr:blipFill>
            <a:blip xmlns:r="http://schemas.openxmlformats.org/officeDocument/2006/relationships" r:embed="rId2"/>
            <a:srcRect/>
            <a:stretch>
              <a:fillRect/>
            </a:stretch>
          </xdr:blipFill>
          <xdr:spPr bwMode="auto">
            <a:xfrm>
              <a:off x="6172200" y="28575"/>
              <a:ext cx="1053353" cy="31376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id="{00000000-0008-0000-0300-00009A050300}"/>
                </a:ext>
              </a:extLst>
            </xdr:cNvPr>
            <xdr:cNvPicPr>
              <a:picLocks noChangeArrowheads="1"/>
              <a:extLst>
                <a:ext uri="{84589F7E-364E-4C9E-8A38-B11213B215E9}">
                  <a14:cameraTool cellRange="DADOS!$A$220:$X$230" spid="_x0000_s209784"/>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64</xdr:row>
          <xdr:rowOff>0</xdr:rowOff>
        </xdr:from>
        <xdr:to>
          <xdr:col>19</xdr:col>
          <xdr:colOff>123825</xdr:colOff>
          <xdr:row>68</xdr:row>
          <xdr:rowOff>142875</xdr:rowOff>
        </xdr:to>
        <xdr:pic>
          <xdr:nvPicPr>
            <xdr:cNvPr id="198043" name="Picture 483">
              <a:extLst>
                <a:ext uri="{FF2B5EF4-FFF2-40B4-BE49-F238E27FC236}">
                  <a16:creationId xmlns:a16="http://schemas.microsoft.com/office/drawing/2014/main" id="{00000000-0008-0000-0300-00009B050300}"/>
                </a:ext>
              </a:extLst>
            </xdr:cNvPr>
            <xdr:cNvPicPr>
              <a:picLocks noChangeArrowheads="1"/>
              <a:extLst>
                <a:ext uri="{84589F7E-364E-4C9E-8A38-B11213B215E9}">
                  <a14:cameraTool cellRange="DADOS!$A$53:$K$57" spid="_x0000_s209785"/>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id="{00000000-0008-0000-0400-0000C57E0000}"/>
                </a:ext>
              </a:extLst>
            </xdr:cNvPr>
            <xdr:cNvPicPr>
              <a:picLocks noChangeArrowheads="1"/>
              <a:extLst>
                <a:ext uri="{84589F7E-364E-4C9E-8A38-B11213B215E9}">
                  <a14:cameraTool cellRange="DADOS!$A$220:$X$230" spid="_x0000_s221553"/>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id="{00000000-0008-0000-0400-0000C67E0000}"/>
                </a:ext>
              </a:extLst>
            </xdr:cNvPr>
            <xdr:cNvPicPr>
              <a:picLocks noChangeArrowheads="1"/>
              <a:extLst>
                <a:ext uri="{84589F7E-364E-4C9E-8A38-B11213B215E9}">
                  <a14:cameraTool cellRange="DADOS!$A$220:$X$230" spid="_x0000_s221554"/>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55</xdr:row>
          <xdr:rowOff>9525</xdr:rowOff>
        </xdr:from>
        <xdr:to>
          <xdr:col>14</xdr:col>
          <xdr:colOff>28575</xdr:colOff>
          <xdr:row>59</xdr:row>
          <xdr:rowOff>152400</xdr:rowOff>
        </xdr:to>
        <xdr:pic>
          <xdr:nvPicPr>
            <xdr:cNvPr id="32455" name="Picture 483">
              <a:extLst>
                <a:ext uri="{FF2B5EF4-FFF2-40B4-BE49-F238E27FC236}">
                  <a16:creationId xmlns:a16="http://schemas.microsoft.com/office/drawing/2014/main" id="{00000000-0008-0000-0400-0000C77E0000}"/>
                </a:ext>
              </a:extLst>
            </xdr:cNvPr>
            <xdr:cNvPicPr>
              <a:picLocks noChangeArrowheads="1"/>
              <a:extLst>
                <a:ext uri="{84589F7E-364E-4C9E-8A38-B11213B215E9}">
                  <a14:cameraTool cellRange="DADOS!$A$53:$K$57" spid="_x0000_s221555"/>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id="{00000000-0008-0000-0400-0000C87E0000}"/>
                </a:ext>
              </a:extLst>
            </xdr:cNvPr>
            <xdr:cNvPicPr>
              <a:picLocks noChangeArrowheads="1"/>
              <a:extLst>
                <a:ext uri="{84589F7E-364E-4C9E-8A38-B11213B215E9}">
                  <a14:cameraTool cellRange="PO!$T$1:$T$2" spid="_x0000_s221556"/>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id="{00000000-0008-0000-0500-0000AF150300}"/>
                </a:ext>
              </a:extLst>
            </xdr:cNvPr>
            <xdr:cNvPicPr>
              <a:picLocks noChangeArrowheads="1"/>
              <a:extLst>
                <a:ext uri="{84589F7E-364E-4C9E-8A38-B11213B215E9}">
                  <a14:cameraTool cellRange="DADOS!$A$220:$X$230" spid="_x0000_s224594"/>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id="{00000000-0008-0000-0500-0000B0150300}"/>
                </a:ext>
              </a:extLst>
            </xdr:cNvPr>
            <xdr:cNvPicPr>
              <a:picLocks noChangeArrowheads="1"/>
              <a:extLst>
                <a:ext uri="{84589F7E-364E-4C9E-8A38-B11213B215E9}">
                  <a14:cameraTool cellRange="DADOS!$A$220:$X$230" spid="_x0000_s224595"/>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40</xdr:row>
          <xdr:rowOff>0</xdr:rowOff>
        </xdr:from>
        <xdr:to>
          <xdr:col>22</xdr:col>
          <xdr:colOff>28575</xdr:colOff>
          <xdr:row>44</xdr:row>
          <xdr:rowOff>142875</xdr:rowOff>
        </xdr:to>
        <xdr:pic>
          <xdr:nvPicPr>
            <xdr:cNvPr id="202161" name="Picture 483">
              <a:extLst>
                <a:ext uri="{FF2B5EF4-FFF2-40B4-BE49-F238E27FC236}">
                  <a16:creationId xmlns:a16="http://schemas.microsoft.com/office/drawing/2014/main" id="{00000000-0008-0000-0500-0000B1150300}"/>
                </a:ext>
              </a:extLst>
            </xdr:cNvPr>
            <xdr:cNvPicPr>
              <a:picLocks noChangeArrowheads="1"/>
              <a:extLst>
                <a:ext uri="{84589F7E-364E-4C9E-8A38-B11213B215E9}">
                  <a14:cameraTool cellRange="DADOS!$A$53:$K$57" spid="_x0000_s224596"/>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id="{00000000-0008-0000-0500-0000B2150300}"/>
                </a:ext>
              </a:extLst>
            </xdr:cNvPr>
            <xdr:cNvPicPr>
              <a:picLocks noChangeArrowheads="1"/>
              <a:extLst>
                <a:ext uri="{84589F7E-364E-4C9E-8A38-B11213B215E9}">
                  <a14:cameraTool cellRange="PO!$T$1:$T$2" spid="_x0000_s224597"/>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40</xdr:row>
          <xdr:rowOff>0</xdr:rowOff>
        </xdr:from>
        <xdr:to>
          <xdr:col>31</xdr:col>
          <xdr:colOff>0</xdr:colOff>
          <xdr:row>44</xdr:row>
          <xdr:rowOff>142875</xdr:rowOff>
        </xdr:to>
        <xdr:pic>
          <xdr:nvPicPr>
            <xdr:cNvPr id="202163" name="Picture 2483">
              <a:extLst>
                <a:ext uri="{FF2B5EF4-FFF2-40B4-BE49-F238E27FC236}">
                  <a16:creationId xmlns:a16="http://schemas.microsoft.com/office/drawing/2014/main" id="{00000000-0008-0000-0500-0000B3150300}"/>
                </a:ext>
              </a:extLst>
            </xdr:cNvPr>
            <xdr:cNvPicPr>
              <a:picLocks noChangeArrowheads="1"/>
              <a:extLst>
                <a:ext uri="{84589F7E-364E-4C9E-8A38-B11213B215E9}">
                  <a14:cameraTool cellRange="DADOS!$A$53:$K$57" spid="_x0000_s224598"/>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4" name="Picture 2484">
              <a:extLst>
                <a:ext uri="{FF2B5EF4-FFF2-40B4-BE49-F238E27FC236}">
                  <a16:creationId xmlns:a16="http://schemas.microsoft.com/office/drawing/2014/main" id="{00000000-0008-0000-0500-0000B4150300}"/>
                </a:ext>
              </a:extLst>
            </xdr:cNvPr>
            <xdr:cNvPicPr>
              <a:picLocks noChangeArrowheads="1"/>
              <a:extLst>
                <a:ext uri="{84589F7E-364E-4C9E-8A38-B11213B215E9}">
                  <a14:cameraTool cellRange="PO!$T$1:$T$2" spid="_x0000_s22459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40</xdr:row>
          <xdr:rowOff>0</xdr:rowOff>
        </xdr:from>
        <xdr:to>
          <xdr:col>31</xdr:col>
          <xdr:colOff>0</xdr:colOff>
          <xdr:row>44</xdr:row>
          <xdr:rowOff>142875</xdr:rowOff>
        </xdr:to>
        <xdr:pic>
          <xdr:nvPicPr>
            <xdr:cNvPr id="202165" name="Picture 2485">
              <a:extLst>
                <a:ext uri="{FF2B5EF4-FFF2-40B4-BE49-F238E27FC236}">
                  <a16:creationId xmlns:a16="http://schemas.microsoft.com/office/drawing/2014/main" id="{00000000-0008-0000-0500-0000B5150300}"/>
                </a:ext>
              </a:extLst>
            </xdr:cNvPr>
            <xdr:cNvPicPr>
              <a:picLocks noChangeArrowheads="1"/>
              <a:extLst>
                <a:ext uri="{84589F7E-364E-4C9E-8A38-B11213B215E9}">
                  <a14:cameraTool cellRange="DADOS!$A$53:$K$57" spid="_x0000_s224600"/>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6" name="Picture 2486">
              <a:extLst>
                <a:ext uri="{FF2B5EF4-FFF2-40B4-BE49-F238E27FC236}">
                  <a16:creationId xmlns:a16="http://schemas.microsoft.com/office/drawing/2014/main" id="{00000000-0008-0000-0500-0000B6150300}"/>
                </a:ext>
              </a:extLst>
            </xdr:cNvPr>
            <xdr:cNvPicPr>
              <a:picLocks noChangeArrowheads="1"/>
              <a:extLst>
                <a:ext uri="{84589F7E-364E-4C9E-8A38-B11213B215E9}">
                  <a14:cameraTool cellRange="PO!$T$1:$T$2" spid="_x0000_s22460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40</xdr:row>
          <xdr:rowOff>0</xdr:rowOff>
        </xdr:from>
        <xdr:to>
          <xdr:col>31</xdr:col>
          <xdr:colOff>0</xdr:colOff>
          <xdr:row>44</xdr:row>
          <xdr:rowOff>142875</xdr:rowOff>
        </xdr:to>
        <xdr:pic>
          <xdr:nvPicPr>
            <xdr:cNvPr id="202167" name="Picture 2487">
              <a:extLst>
                <a:ext uri="{FF2B5EF4-FFF2-40B4-BE49-F238E27FC236}">
                  <a16:creationId xmlns:a16="http://schemas.microsoft.com/office/drawing/2014/main" id="{00000000-0008-0000-0500-0000B7150300}"/>
                </a:ext>
              </a:extLst>
            </xdr:cNvPr>
            <xdr:cNvPicPr>
              <a:picLocks noChangeArrowheads="1"/>
              <a:extLst>
                <a:ext uri="{84589F7E-364E-4C9E-8A38-B11213B215E9}">
                  <a14:cameraTool cellRange="DADOS!$A$53:$K$57" spid="_x0000_s224602"/>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8" name="Picture 2488">
              <a:extLst>
                <a:ext uri="{FF2B5EF4-FFF2-40B4-BE49-F238E27FC236}">
                  <a16:creationId xmlns:a16="http://schemas.microsoft.com/office/drawing/2014/main" id="{00000000-0008-0000-0500-0000B8150300}"/>
                </a:ext>
              </a:extLst>
            </xdr:cNvPr>
            <xdr:cNvPicPr>
              <a:picLocks noChangeArrowheads="1"/>
              <a:extLst>
                <a:ext uri="{84589F7E-364E-4C9E-8A38-B11213B215E9}">
                  <a14:cameraTool cellRange="PO!$T$1:$T$2" spid="_x0000_s22460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40</xdr:row>
          <xdr:rowOff>0</xdr:rowOff>
        </xdr:from>
        <xdr:to>
          <xdr:col>31</xdr:col>
          <xdr:colOff>0</xdr:colOff>
          <xdr:row>44</xdr:row>
          <xdr:rowOff>142875</xdr:rowOff>
        </xdr:to>
        <xdr:pic>
          <xdr:nvPicPr>
            <xdr:cNvPr id="202169" name="Picture 2489">
              <a:extLst>
                <a:ext uri="{FF2B5EF4-FFF2-40B4-BE49-F238E27FC236}">
                  <a16:creationId xmlns:a16="http://schemas.microsoft.com/office/drawing/2014/main" id="{00000000-0008-0000-0500-0000B9150300}"/>
                </a:ext>
              </a:extLst>
            </xdr:cNvPr>
            <xdr:cNvPicPr>
              <a:picLocks noChangeArrowheads="1"/>
              <a:extLst>
                <a:ext uri="{84589F7E-364E-4C9E-8A38-B11213B215E9}">
                  <a14:cameraTool cellRange="DADOS!$A$53:$K$57" spid="_x0000_s224604"/>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70" name="Picture 2490">
              <a:extLst>
                <a:ext uri="{FF2B5EF4-FFF2-40B4-BE49-F238E27FC236}">
                  <a16:creationId xmlns:a16="http://schemas.microsoft.com/office/drawing/2014/main" id="{00000000-0008-0000-0500-0000BA150300}"/>
                </a:ext>
              </a:extLst>
            </xdr:cNvPr>
            <xdr:cNvPicPr>
              <a:picLocks noChangeArrowheads="1"/>
              <a:extLst>
                <a:ext uri="{84589F7E-364E-4C9E-8A38-B11213B215E9}">
                  <a14:cameraTool cellRange="PO!$T$1:$T$2" spid="_x0000_s22460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40</xdr:row>
          <xdr:rowOff>0</xdr:rowOff>
        </xdr:from>
        <xdr:to>
          <xdr:col>31</xdr:col>
          <xdr:colOff>0</xdr:colOff>
          <xdr:row>44</xdr:row>
          <xdr:rowOff>142875</xdr:rowOff>
        </xdr:to>
        <xdr:pic>
          <xdr:nvPicPr>
            <xdr:cNvPr id="202171" name="Picture 2491">
              <a:extLst>
                <a:ext uri="{FF2B5EF4-FFF2-40B4-BE49-F238E27FC236}">
                  <a16:creationId xmlns:a16="http://schemas.microsoft.com/office/drawing/2014/main" id="{00000000-0008-0000-0500-0000BB150300}"/>
                </a:ext>
              </a:extLst>
            </xdr:cNvPr>
            <xdr:cNvPicPr>
              <a:picLocks noChangeArrowheads="1"/>
              <a:extLst>
                <a:ext uri="{84589F7E-364E-4C9E-8A38-B11213B215E9}">
                  <a14:cameraTool cellRange="DADOS!$A$53:$K$57" spid="_x0000_s224606"/>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72" name="Picture 2492">
              <a:extLst>
                <a:ext uri="{FF2B5EF4-FFF2-40B4-BE49-F238E27FC236}">
                  <a16:creationId xmlns:a16="http://schemas.microsoft.com/office/drawing/2014/main" id="{00000000-0008-0000-0500-0000BC150300}"/>
                </a:ext>
              </a:extLst>
            </xdr:cNvPr>
            <xdr:cNvPicPr>
              <a:picLocks noChangeArrowheads="1"/>
              <a:extLst>
                <a:ext uri="{84589F7E-364E-4C9E-8A38-B11213B215E9}">
                  <a14:cameraTool cellRange="PO!$T$1:$T$2" spid="_x0000_s22460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971550</xdr:colOff>
          <xdr:row>40</xdr:row>
          <xdr:rowOff>0</xdr:rowOff>
        </xdr:from>
        <xdr:to>
          <xdr:col>30</xdr:col>
          <xdr:colOff>28575</xdr:colOff>
          <xdr:row>44</xdr:row>
          <xdr:rowOff>142875</xdr:rowOff>
        </xdr:to>
        <xdr:pic>
          <xdr:nvPicPr>
            <xdr:cNvPr id="22" name="Picture 483">
              <a:extLst>
                <a:ext uri="{FF2B5EF4-FFF2-40B4-BE49-F238E27FC236}">
                  <a16:creationId xmlns:a16="http://schemas.microsoft.com/office/drawing/2014/main" id="{00000000-0008-0000-0500-000016000000}"/>
                </a:ext>
              </a:extLst>
            </xdr:cNvPr>
            <xdr:cNvPicPr>
              <a:picLocks noChangeArrowheads="1"/>
              <a:extLst>
                <a:ext uri="{84589F7E-364E-4C9E-8A38-B11213B215E9}">
                  <a14:cameraTool cellRange="DADOS!$A$53:$K$57" spid="_x0000_s224608"/>
                </a:ext>
              </a:extLst>
            </xdr:cNvPicPr>
          </xdr:nvPicPr>
          <xdr:blipFill>
            <a:blip xmlns:r="http://schemas.openxmlformats.org/officeDocument/2006/relationships" r:embed="rId5"/>
            <a:srcRect/>
            <a:stretch>
              <a:fillRect/>
            </a:stretch>
          </xdr:blipFill>
          <xdr:spPr bwMode="auto">
            <a:xfrm>
              <a:off x="6604907" y="4136571"/>
              <a:ext cx="6391275" cy="79601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29</xdr:col>
          <xdr:colOff>914400</xdr:colOff>
          <xdr:row>0</xdr:row>
          <xdr:rowOff>66675</xdr:rowOff>
        </xdr:from>
        <xdr:to>
          <xdr:col>30</xdr:col>
          <xdr:colOff>920003</xdr:colOff>
          <xdr:row>2</xdr:row>
          <xdr:rowOff>53869</xdr:rowOff>
        </xdr:to>
        <xdr:pic>
          <xdr:nvPicPr>
            <xdr:cNvPr id="23" name="SigiloPic">
              <a:extLst>
                <a:ext uri="{FF2B5EF4-FFF2-40B4-BE49-F238E27FC236}">
                  <a16:creationId xmlns:a16="http://schemas.microsoft.com/office/drawing/2014/main" id="{00000000-0008-0000-0500-000017000000}"/>
                </a:ext>
              </a:extLst>
            </xdr:cNvPr>
            <xdr:cNvPicPr>
              <a:picLocks noChangeArrowheads="1"/>
              <a:extLst>
                <a:ext uri="{84589F7E-364E-4C9E-8A38-B11213B215E9}">
                  <a14:cameraTool cellRange="PO!$T$1:$T$2" spid="_x0000_s224609"/>
                </a:ext>
              </a:extLst>
            </xdr:cNvPicPr>
          </xdr:nvPicPr>
          <xdr:blipFill>
            <a:blip xmlns:r="http://schemas.openxmlformats.org/officeDocument/2006/relationships" r:embed="rId4"/>
            <a:srcRect/>
            <a:stretch>
              <a:fillRect/>
            </a:stretch>
          </xdr:blipFill>
          <xdr:spPr bwMode="auto">
            <a:xfrm>
              <a:off x="21216257" y="66675"/>
              <a:ext cx="1053353" cy="31376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23</xdr:col>
          <xdr:colOff>0</xdr:colOff>
          <xdr:row>3</xdr:row>
          <xdr:rowOff>0</xdr:rowOff>
        </xdr:from>
        <xdr:to>
          <xdr:col>31</xdr:col>
          <xdr:colOff>0</xdr:colOff>
          <xdr:row>6</xdr:row>
          <xdr:rowOff>219075</xdr:rowOff>
        </xdr:to>
        <xdr:pic>
          <xdr:nvPicPr>
            <xdr:cNvPr id="24" name="PIC3">
              <a:extLst>
                <a:ext uri="{FF2B5EF4-FFF2-40B4-BE49-F238E27FC236}">
                  <a16:creationId xmlns:a16="http://schemas.microsoft.com/office/drawing/2014/main" id="{00000000-0008-0000-0500-000018000000}"/>
                </a:ext>
              </a:extLst>
            </xdr:cNvPr>
            <xdr:cNvPicPr>
              <a:picLocks noChangeArrowheads="1"/>
              <a:extLst>
                <a:ext uri="{84589F7E-364E-4C9E-8A38-B11213B215E9}">
                  <a14:cameraTool cellRange="DADOS!$A$220:$X$230" spid="_x0000_s224610"/>
                </a:ext>
              </a:extLst>
            </xdr:cNvPicPr>
          </xdr:nvPicPr>
          <xdr:blipFill>
            <a:blip xmlns:r="http://schemas.openxmlformats.org/officeDocument/2006/relationships" r:embed="rId2"/>
            <a:srcRect l="39473"/>
            <a:stretch>
              <a:fillRect/>
            </a:stretch>
          </xdr:blipFill>
          <xdr:spPr bwMode="auto">
            <a:xfrm>
              <a:off x="14015357" y="489857"/>
              <a:ext cx="8382000" cy="115796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19" zoomScaleSheetLayoutView="100" workbookViewId="0">
      <selection activeCell="A49" sqref="A49"/>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30" t="s">
        <v>2</v>
      </c>
      <c r="C1" s="230"/>
      <c r="D1" s="230"/>
      <c r="E1" s="230"/>
      <c r="F1" s="230"/>
      <c r="G1" s="230"/>
      <c r="H1" s="230"/>
      <c r="I1" s="230"/>
      <c r="J1" s="230"/>
      <c r="K1" s="230"/>
      <c r="L1" s="230"/>
      <c r="M1" s="230"/>
      <c r="N1" s="230"/>
      <c r="O1" s="230"/>
      <c r="P1" s="230"/>
      <c r="Q1" s="230"/>
      <c r="R1" s="230"/>
      <c r="S1" s="230"/>
      <c r="T1" s="230"/>
      <c r="U1" s="230"/>
      <c r="V1" s="230"/>
      <c r="W1" s="230"/>
      <c r="X1" s="231"/>
    </row>
    <row r="2" spans="1:25" ht="13.5" customHeight="1" x14ac:dyDescent="0.2">
      <c r="A2" s="90" t="s">
        <v>228</v>
      </c>
      <c r="B2" s="232"/>
      <c r="C2" s="232"/>
      <c r="D2" s="232"/>
      <c r="E2" s="232"/>
      <c r="F2" s="232"/>
      <c r="G2" s="232"/>
      <c r="H2" s="232"/>
      <c r="I2" s="232"/>
      <c r="J2" s="232"/>
      <c r="K2" s="232"/>
      <c r="L2" s="232"/>
      <c r="M2" s="232"/>
      <c r="N2" s="232"/>
      <c r="O2" s="232"/>
      <c r="P2" s="232"/>
      <c r="Q2" s="232"/>
      <c r="R2" s="232"/>
      <c r="S2" s="232"/>
      <c r="T2" s="232"/>
      <c r="U2" s="232"/>
      <c r="V2" s="232"/>
      <c r="W2" s="232"/>
      <c r="X2" s="233"/>
    </row>
    <row r="3" spans="1:25" ht="13.5" customHeight="1" x14ac:dyDescent="0.2">
      <c r="A3"/>
      <c r="B3"/>
      <c r="F3"/>
      <c r="G3"/>
      <c r="H3"/>
    </row>
    <row r="4" spans="1:25" ht="12.75" customHeight="1" x14ac:dyDescent="0.2">
      <c r="A4" s="242" t="s">
        <v>168</v>
      </c>
      <c r="B4" s="242"/>
      <c r="C4" s="242"/>
      <c r="D4" s="242"/>
      <c r="E4" s="242"/>
      <c r="F4" s="242"/>
      <c r="G4" s="242"/>
      <c r="H4" s="242"/>
      <c r="I4" s="242"/>
      <c r="J4" s="242"/>
      <c r="K4" s="242"/>
      <c r="L4" s="242"/>
      <c r="M4" s="242"/>
      <c r="N4" s="242"/>
      <c r="O4" s="242"/>
      <c r="P4" s="242"/>
      <c r="Q4" s="242"/>
      <c r="R4" s="242"/>
      <c r="S4" s="242"/>
      <c r="T4" s="242"/>
      <c r="U4" s="242"/>
      <c r="V4" s="242"/>
      <c r="W4" s="242"/>
      <c r="X4" s="242"/>
    </row>
    <row r="6" spans="1:25" s="5" customFormat="1" ht="24.95" customHeight="1" x14ac:dyDescent="0.2">
      <c r="A6" s="243" t="s">
        <v>179</v>
      </c>
      <c r="B6" s="244"/>
      <c r="C6" s="244"/>
      <c r="D6" s="244"/>
      <c r="E6" s="244"/>
      <c r="F6" s="244"/>
      <c r="G6" s="244"/>
      <c r="H6" s="244"/>
      <c r="I6" s="244"/>
      <c r="J6" s="244"/>
      <c r="K6" s="244"/>
      <c r="L6" s="244"/>
      <c r="M6" s="244"/>
      <c r="N6" s="244"/>
      <c r="O6" s="244"/>
      <c r="P6" s="244"/>
      <c r="Q6" s="244"/>
      <c r="R6" s="244"/>
      <c r="S6" s="244"/>
      <c r="T6" s="244"/>
      <c r="U6" s="244"/>
      <c r="V6" s="244"/>
      <c r="W6" s="244"/>
      <c r="X6" s="244"/>
    </row>
    <row r="7" spans="1:25" ht="12.75" customHeight="1" x14ac:dyDescent="0.2"/>
    <row r="8" spans="1:25" ht="12.75" customHeight="1" x14ac:dyDescent="0.2">
      <c r="A8" s="245" t="s">
        <v>23</v>
      </c>
      <c r="B8" s="245"/>
      <c r="C8" s="245"/>
      <c r="D8" s="245"/>
      <c r="E8" s="245"/>
      <c r="F8" s="245"/>
      <c r="G8" s="245"/>
      <c r="H8" s="245"/>
      <c r="I8" s="245"/>
      <c r="J8" s="245"/>
      <c r="K8" s="245"/>
      <c r="L8" s="245"/>
      <c r="M8" s="245"/>
      <c r="N8" s="245"/>
      <c r="O8" s="245"/>
      <c r="P8" s="245"/>
      <c r="Q8" s="245"/>
      <c r="R8" s="245"/>
      <c r="S8" s="245"/>
      <c r="T8" s="245"/>
      <c r="U8" s="245"/>
      <c r="V8" s="245"/>
      <c r="W8" s="245"/>
      <c r="X8" s="245"/>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7" t="s">
        <v>169</v>
      </c>
      <c r="B10" s="247"/>
      <c r="C10" s="247"/>
      <c r="D10" s="247"/>
      <c r="E10" s="247"/>
      <c r="F10" s="247"/>
      <c r="G10" s="247"/>
      <c r="H10" s="247"/>
      <c r="I10" s="247"/>
      <c r="J10" s="247"/>
      <c r="K10" s="247"/>
      <c r="L10" s="247"/>
      <c r="M10" s="247"/>
      <c r="N10" s="247"/>
      <c r="O10" s="247"/>
      <c r="P10" s="247"/>
      <c r="Q10" s="247"/>
      <c r="R10" s="247"/>
      <c r="S10" s="247"/>
      <c r="T10" s="247"/>
      <c r="U10" s="247"/>
      <c r="V10" s="247"/>
      <c r="W10" s="247"/>
      <c r="X10" s="247"/>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47" t="s">
        <v>1</v>
      </c>
      <c r="B12" s="247"/>
      <c r="C12" s="247"/>
      <c r="D12" s="247"/>
      <c r="E12" s="247"/>
      <c r="F12" s="247"/>
      <c r="G12" s="247"/>
      <c r="H12" s="247"/>
      <c r="I12" s="247"/>
      <c r="J12" s="247"/>
      <c r="K12" s="247"/>
      <c r="L12" s="247"/>
      <c r="M12" s="247"/>
      <c r="N12" s="247"/>
      <c r="O12" s="247"/>
      <c r="P12" s="247"/>
      <c r="Q12" s="247"/>
      <c r="R12" s="247"/>
      <c r="S12" s="247"/>
      <c r="T12" s="247"/>
      <c r="U12" s="247"/>
      <c r="V12" s="247"/>
      <c r="W12" s="247"/>
      <c r="X12" s="247"/>
    </row>
    <row r="14" spans="1:25" x14ac:dyDescent="0.2">
      <c r="A14" s="246" t="s">
        <v>24</v>
      </c>
      <c r="B14" s="245"/>
      <c r="C14" s="245"/>
      <c r="D14" s="245"/>
      <c r="E14" s="245"/>
      <c r="F14" s="245"/>
      <c r="G14" s="245"/>
      <c r="H14" s="245"/>
      <c r="I14" s="245"/>
      <c r="J14" s="245"/>
      <c r="K14" s="245"/>
      <c r="L14" s="245"/>
      <c r="M14" s="245"/>
      <c r="N14" s="245"/>
      <c r="O14" s="245"/>
      <c r="P14" s="245"/>
      <c r="Q14" s="245"/>
      <c r="R14" s="245"/>
      <c r="S14" s="245"/>
      <c r="T14" s="245"/>
      <c r="U14" s="245"/>
      <c r="V14" s="245"/>
      <c r="W14" s="245"/>
      <c r="X14" s="245"/>
    </row>
    <row r="16" spans="1:25" x14ac:dyDescent="0.2">
      <c r="A16" s="217" t="s">
        <v>186</v>
      </c>
      <c r="B16" s="218"/>
      <c r="C16" s="218"/>
      <c r="D16" s="218"/>
      <c r="E16" s="218"/>
      <c r="F16" s="218"/>
      <c r="G16" s="218"/>
      <c r="H16" s="218"/>
      <c r="I16" s="218"/>
      <c r="J16" s="218"/>
      <c r="K16" s="218"/>
      <c r="L16" s="218"/>
      <c r="M16" s="218"/>
      <c r="N16" s="218"/>
      <c r="O16" s="218"/>
      <c r="P16" s="218"/>
      <c r="Q16" s="218"/>
      <c r="R16" s="218"/>
      <c r="S16" s="218"/>
      <c r="T16" s="218"/>
      <c r="U16" s="218"/>
      <c r="V16" s="218"/>
      <c r="W16" s="218"/>
      <c r="X16" s="218"/>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9" t="s">
        <v>187</v>
      </c>
      <c r="B18" s="219"/>
      <c r="C18" s="220"/>
      <c r="D18" s="220"/>
      <c r="E18" s="220"/>
      <c r="F18" s="220"/>
      <c r="G18" s="220"/>
      <c r="H18" s="220"/>
      <c r="I18" s="220"/>
      <c r="J18" s="220"/>
      <c r="K18" s="220"/>
      <c r="L18" s="220"/>
      <c r="M18" s="220"/>
      <c r="N18" s="220"/>
      <c r="O18" s="220"/>
      <c r="P18" s="220"/>
      <c r="Q18" s="220"/>
      <c r="R18" s="220"/>
      <c r="S18" s="220"/>
      <c r="T18" s="220"/>
      <c r="U18" s="220"/>
      <c r="V18" s="220"/>
      <c r="W18" s="220"/>
      <c r="X18" s="220"/>
    </row>
    <row r="21" spans="1:25" x14ac:dyDescent="0.2">
      <c r="A21"/>
    </row>
    <row r="22" spans="1:25" ht="12.75" customHeight="1" x14ac:dyDescent="0.2">
      <c r="A22" s="217" t="s">
        <v>189</v>
      </c>
      <c r="B22" s="218"/>
      <c r="C22" s="218"/>
      <c r="D22" s="218"/>
      <c r="E22" s="218"/>
      <c r="F22" s="218"/>
      <c r="G22" s="218"/>
      <c r="H22" s="218"/>
      <c r="I22" s="218"/>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9" t="s">
        <v>190</v>
      </c>
      <c r="B24" s="219"/>
      <c r="C24" s="220"/>
      <c r="D24" s="220"/>
      <c r="E24" s="220"/>
      <c r="F24" s="220"/>
      <c r="G24" s="220"/>
      <c r="H24" s="220"/>
      <c r="I24" s="220"/>
      <c r="J24" s="220"/>
      <c r="K24" s="220"/>
      <c r="L24" s="220"/>
      <c r="M24" s="220"/>
      <c r="N24" s="220"/>
      <c r="O24" s="220"/>
      <c r="P24" s="220"/>
      <c r="Q24" s="220"/>
      <c r="R24" s="220"/>
      <c r="S24" s="220"/>
      <c r="T24" s="220"/>
      <c r="U24" s="220"/>
      <c r="V24" s="220"/>
      <c r="W24" s="220"/>
      <c r="X24" s="220"/>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5" t="s">
        <v>191</v>
      </c>
      <c r="B26" s="215"/>
      <c r="C26" s="216"/>
      <c r="D26" s="216"/>
      <c r="E26" s="216"/>
      <c r="F26" s="216"/>
      <c r="G26" s="216"/>
      <c r="H26" s="216"/>
      <c r="I26" s="216"/>
      <c r="J26" s="216"/>
      <c r="K26" s="216"/>
      <c r="L26" s="216"/>
      <c r="M26" s="216"/>
      <c r="N26" s="216"/>
      <c r="O26" s="216"/>
      <c r="P26" s="216"/>
      <c r="Q26" s="216"/>
      <c r="R26" s="216"/>
      <c r="S26" s="216"/>
      <c r="T26" s="216"/>
      <c r="U26" s="216"/>
      <c r="V26" s="216"/>
      <c r="W26" s="216"/>
      <c r="X26" s="216"/>
    </row>
    <row r="27" spans="1:25" ht="6" customHeight="1" x14ac:dyDescent="0.2">
      <c r="A27" s="17"/>
      <c r="B27" s="17"/>
    </row>
    <row r="28" spans="1:25" ht="12.75" customHeight="1" x14ac:dyDescent="0.2">
      <c r="A28" s="213" t="s">
        <v>177</v>
      </c>
      <c r="B28" s="221"/>
      <c r="C28" s="213" t="s">
        <v>170</v>
      </c>
      <c r="D28" s="214"/>
      <c r="E28" s="221"/>
      <c r="F28" s="213" t="s">
        <v>171</v>
      </c>
      <c r="G28" s="214"/>
      <c r="H28" s="214"/>
      <c r="I28" s="221"/>
      <c r="J28" s="213" t="s">
        <v>172</v>
      </c>
      <c r="K28" s="214"/>
      <c r="L28" s="214"/>
      <c r="M28" s="214"/>
      <c r="N28" s="214"/>
      <c r="O28" s="221"/>
      <c r="P28" s="213" t="s">
        <v>0</v>
      </c>
      <c r="Q28" s="214"/>
      <c r="R28" s="214"/>
      <c r="S28" s="214"/>
      <c r="T28" s="214"/>
      <c r="U28" s="214"/>
      <c r="V28" s="214"/>
      <c r="W28" s="214"/>
      <c r="X28" s="221"/>
    </row>
    <row r="29" spans="1:25" ht="12.75" customHeight="1" x14ac:dyDescent="0.2">
      <c r="A29" s="208"/>
      <c r="B29" s="222"/>
      <c r="C29" s="208"/>
      <c r="D29" s="209"/>
      <c r="E29" s="210"/>
      <c r="F29" s="208"/>
      <c r="G29" s="277"/>
      <c r="H29" s="277"/>
      <c r="I29" s="222"/>
      <c r="J29" s="208"/>
      <c r="K29" s="277"/>
      <c r="L29" s="277"/>
      <c r="M29" s="277"/>
      <c r="N29" s="277"/>
      <c r="O29" s="222"/>
      <c r="P29" s="208" t="s">
        <v>299</v>
      </c>
      <c r="Q29" s="277"/>
      <c r="R29" s="277"/>
      <c r="S29" s="277"/>
      <c r="T29" s="277"/>
      <c r="U29" s="277"/>
      <c r="V29" s="277"/>
      <c r="W29" s="277"/>
      <c r="X29" s="222"/>
    </row>
    <row r="30" spans="1:25" ht="6" customHeight="1" x14ac:dyDescent="0.2">
      <c r="A30"/>
      <c r="B30"/>
      <c r="F30"/>
      <c r="G30"/>
      <c r="H30"/>
    </row>
    <row r="31" spans="1:25" x14ac:dyDescent="0.2">
      <c r="A31" s="213" t="s">
        <v>173</v>
      </c>
      <c r="B31" s="214"/>
      <c r="C31" s="214"/>
      <c r="D31" s="214"/>
      <c r="E31" s="214"/>
      <c r="F31" s="221"/>
      <c r="G31" s="213" t="s">
        <v>174</v>
      </c>
      <c r="H31" s="214"/>
      <c r="I31" s="214"/>
      <c r="J31" s="221"/>
      <c r="K31" s="213" t="s">
        <v>175</v>
      </c>
      <c r="L31" s="214"/>
      <c r="M31" s="214"/>
      <c r="N31" s="214"/>
      <c r="O31" s="214"/>
      <c r="P31" s="221"/>
      <c r="Q31" s="213" t="s">
        <v>180</v>
      </c>
      <c r="R31" s="214"/>
      <c r="S31" s="214"/>
      <c r="T31" s="214"/>
      <c r="U31" s="214"/>
      <c r="V31" s="214"/>
      <c r="W31" s="214"/>
      <c r="X31" s="221"/>
    </row>
    <row r="32" spans="1:25" x14ac:dyDescent="0.2">
      <c r="A32" s="278" t="s">
        <v>230</v>
      </c>
      <c r="B32" s="279"/>
      <c r="C32" s="279"/>
      <c r="D32" s="279"/>
      <c r="E32" s="279"/>
      <c r="F32" s="280"/>
      <c r="G32" s="208" t="s">
        <v>231</v>
      </c>
      <c r="H32" s="209"/>
      <c r="I32" s="209"/>
      <c r="J32" s="210"/>
      <c r="K32" s="208" t="s">
        <v>312</v>
      </c>
      <c r="L32" s="277"/>
      <c r="M32" s="277"/>
      <c r="N32" s="277"/>
      <c r="O32" s="277"/>
      <c r="P32" s="222"/>
      <c r="Q32" s="208" t="s">
        <v>299</v>
      </c>
      <c r="R32" s="277"/>
      <c r="S32" s="277"/>
      <c r="T32" s="277"/>
      <c r="U32" s="277"/>
      <c r="V32" s="277"/>
      <c r="W32" s="277"/>
      <c r="X32" s="222"/>
    </row>
    <row r="33" spans="1:24" ht="9" customHeight="1" x14ac:dyDescent="0.2"/>
    <row r="34" spans="1:24" s="19" customFormat="1" x14ac:dyDescent="0.2"/>
    <row r="35" spans="1:24" ht="12.75" customHeight="1" x14ac:dyDescent="0.2">
      <c r="A35" s="215" t="s">
        <v>192</v>
      </c>
      <c r="B35" s="215"/>
      <c r="C35" s="216"/>
      <c r="D35" s="216"/>
      <c r="E35" s="216"/>
      <c r="F35" s="216"/>
      <c r="G35" s="216"/>
      <c r="H35" s="216"/>
      <c r="I35" s="216"/>
      <c r="J35" s="216"/>
      <c r="K35" s="216"/>
      <c r="L35" s="216"/>
      <c r="M35" s="216"/>
      <c r="N35" s="216"/>
      <c r="O35" s="216"/>
      <c r="P35" s="216"/>
      <c r="Q35" s="216"/>
      <c r="R35" s="216"/>
      <c r="S35" s="216"/>
      <c r="T35" s="216"/>
      <c r="U35" s="216"/>
      <c r="V35" s="216"/>
      <c r="W35" s="216"/>
      <c r="X35" s="216"/>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13" t="s">
        <v>16</v>
      </c>
      <c r="B37" s="221"/>
      <c r="C37" s="78" t="s">
        <v>91</v>
      </c>
      <c r="D37" s="213" t="s">
        <v>14</v>
      </c>
      <c r="E37" s="214"/>
      <c r="F37" s="221"/>
      <c r="G37" s="213" t="s">
        <v>12</v>
      </c>
      <c r="H37" s="214"/>
      <c r="I37" s="214"/>
      <c r="J37" s="214"/>
      <c r="K37" s="214"/>
      <c r="L37" s="214"/>
      <c r="M37" s="214"/>
      <c r="N37" s="214"/>
      <c r="O37" s="214"/>
      <c r="P37" s="214"/>
      <c r="Q37" s="214"/>
      <c r="R37" s="214"/>
      <c r="S37" s="221"/>
      <c r="T37" s="79" t="s">
        <v>7</v>
      </c>
      <c r="U37" s="79" t="s">
        <v>8</v>
      </c>
      <c r="V37" s="79" t="s">
        <v>9</v>
      </c>
      <c r="W37" s="79" t="s">
        <v>10</v>
      </c>
      <c r="X37" s="79" t="s">
        <v>11</v>
      </c>
    </row>
    <row r="38" spans="1:24" ht="12.75" customHeight="1" x14ac:dyDescent="0.2">
      <c r="A38" s="226">
        <v>45627</v>
      </c>
      <c r="B38" s="227"/>
      <c r="C38" s="77" t="s">
        <v>232</v>
      </c>
      <c r="D38" s="208" t="s">
        <v>78</v>
      </c>
      <c r="E38" s="209"/>
      <c r="F38" s="210"/>
      <c r="G38" s="208" t="s">
        <v>299</v>
      </c>
      <c r="H38" s="209"/>
      <c r="I38" s="209"/>
      <c r="J38" s="209"/>
      <c r="K38" s="209"/>
      <c r="L38" s="209"/>
      <c r="M38" s="209"/>
      <c r="N38" s="209"/>
      <c r="O38" s="209"/>
      <c r="P38" s="209"/>
      <c r="Q38" s="209"/>
      <c r="R38" s="209"/>
      <c r="S38" s="210"/>
      <c r="T38" s="80">
        <f ca="1">IF(ISERROR(INDIRECT("'BDI ("&amp;RIGHT(T37,1)&amp;")'!N27")),"",INDIRECT("'BDI ("&amp;RIGHT(T37,1)&amp;")'!N27"))</f>
        <v>0</v>
      </c>
      <c r="U38" s="81">
        <f ca="1">IF(ISERROR(INDIRECT("'BDI ("&amp;RIGHT(U37,1)&amp;")'!N27")),"",INDIRECT("'BDI ("&amp;RIGHT(U37,1)&amp;")'!N27"))</f>
        <v>0.14460000000000001</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5" t="s">
        <v>162</v>
      </c>
      <c r="B40" s="215"/>
      <c r="C40" s="216"/>
      <c r="D40" s="216"/>
      <c r="E40" s="216"/>
      <c r="F40" s="216"/>
      <c r="G40" s="216"/>
      <c r="H40" s="216"/>
      <c r="I40" s="216"/>
      <c r="J40" s="216"/>
      <c r="K40" s="216"/>
      <c r="L40" s="216"/>
      <c r="M40" s="216"/>
      <c r="N40" s="216"/>
      <c r="O40" s="216"/>
      <c r="P40" s="216"/>
      <c r="Q40" s="216"/>
      <c r="R40" s="216"/>
      <c r="S40" s="216"/>
      <c r="T40" s="216"/>
      <c r="U40" s="216"/>
      <c r="V40" s="216"/>
      <c r="W40" s="216"/>
      <c r="X40" s="216"/>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13" t="s">
        <v>87</v>
      </c>
      <c r="B42" s="221"/>
      <c r="C42" s="213" t="s">
        <v>111</v>
      </c>
      <c r="D42" s="214"/>
      <c r="E42" s="214"/>
      <c r="F42" s="214"/>
      <c r="G42" s="214"/>
      <c r="H42" s="213" t="s">
        <v>16</v>
      </c>
      <c r="I42" s="214"/>
      <c r="J42" s="20" t="s">
        <v>91</v>
      </c>
      <c r="K42" s="213" t="s">
        <v>88</v>
      </c>
      <c r="L42" s="214"/>
      <c r="M42" s="221"/>
      <c r="N42" s="20" t="s">
        <v>92</v>
      </c>
      <c r="O42" s="213" t="s">
        <v>93</v>
      </c>
      <c r="P42" s="214"/>
      <c r="Q42" s="214"/>
      <c r="R42" s="214"/>
      <c r="S42" s="214"/>
      <c r="T42" s="221"/>
      <c r="U42" s="228" t="s">
        <v>89</v>
      </c>
      <c r="V42" s="229"/>
      <c r="W42" s="228" t="s">
        <v>90</v>
      </c>
      <c r="X42" s="229"/>
    </row>
    <row r="43" spans="1:24" ht="12.75" customHeight="1" x14ac:dyDescent="0.2">
      <c r="A43" s="249"/>
      <c r="B43" s="250"/>
      <c r="C43" s="208"/>
      <c r="D43" s="209"/>
      <c r="E43" s="209"/>
      <c r="F43" s="209"/>
      <c r="G43" s="209"/>
      <c r="H43" s="226"/>
      <c r="I43" s="227"/>
      <c r="J43" s="74"/>
      <c r="K43" s="281"/>
      <c r="L43" s="282"/>
      <c r="M43" s="283"/>
      <c r="N43" s="89"/>
      <c r="O43" s="237"/>
      <c r="P43" s="238"/>
      <c r="Q43" s="238"/>
      <c r="R43" s="239"/>
      <c r="S43" s="239"/>
      <c r="T43" s="240"/>
      <c r="U43" s="235"/>
      <c r="V43" s="241"/>
      <c r="W43" s="235"/>
      <c r="X43" s="236"/>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5" t="s">
        <v>193</v>
      </c>
      <c r="B45" s="215"/>
      <c r="C45" s="216"/>
      <c r="D45" s="216"/>
      <c r="E45" s="216"/>
      <c r="F45" s="216"/>
      <c r="G45" s="216"/>
      <c r="H45" s="216"/>
      <c r="I45" s="216"/>
      <c r="J45" s="216"/>
      <c r="K45" s="216"/>
      <c r="L45" s="216"/>
      <c r="M45" s="216"/>
      <c r="N45" s="216"/>
      <c r="O45" s="216"/>
      <c r="P45" s="216"/>
      <c r="Q45" s="216"/>
      <c r="R45" s="216"/>
      <c r="S45" s="216"/>
      <c r="T45" s="216"/>
      <c r="U45" s="216"/>
      <c r="V45" s="216"/>
      <c r="W45" s="216"/>
      <c r="X45" s="216"/>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61">
        <v>45748</v>
      </c>
      <c r="B48" s="262"/>
      <c r="C48" s="263"/>
      <c r="E48" s="29"/>
      <c r="F48"/>
      <c r="G48"/>
      <c r="H48"/>
    </row>
    <row r="49" spans="1:24" x14ac:dyDescent="0.2">
      <c r="F49" s="25"/>
      <c r="G49" s="26"/>
      <c r="H49" s="27"/>
    </row>
    <row r="50" spans="1:24" x14ac:dyDescent="0.2">
      <c r="A50" s="215" t="s">
        <v>194</v>
      </c>
      <c r="B50" s="215"/>
      <c r="C50" s="216"/>
      <c r="D50" s="216"/>
      <c r="E50" s="216"/>
      <c r="F50" s="216"/>
      <c r="G50" s="216"/>
      <c r="H50" s="216"/>
      <c r="I50" s="216"/>
      <c r="J50" s="216"/>
      <c r="K50" s="216"/>
      <c r="L50" s="216"/>
      <c r="M50" s="216"/>
      <c r="N50" s="216"/>
      <c r="O50" s="216"/>
      <c r="P50" s="216"/>
      <c r="Q50" s="216"/>
      <c r="R50" s="216"/>
      <c r="S50" s="216"/>
      <c r="T50" s="216"/>
      <c r="U50" s="216"/>
      <c r="V50" s="216"/>
      <c r="W50" s="216"/>
      <c r="X50" s="216"/>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64"/>
      <c r="C54" s="265"/>
      <c r="D54" s="265"/>
      <c r="E54" s="265"/>
      <c r="F54" s="25"/>
      <c r="G54" s="86" t="s">
        <v>140</v>
      </c>
      <c r="H54" s="265"/>
      <c r="I54" s="265"/>
      <c r="J54" s="265"/>
      <c r="K54" s="265"/>
    </row>
    <row r="55" spans="1:24" x14ac:dyDescent="0.2">
      <c r="A55" s="86" t="str">
        <f>IF(OR(TipoOrçamento="BASE",TipoOrçamento="REPROGRAMADONPL"),"Título:","Cargo:")</f>
        <v>Cargo:</v>
      </c>
      <c r="B55" s="264"/>
      <c r="C55" s="265"/>
      <c r="D55" s="265"/>
      <c r="E55" s="265"/>
      <c r="F55" s="25"/>
      <c r="G55" s="86" t="str">
        <f>A55</f>
        <v>Cargo:</v>
      </c>
      <c r="H55" s="265"/>
      <c r="I55" s="265"/>
      <c r="J55" s="265"/>
      <c r="K55" s="265"/>
    </row>
    <row r="56" spans="1:24" x14ac:dyDescent="0.2">
      <c r="A56" s="86" t="str">
        <f>IF(OR(TipoOrçamento="BASE",TipoOrçamento="REPROGRAMADONPL"),"CREA/CAU:","Empresa:")</f>
        <v>Empresa:</v>
      </c>
      <c r="B56" s="248"/>
      <c r="C56" s="234"/>
      <c r="D56" s="234"/>
      <c r="E56" s="234"/>
      <c r="F56" s="25"/>
      <c r="G56" s="86" t="str">
        <f>A56</f>
        <v>Empresa:</v>
      </c>
      <c r="H56" s="234"/>
      <c r="I56" s="234"/>
      <c r="J56" s="234"/>
      <c r="K56" s="234"/>
    </row>
    <row r="57" spans="1:24" x14ac:dyDescent="0.2">
      <c r="A57" s="86" t="str">
        <f>IF(OR(TipoOrçamento="BASE",TipoOrçamento="REPROGRAMADONPL"),"ART/RRT:","CNPJ:")</f>
        <v>CNPJ:</v>
      </c>
      <c r="B57" s="248"/>
      <c r="C57" s="234"/>
      <c r="D57" s="234"/>
      <c r="E57" s="234"/>
      <c r="F57" s="25"/>
      <c r="G57" s="86" t="str">
        <f>A57</f>
        <v>CNPJ:</v>
      </c>
      <c r="H57" s="234"/>
      <c r="I57" s="234"/>
      <c r="J57" s="234"/>
      <c r="K57" s="234"/>
    </row>
    <row r="58" spans="1:24" x14ac:dyDescent="0.2">
      <c r="F58" s="25"/>
      <c r="G58" s="26"/>
      <c r="H58" s="27"/>
    </row>
    <row r="59" spans="1:24" x14ac:dyDescent="0.2">
      <c r="F59" s="25"/>
      <c r="G59" s="26"/>
      <c r="H59" s="27"/>
    </row>
    <row r="60" spans="1:24" ht="12.75" customHeight="1" x14ac:dyDescent="0.2">
      <c r="A60" s="219" t="s">
        <v>195</v>
      </c>
      <c r="B60" s="219"/>
      <c r="C60" s="220"/>
      <c r="D60" s="220"/>
      <c r="E60" s="220"/>
      <c r="F60" s="220"/>
      <c r="G60" s="220"/>
      <c r="H60" s="220"/>
      <c r="I60" s="220"/>
      <c r="J60" s="220"/>
      <c r="K60" s="220"/>
      <c r="L60" s="220"/>
      <c r="M60" s="220"/>
      <c r="N60" s="220"/>
      <c r="O60" s="220"/>
      <c r="P60" s="220"/>
      <c r="Q60" s="220"/>
      <c r="R60" s="220"/>
      <c r="S60" s="220"/>
      <c r="T60" s="220"/>
      <c r="U60" s="220"/>
      <c r="V60" s="220"/>
      <c r="W60" s="220"/>
      <c r="X60" s="220"/>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23" t="s">
        <v>196</v>
      </c>
      <c r="B62" s="224"/>
      <c r="C62" s="225"/>
      <c r="D62" s="225"/>
      <c r="E62" s="225"/>
      <c r="F62" s="225"/>
      <c r="G62" s="225"/>
      <c r="H62" s="225"/>
      <c r="I62" s="225"/>
      <c r="J62" s="225"/>
      <c r="K62" s="225"/>
      <c r="L62" s="225"/>
      <c r="M62" s="225"/>
      <c r="N62" s="225"/>
      <c r="O62" s="225"/>
      <c r="P62" s="225"/>
      <c r="Q62" s="225"/>
      <c r="R62" s="225"/>
      <c r="S62" s="225"/>
      <c r="T62" s="225"/>
      <c r="U62" s="225"/>
      <c r="V62" s="225"/>
      <c r="W62" s="225"/>
      <c r="X62" s="225"/>
    </row>
    <row r="63" spans="1:24" ht="30" customHeight="1" x14ac:dyDescent="0.2">
      <c r="A63" s="223" t="s">
        <v>197</v>
      </c>
      <c r="B63" s="223"/>
      <c r="C63" s="266"/>
      <c r="D63" s="266"/>
      <c r="E63" s="266"/>
      <c r="F63" s="266"/>
      <c r="G63" s="266"/>
      <c r="H63" s="266"/>
      <c r="I63" s="266"/>
      <c r="J63" s="266"/>
      <c r="K63" s="266"/>
      <c r="L63" s="266"/>
      <c r="M63" s="266"/>
      <c r="N63" s="266"/>
      <c r="O63" s="266"/>
      <c r="P63" s="266"/>
      <c r="Q63" s="266"/>
      <c r="R63" s="266"/>
      <c r="S63" s="266"/>
      <c r="T63" s="266"/>
      <c r="U63" s="266"/>
      <c r="V63" s="266"/>
      <c r="W63" s="266"/>
      <c r="X63" s="266"/>
    </row>
    <row r="64" spans="1:24" x14ac:dyDescent="0.2">
      <c r="F64" s="25"/>
      <c r="G64" s="26"/>
      <c r="H64" s="27"/>
    </row>
    <row r="65" spans="1:24" ht="12.75" customHeight="1" x14ac:dyDescent="0.2">
      <c r="A65" s="219" t="s">
        <v>198</v>
      </c>
      <c r="B65" s="219"/>
      <c r="C65" s="220"/>
      <c r="D65" s="220"/>
      <c r="E65" s="220"/>
      <c r="F65" s="220"/>
      <c r="G65" s="220"/>
      <c r="H65" s="220"/>
      <c r="I65" s="220"/>
      <c r="J65" s="220"/>
      <c r="K65" s="220"/>
      <c r="L65" s="220"/>
      <c r="M65" s="220"/>
      <c r="N65" s="220"/>
      <c r="O65" s="220"/>
      <c r="P65" s="220"/>
      <c r="Q65" s="220"/>
      <c r="R65" s="220"/>
      <c r="S65" s="220"/>
      <c r="T65" s="220"/>
      <c r="U65" s="220"/>
      <c r="V65" s="220"/>
      <c r="W65" s="220"/>
      <c r="X65" s="220"/>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5" t="s">
        <v>199</v>
      </c>
      <c r="B67" s="215"/>
      <c r="C67" s="216"/>
      <c r="D67" s="216"/>
      <c r="E67" s="216"/>
      <c r="F67" s="216"/>
      <c r="G67" s="216"/>
      <c r="H67" s="216"/>
      <c r="I67" s="216"/>
      <c r="J67" s="216"/>
      <c r="K67" s="216"/>
      <c r="L67" s="216"/>
      <c r="M67" s="216"/>
      <c r="N67" s="216"/>
      <c r="O67" s="216"/>
      <c r="P67" s="216"/>
      <c r="Q67" s="216"/>
      <c r="R67" s="216"/>
      <c r="S67" s="216"/>
      <c r="T67" s="216"/>
      <c r="U67" s="216"/>
      <c r="V67" s="216"/>
      <c r="W67" s="216"/>
      <c r="X67" s="216"/>
    </row>
    <row r="68" spans="1:24" x14ac:dyDescent="0.2">
      <c r="A68" s="215" t="s">
        <v>200</v>
      </c>
      <c r="B68" s="215"/>
      <c r="C68" s="216"/>
      <c r="D68" s="216"/>
      <c r="E68" s="216"/>
      <c r="F68" s="216"/>
      <c r="G68" s="216"/>
      <c r="H68" s="216"/>
      <c r="I68" s="216"/>
      <c r="J68" s="216"/>
      <c r="K68" s="216"/>
      <c r="L68" s="216"/>
      <c r="M68" s="216"/>
      <c r="N68" s="216"/>
      <c r="O68" s="216"/>
      <c r="P68" s="216"/>
      <c r="Q68" s="216"/>
      <c r="R68" s="216"/>
      <c r="S68" s="216"/>
      <c r="T68" s="216"/>
      <c r="U68" s="216"/>
      <c r="V68" s="216"/>
      <c r="W68" s="216"/>
      <c r="X68" s="216"/>
    </row>
    <row r="69" spans="1:24" ht="12.75" customHeight="1" x14ac:dyDescent="0.2">
      <c r="A69" s="215" t="s">
        <v>201</v>
      </c>
      <c r="B69" s="215"/>
      <c r="C69" s="216"/>
      <c r="D69" s="216"/>
      <c r="E69" s="216"/>
      <c r="F69" s="216"/>
      <c r="G69" s="216"/>
      <c r="H69" s="216"/>
      <c r="I69" s="216"/>
      <c r="J69" s="216"/>
      <c r="K69" s="216"/>
      <c r="L69" s="216"/>
      <c r="M69" s="216"/>
      <c r="N69" s="216"/>
      <c r="O69" s="216"/>
      <c r="P69" s="216"/>
      <c r="Q69" s="216"/>
      <c r="R69" s="216"/>
      <c r="S69" s="216"/>
      <c r="T69" s="216"/>
      <c r="U69" s="216"/>
      <c r="V69" s="216"/>
      <c r="W69" s="216"/>
      <c r="X69" s="216"/>
    </row>
    <row r="70" spans="1:24" ht="12.75" customHeight="1" x14ac:dyDescent="0.2">
      <c r="A70" s="215" t="s">
        <v>202</v>
      </c>
      <c r="B70" s="215"/>
      <c r="C70" s="216"/>
      <c r="D70" s="216"/>
      <c r="E70" s="216"/>
      <c r="F70" s="216"/>
      <c r="G70" s="216"/>
      <c r="H70" s="216"/>
      <c r="I70" s="216"/>
      <c r="J70" s="216"/>
      <c r="K70" s="216"/>
      <c r="L70" s="216"/>
      <c r="M70" s="216"/>
      <c r="N70" s="216"/>
      <c r="O70" s="216"/>
      <c r="P70" s="216"/>
      <c r="Q70" s="216"/>
      <c r="R70" s="216"/>
      <c r="S70" s="216"/>
      <c r="T70" s="216"/>
      <c r="U70" s="216"/>
      <c r="V70" s="216"/>
      <c r="W70" s="216"/>
      <c r="X70" s="216"/>
    </row>
    <row r="71" spans="1:24" ht="12.75" customHeight="1" x14ac:dyDescent="0.2">
      <c r="A71" s="215" t="s">
        <v>203</v>
      </c>
      <c r="B71" s="215"/>
      <c r="C71" s="216"/>
      <c r="D71" s="216"/>
      <c r="E71" s="216"/>
      <c r="F71" s="216"/>
      <c r="G71" s="216"/>
      <c r="H71" s="216"/>
      <c r="I71" s="216"/>
      <c r="J71" s="216"/>
      <c r="K71" s="216"/>
      <c r="L71" s="216"/>
      <c r="M71" s="216"/>
      <c r="N71" s="216"/>
      <c r="O71" s="216"/>
      <c r="P71" s="216"/>
      <c r="Q71" s="216"/>
      <c r="R71" s="216"/>
      <c r="S71" s="216"/>
      <c r="T71" s="216"/>
      <c r="U71" s="216"/>
      <c r="V71" s="216"/>
      <c r="W71" s="216"/>
      <c r="X71" s="216"/>
    </row>
    <row r="72" spans="1:24" ht="12.75" customHeight="1" x14ac:dyDescent="0.2">
      <c r="A72" s="215" t="s">
        <v>204</v>
      </c>
      <c r="B72" s="215"/>
      <c r="C72" s="216"/>
      <c r="D72" s="216"/>
      <c r="E72" s="216"/>
      <c r="F72" s="216"/>
      <c r="G72" s="216"/>
      <c r="H72" s="216"/>
      <c r="I72" s="216"/>
      <c r="J72" s="216"/>
      <c r="K72" s="216"/>
      <c r="L72" s="216"/>
      <c r="M72" s="216"/>
      <c r="N72" s="216"/>
      <c r="O72" s="216"/>
      <c r="P72" s="216"/>
      <c r="Q72" s="216"/>
      <c r="R72" s="216"/>
      <c r="S72" s="216"/>
      <c r="T72" s="216"/>
      <c r="U72" s="216"/>
      <c r="V72" s="216"/>
      <c r="W72" s="216"/>
      <c r="X72" s="216"/>
    </row>
    <row r="73" spans="1:24" x14ac:dyDescent="0.2">
      <c r="F73" s="25"/>
      <c r="G73" s="26"/>
      <c r="H73" s="27"/>
    </row>
    <row r="74" spans="1:24" ht="12.75" customHeight="1" x14ac:dyDescent="0.2">
      <c r="A74" s="219" t="s">
        <v>205</v>
      </c>
      <c r="B74" s="219"/>
      <c r="C74" s="220"/>
      <c r="D74" s="220"/>
      <c r="E74" s="220"/>
      <c r="F74" s="220"/>
      <c r="G74" s="220"/>
      <c r="H74" s="220"/>
      <c r="I74" s="220"/>
      <c r="J74" s="220"/>
      <c r="K74" s="220"/>
      <c r="L74" s="220"/>
      <c r="M74" s="220"/>
      <c r="N74" s="220"/>
      <c r="O74" s="220"/>
      <c r="P74" s="220"/>
      <c r="Q74" s="220"/>
      <c r="R74" s="220"/>
      <c r="S74" s="220"/>
      <c r="T74" s="220"/>
      <c r="U74" s="220"/>
      <c r="V74" s="220"/>
      <c r="W74" s="220"/>
      <c r="X74" s="220"/>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5" t="s">
        <v>206</v>
      </c>
      <c r="B76" s="215"/>
      <c r="C76" s="216"/>
      <c r="D76" s="216"/>
      <c r="E76" s="216"/>
      <c r="F76" s="216"/>
      <c r="G76" s="216"/>
      <c r="H76" s="216"/>
      <c r="I76" s="216"/>
      <c r="J76" s="216"/>
      <c r="K76" s="216"/>
      <c r="L76" s="216"/>
      <c r="M76" s="216"/>
      <c r="N76" s="216"/>
      <c r="O76" s="216"/>
      <c r="P76" s="216"/>
      <c r="Q76" s="216"/>
      <c r="R76" s="216"/>
      <c r="S76" s="216"/>
      <c r="T76" s="216"/>
      <c r="U76" s="216"/>
      <c r="V76" s="216"/>
      <c r="W76" s="216"/>
      <c r="X76" s="216"/>
    </row>
    <row r="77" spans="1:24" ht="26.1" customHeight="1" x14ac:dyDescent="0.2">
      <c r="A77" s="211" t="s">
        <v>207</v>
      </c>
      <c r="B77" s="211"/>
      <c r="C77" s="212"/>
      <c r="D77" s="212"/>
      <c r="E77" s="212"/>
      <c r="F77" s="212"/>
      <c r="G77" s="212"/>
      <c r="H77" s="212"/>
      <c r="I77" s="212"/>
      <c r="J77" s="212"/>
      <c r="K77" s="212"/>
      <c r="L77" s="212"/>
      <c r="M77" s="212"/>
      <c r="N77" s="212"/>
      <c r="O77" s="212"/>
      <c r="P77" s="212"/>
      <c r="Q77" s="212"/>
      <c r="R77" s="212"/>
      <c r="S77" s="212"/>
      <c r="T77" s="212"/>
      <c r="U77" s="212"/>
      <c r="V77" s="212"/>
      <c r="W77" s="212"/>
      <c r="X77" s="212"/>
    </row>
    <row r="78" spans="1:24" ht="12.75" customHeight="1" x14ac:dyDescent="0.2">
      <c r="A78" s="215" t="s">
        <v>208</v>
      </c>
      <c r="B78" s="215"/>
      <c r="C78" s="216"/>
      <c r="D78" s="216"/>
      <c r="E78" s="216"/>
      <c r="F78" s="216"/>
      <c r="G78" s="216"/>
      <c r="H78" s="216"/>
      <c r="I78" s="216"/>
      <c r="J78" s="216"/>
      <c r="K78" s="216"/>
      <c r="L78" s="216"/>
      <c r="M78" s="216"/>
      <c r="N78" s="216"/>
      <c r="O78" s="216"/>
      <c r="P78" s="216"/>
      <c r="Q78" s="216"/>
      <c r="R78" s="216"/>
      <c r="S78" s="216"/>
      <c r="T78" s="216"/>
      <c r="U78" s="216"/>
      <c r="V78" s="216"/>
      <c r="W78" s="216"/>
      <c r="X78" s="216"/>
    </row>
    <row r="79" spans="1:24" ht="25.5" customHeight="1" x14ac:dyDescent="0.2">
      <c r="A79" s="215" t="s">
        <v>209</v>
      </c>
      <c r="B79" s="215"/>
      <c r="C79" s="216"/>
      <c r="D79" s="216"/>
      <c r="E79" s="216"/>
      <c r="F79" s="216"/>
      <c r="G79" s="216"/>
      <c r="H79" s="216"/>
      <c r="I79" s="216"/>
      <c r="J79" s="216"/>
      <c r="K79" s="216"/>
      <c r="L79" s="216"/>
      <c r="M79" s="216"/>
      <c r="N79" s="216"/>
      <c r="O79" s="216"/>
      <c r="P79" s="216"/>
      <c r="Q79" s="216"/>
      <c r="R79" s="216"/>
      <c r="S79" s="216"/>
      <c r="T79" s="216"/>
      <c r="U79" s="216"/>
      <c r="V79" s="216"/>
      <c r="W79" s="216"/>
      <c r="X79" s="216"/>
    </row>
    <row r="80" spans="1:24" x14ac:dyDescent="0.2">
      <c r="A80" s="211" t="s">
        <v>210</v>
      </c>
      <c r="B80" s="211"/>
      <c r="C80" s="212"/>
      <c r="D80" s="212"/>
      <c r="E80" s="212"/>
      <c r="F80" s="212"/>
      <c r="G80" s="212"/>
      <c r="H80" s="212"/>
      <c r="I80" s="212"/>
      <c r="J80" s="212"/>
      <c r="K80" s="212"/>
      <c r="L80" s="212"/>
      <c r="M80" s="212"/>
      <c r="N80" s="212"/>
      <c r="O80" s="212"/>
      <c r="P80" s="212"/>
      <c r="Q80" s="212"/>
      <c r="R80" s="212"/>
      <c r="S80" s="212"/>
      <c r="T80" s="212"/>
      <c r="U80" s="212"/>
      <c r="V80" s="212"/>
      <c r="W80" s="212"/>
      <c r="X80" s="212"/>
    </row>
    <row r="81" spans="1:24" ht="12.75" customHeight="1" x14ac:dyDescent="0.2">
      <c r="A81" s="215" t="s">
        <v>211</v>
      </c>
      <c r="B81" s="215"/>
      <c r="C81" s="216"/>
      <c r="D81" s="216"/>
      <c r="E81" s="216"/>
      <c r="F81" s="216"/>
      <c r="G81" s="216"/>
      <c r="H81" s="216"/>
      <c r="I81" s="216"/>
      <c r="J81" s="216"/>
      <c r="K81" s="216"/>
      <c r="L81" s="216"/>
      <c r="M81" s="216"/>
      <c r="N81" s="216"/>
      <c r="O81" s="216"/>
      <c r="P81" s="216"/>
      <c r="Q81" s="216"/>
      <c r="R81" s="216"/>
      <c r="S81" s="216"/>
      <c r="T81" s="216"/>
      <c r="U81" s="216"/>
      <c r="V81" s="216"/>
      <c r="W81" s="216"/>
      <c r="X81" s="216"/>
    </row>
    <row r="82" spans="1:24" ht="26.1" customHeight="1" x14ac:dyDescent="0.2">
      <c r="A82" s="215" t="s">
        <v>212</v>
      </c>
      <c r="B82" s="215"/>
      <c r="C82" s="216"/>
      <c r="D82" s="216"/>
      <c r="E82" s="216"/>
      <c r="F82" s="216"/>
      <c r="G82" s="216"/>
      <c r="H82" s="216"/>
      <c r="I82" s="216"/>
      <c r="J82" s="216"/>
      <c r="K82" s="216"/>
      <c r="L82" s="216"/>
      <c r="M82" s="216"/>
      <c r="N82" s="216"/>
      <c r="O82" s="216"/>
      <c r="P82" s="216"/>
      <c r="Q82" s="216"/>
      <c r="R82" s="216"/>
      <c r="S82" s="216"/>
      <c r="T82" s="216"/>
      <c r="U82" s="216"/>
      <c r="V82" s="216"/>
      <c r="W82" s="216"/>
      <c r="X82" s="216"/>
    </row>
    <row r="83" spans="1:24" ht="26.1" customHeight="1" x14ac:dyDescent="0.2">
      <c r="A83" s="215" t="s">
        <v>213</v>
      </c>
      <c r="B83" s="215"/>
      <c r="C83" s="216"/>
      <c r="D83" s="216"/>
      <c r="E83" s="216"/>
      <c r="F83" s="216"/>
      <c r="G83" s="216"/>
      <c r="H83" s="216"/>
      <c r="I83" s="216"/>
      <c r="J83" s="216"/>
      <c r="K83" s="216"/>
      <c r="L83" s="216"/>
      <c r="M83" s="216"/>
      <c r="N83" s="216"/>
      <c r="O83" s="216"/>
      <c r="P83" s="216"/>
      <c r="Q83" s="216"/>
      <c r="R83" s="216"/>
      <c r="S83" s="216"/>
      <c r="T83" s="216"/>
      <c r="U83" s="216"/>
      <c r="V83" s="216"/>
      <c r="W83" s="216"/>
      <c r="X83" s="216"/>
    </row>
    <row r="84" spans="1:24" ht="12.75" customHeight="1" x14ac:dyDescent="0.2">
      <c r="A84" s="215" t="s">
        <v>214</v>
      </c>
      <c r="B84" s="215"/>
      <c r="C84" s="216"/>
      <c r="D84" s="216"/>
      <c r="E84" s="216"/>
      <c r="F84" s="216"/>
      <c r="G84" s="216"/>
      <c r="H84" s="216"/>
      <c r="I84" s="216"/>
      <c r="J84" s="216"/>
      <c r="K84" s="216"/>
      <c r="L84" s="216"/>
      <c r="M84" s="216"/>
      <c r="N84" s="216"/>
      <c r="O84" s="216"/>
      <c r="P84" s="216"/>
      <c r="Q84" s="216"/>
      <c r="R84" s="216"/>
      <c r="S84" s="216"/>
      <c r="T84" s="216"/>
      <c r="U84" s="216"/>
      <c r="V84" s="216"/>
      <c r="W84" s="216"/>
      <c r="X84" s="216"/>
    </row>
    <row r="85" spans="1:24" x14ac:dyDescent="0.2">
      <c r="A85" s="215" t="s">
        <v>215</v>
      </c>
      <c r="B85" s="215"/>
      <c r="C85" s="216"/>
      <c r="D85" s="216"/>
      <c r="E85" s="216"/>
      <c r="F85" s="216"/>
      <c r="G85" s="216"/>
      <c r="H85" s="216"/>
      <c r="I85" s="216"/>
      <c r="J85" s="216"/>
      <c r="K85" s="216"/>
      <c r="L85" s="216"/>
      <c r="M85" s="216"/>
      <c r="N85" s="216"/>
      <c r="O85" s="216"/>
      <c r="P85" s="216"/>
      <c r="Q85" s="216"/>
      <c r="R85" s="216"/>
      <c r="S85" s="216"/>
      <c r="T85" s="216"/>
      <c r="U85" s="216"/>
      <c r="V85" s="216"/>
      <c r="W85" s="216"/>
      <c r="X85" s="216"/>
    </row>
    <row r="86" spans="1:24" ht="12.75" customHeight="1" x14ac:dyDescent="0.2">
      <c r="A86" s="211" t="s">
        <v>216</v>
      </c>
      <c r="B86" s="211"/>
      <c r="C86" s="212"/>
      <c r="D86" s="212"/>
      <c r="E86" s="212"/>
      <c r="F86" s="212"/>
      <c r="G86" s="212"/>
      <c r="H86" s="212"/>
      <c r="I86" s="212"/>
      <c r="J86" s="212"/>
      <c r="K86" s="212"/>
      <c r="L86" s="212"/>
      <c r="M86" s="212"/>
      <c r="N86" s="212"/>
      <c r="O86" s="212"/>
      <c r="P86" s="212"/>
      <c r="Q86" s="212"/>
      <c r="R86" s="212"/>
      <c r="S86" s="212"/>
      <c r="T86" s="212"/>
      <c r="U86" s="212"/>
      <c r="V86" s="212"/>
      <c r="W86" s="212"/>
      <c r="X86" s="212"/>
    </row>
    <row r="87" spans="1:24" x14ac:dyDescent="0.2">
      <c r="A87" s="215" t="s">
        <v>217</v>
      </c>
      <c r="B87" s="215"/>
      <c r="C87" s="216"/>
      <c r="D87" s="216"/>
      <c r="E87" s="216"/>
      <c r="F87" s="216"/>
      <c r="G87" s="216"/>
      <c r="H87" s="216"/>
      <c r="I87" s="216"/>
      <c r="J87" s="216"/>
      <c r="K87" s="216"/>
      <c r="L87" s="216"/>
      <c r="M87" s="216"/>
      <c r="N87" s="216"/>
      <c r="O87" s="216"/>
      <c r="P87" s="216"/>
      <c r="Q87" s="216"/>
      <c r="R87" s="216"/>
      <c r="S87" s="216"/>
      <c r="T87" s="216"/>
      <c r="U87" s="216"/>
      <c r="V87" s="216"/>
      <c r="W87" s="216"/>
      <c r="X87" s="216"/>
    </row>
    <row r="88" spans="1:24" x14ac:dyDescent="0.2">
      <c r="A88" s="215" t="s">
        <v>218</v>
      </c>
      <c r="B88" s="215"/>
      <c r="C88" s="216"/>
      <c r="D88" s="216"/>
      <c r="E88" s="216"/>
      <c r="F88" s="216"/>
      <c r="G88" s="216"/>
      <c r="H88" s="216"/>
      <c r="I88" s="216"/>
      <c r="J88" s="216"/>
      <c r="K88" s="216"/>
      <c r="L88" s="216"/>
      <c r="M88" s="216"/>
      <c r="N88" s="216"/>
      <c r="O88" s="216"/>
      <c r="P88" s="216"/>
      <c r="Q88" s="216"/>
      <c r="R88" s="216"/>
      <c r="S88" s="216"/>
      <c r="T88" s="216"/>
      <c r="U88" s="216"/>
      <c r="V88" s="216"/>
      <c r="W88" s="216"/>
      <c r="X88" s="216"/>
    </row>
    <row r="90" spans="1:24" x14ac:dyDescent="0.2">
      <c r="A90" s="219" t="s">
        <v>219</v>
      </c>
      <c r="B90" s="219"/>
      <c r="C90" s="220"/>
      <c r="D90" s="220"/>
      <c r="E90" s="220"/>
      <c r="F90" s="220"/>
      <c r="G90" s="220"/>
      <c r="H90" s="220"/>
      <c r="I90" s="220"/>
      <c r="J90" s="220"/>
      <c r="K90" s="220"/>
      <c r="L90" s="220"/>
      <c r="M90" s="220"/>
      <c r="N90" s="220"/>
      <c r="O90" s="220"/>
      <c r="P90" s="220"/>
      <c r="Q90" s="220"/>
      <c r="R90" s="220"/>
      <c r="S90" s="220"/>
      <c r="T90" s="220"/>
      <c r="U90" s="220"/>
      <c r="V90" s="220"/>
      <c r="W90" s="220"/>
      <c r="X90" s="220"/>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5" t="s">
        <v>220</v>
      </c>
      <c r="B92" s="215"/>
      <c r="C92" s="216"/>
      <c r="D92" s="216"/>
      <c r="E92" s="216"/>
      <c r="F92" s="216"/>
      <c r="G92" s="216"/>
      <c r="H92" s="216"/>
      <c r="I92" s="216"/>
      <c r="J92" s="216"/>
      <c r="K92" s="216"/>
      <c r="L92" s="216"/>
      <c r="M92" s="216"/>
      <c r="N92" s="216"/>
      <c r="O92" s="216"/>
      <c r="P92" s="216"/>
      <c r="Q92" s="216"/>
      <c r="R92" s="216"/>
      <c r="S92" s="216"/>
      <c r="T92" s="216"/>
      <c r="U92" s="216"/>
      <c r="V92" s="216"/>
      <c r="W92" s="216"/>
      <c r="X92" s="216"/>
    </row>
    <row r="93" spans="1:24" ht="12.75" customHeight="1" x14ac:dyDescent="0.2">
      <c r="A93" s="211" t="s">
        <v>221</v>
      </c>
      <c r="B93" s="211"/>
      <c r="C93" s="212"/>
      <c r="D93" s="212"/>
      <c r="E93" s="212"/>
      <c r="F93" s="212"/>
      <c r="G93" s="212"/>
      <c r="H93" s="212"/>
      <c r="I93" s="212"/>
      <c r="J93" s="212"/>
      <c r="K93" s="212"/>
      <c r="L93" s="212"/>
      <c r="M93" s="212"/>
      <c r="N93" s="212"/>
      <c r="O93" s="212"/>
      <c r="P93" s="212"/>
      <c r="Q93" s="212"/>
      <c r="R93" s="212"/>
      <c r="S93" s="212"/>
      <c r="T93" s="212"/>
      <c r="U93" s="212"/>
      <c r="V93" s="212"/>
      <c r="W93" s="212"/>
      <c r="X93" s="212"/>
    </row>
    <row r="94" spans="1:24" ht="12.75" customHeight="1" x14ac:dyDescent="0.2">
      <c r="A94" s="215" t="s">
        <v>222</v>
      </c>
      <c r="B94" s="215"/>
      <c r="C94" s="216"/>
      <c r="D94" s="216"/>
      <c r="E94" s="216"/>
      <c r="F94" s="216"/>
      <c r="G94" s="216"/>
      <c r="H94" s="216"/>
      <c r="I94" s="216"/>
      <c r="J94" s="216"/>
      <c r="K94" s="216"/>
      <c r="L94" s="216"/>
      <c r="M94" s="216"/>
      <c r="N94" s="216"/>
      <c r="O94" s="216"/>
      <c r="P94" s="216"/>
      <c r="Q94" s="216"/>
      <c r="R94" s="216"/>
      <c r="S94" s="216"/>
      <c r="T94" s="216"/>
      <c r="U94" s="216"/>
      <c r="V94" s="216"/>
      <c r="W94" s="216"/>
      <c r="X94" s="216"/>
    </row>
    <row r="95" spans="1:24" x14ac:dyDescent="0.2">
      <c r="A95" s="215" t="s">
        <v>223</v>
      </c>
      <c r="B95" s="215"/>
      <c r="C95" s="216"/>
      <c r="D95" s="216"/>
      <c r="E95" s="216"/>
      <c r="F95" s="216"/>
      <c r="G95" s="216"/>
      <c r="H95" s="216"/>
      <c r="I95" s="216"/>
      <c r="J95" s="216"/>
      <c r="K95" s="216"/>
      <c r="L95" s="216"/>
      <c r="M95" s="216"/>
      <c r="N95" s="216"/>
      <c r="O95" s="216"/>
      <c r="P95" s="216"/>
      <c r="Q95" s="216"/>
      <c r="R95" s="216"/>
      <c r="S95" s="216"/>
      <c r="T95" s="216"/>
      <c r="U95" s="216"/>
      <c r="V95" s="216"/>
      <c r="W95" s="216"/>
      <c r="X95" s="216"/>
    </row>
    <row r="96" spans="1:24" ht="12.75" customHeight="1" x14ac:dyDescent="0.2">
      <c r="A96" s="211"/>
      <c r="B96" s="211"/>
      <c r="C96" s="212"/>
      <c r="D96" s="212"/>
      <c r="E96" s="212"/>
      <c r="F96" s="212"/>
      <c r="G96" s="212"/>
      <c r="H96" s="212"/>
      <c r="I96" s="212"/>
      <c r="J96" s="212"/>
      <c r="K96" s="212"/>
      <c r="L96" s="212"/>
      <c r="M96" s="212"/>
      <c r="N96" s="212"/>
      <c r="O96" s="212"/>
      <c r="P96" s="212"/>
      <c r="Q96" s="212"/>
      <c r="R96" s="212"/>
      <c r="S96" s="212"/>
      <c r="T96" s="212"/>
      <c r="U96" s="212"/>
      <c r="V96" s="212"/>
      <c r="W96" s="212"/>
      <c r="X96" s="212"/>
    </row>
    <row r="97" spans="1:24" x14ac:dyDescent="0.2">
      <c r="A97" s="219" t="s">
        <v>224</v>
      </c>
      <c r="B97" s="219"/>
      <c r="C97" s="220"/>
      <c r="D97" s="220"/>
      <c r="E97" s="220"/>
      <c r="F97" s="220"/>
      <c r="G97" s="220"/>
      <c r="H97" s="220"/>
      <c r="I97" s="220"/>
      <c r="J97" s="220"/>
      <c r="K97" s="220"/>
      <c r="L97" s="220"/>
      <c r="M97" s="220"/>
      <c r="N97" s="220"/>
      <c r="O97" s="220"/>
      <c r="P97" s="220"/>
      <c r="Q97" s="220"/>
      <c r="R97" s="220"/>
      <c r="S97" s="220"/>
      <c r="T97" s="220"/>
      <c r="U97" s="220"/>
      <c r="V97" s="220"/>
      <c r="W97" s="220"/>
      <c r="X97" s="220"/>
    </row>
    <row r="98" spans="1:24" ht="12.75" customHeight="1" x14ac:dyDescent="0.2">
      <c r="A98" s="211"/>
      <c r="B98" s="211"/>
      <c r="C98" s="212"/>
      <c r="D98" s="212"/>
      <c r="E98" s="212"/>
      <c r="F98" s="212"/>
      <c r="G98" s="212"/>
      <c r="H98" s="212"/>
      <c r="I98" s="212"/>
      <c r="J98" s="212"/>
      <c r="K98" s="212"/>
      <c r="L98" s="212"/>
      <c r="M98" s="212"/>
      <c r="N98" s="212"/>
      <c r="O98" s="212"/>
      <c r="P98" s="212"/>
      <c r="Q98" s="212"/>
      <c r="R98" s="212"/>
      <c r="S98" s="212"/>
      <c r="T98" s="212"/>
      <c r="U98" s="212"/>
      <c r="V98" s="212"/>
      <c r="W98" s="212"/>
      <c r="X98" s="212"/>
    </row>
    <row r="99" spans="1:24" ht="12.75" customHeight="1" x14ac:dyDescent="0.2">
      <c r="A99" s="215" t="s">
        <v>225</v>
      </c>
      <c r="B99" s="215"/>
      <c r="C99" s="216"/>
      <c r="D99" s="216"/>
      <c r="E99" s="216"/>
      <c r="F99" s="216"/>
      <c r="G99" s="216"/>
      <c r="H99" s="216"/>
      <c r="I99" s="216"/>
      <c r="J99" s="216"/>
      <c r="K99" s="216"/>
      <c r="L99" s="216"/>
      <c r="M99" s="216"/>
      <c r="N99" s="216"/>
      <c r="O99" s="216"/>
      <c r="P99" s="216"/>
      <c r="Q99" s="216"/>
      <c r="R99" s="216"/>
      <c r="S99" s="216"/>
      <c r="T99" s="216"/>
      <c r="U99" s="216"/>
      <c r="V99" s="216"/>
      <c r="W99" s="216"/>
      <c r="X99" s="216"/>
    </row>
    <row r="100" spans="1:24" ht="12.75" customHeight="1" x14ac:dyDescent="0.2">
      <c r="A100" s="215" t="s">
        <v>226</v>
      </c>
      <c r="B100" s="215"/>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row>
    <row r="101" spans="1:24" x14ac:dyDescent="0.2">
      <c r="A101" s="215" t="s">
        <v>227</v>
      </c>
      <c r="B101" s="215"/>
      <c r="C101" s="216"/>
      <c r="D101" s="216"/>
      <c r="E101" s="216"/>
      <c r="F101" s="216"/>
      <c r="G101" s="216"/>
      <c r="H101" s="216"/>
      <c r="I101" s="216"/>
      <c r="J101" s="216"/>
      <c r="K101" s="216"/>
      <c r="L101" s="216"/>
      <c r="M101" s="216"/>
      <c r="N101" s="216"/>
      <c r="O101" s="216"/>
      <c r="P101" s="216"/>
      <c r="Q101" s="216"/>
      <c r="R101" s="216"/>
      <c r="S101" s="216"/>
      <c r="T101" s="216"/>
      <c r="U101" s="216"/>
      <c r="V101" s="216"/>
      <c r="W101" s="216"/>
      <c r="X101" s="216"/>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v>
      </c>
    </row>
    <row r="109" spans="1:24" x14ac:dyDescent="0.2">
      <c r="A109"/>
      <c r="F109"/>
      <c r="G109" s="23"/>
      <c r="H109" s="23"/>
      <c r="L109" s="1" t="s">
        <v>133</v>
      </c>
      <c r="P109" s="23"/>
      <c r="S109" s="175">
        <f ca="1">U38</f>
        <v>0.14460000000000001</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13" t="str">
        <f>A28</f>
        <v>Nº OPERAÇÃO</v>
      </c>
      <c r="B220" s="221"/>
      <c r="C220" s="213" t="str">
        <f>C28</f>
        <v>GESTOR</v>
      </c>
      <c r="D220" s="214"/>
      <c r="E220" s="221"/>
      <c r="F220" s="213" t="str">
        <f>F28</f>
        <v>PROGRAMA</v>
      </c>
      <c r="G220" s="214"/>
      <c r="H220" s="214"/>
      <c r="I220" s="221"/>
      <c r="J220" s="213" t="str">
        <f>J28</f>
        <v>AÇÃO / MODALIDADE</v>
      </c>
      <c r="K220" s="214"/>
      <c r="L220" s="214"/>
      <c r="M220" s="214"/>
      <c r="N220" s="214"/>
      <c r="O220" s="221"/>
      <c r="P220" s="213" t="str">
        <f>P28</f>
        <v>OBJETO</v>
      </c>
      <c r="Q220" s="214"/>
      <c r="R220" s="214"/>
      <c r="S220" s="214"/>
      <c r="T220" s="214"/>
      <c r="U220" s="214"/>
      <c r="V220" s="214"/>
      <c r="W220" s="214"/>
      <c r="X220" s="221"/>
    </row>
    <row r="221" spans="1:24" ht="12.75" customHeight="1" x14ac:dyDescent="0.2">
      <c r="A221" s="253" t="str">
        <f>IF(A29="","",A29)</f>
        <v/>
      </c>
      <c r="B221" s="255"/>
      <c r="C221" s="253" t="str">
        <f>IF(C29="","",C29)</f>
        <v/>
      </c>
      <c r="D221" s="254"/>
      <c r="E221" s="255"/>
      <c r="F221" s="253" t="str">
        <f>IF(F29="","",F29)</f>
        <v/>
      </c>
      <c r="G221" s="254"/>
      <c r="H221" s="254"/>
      <c r="I221" s="255"/>
      <c r="J221" s="253" t="str">
        <f>IF(J29="","",J29)</f>
        <v/>
      </c>
      <c r="K221" s="254"/>
      <c r="L221" s="254" t="e">
        <f>IF(#REF!="","",#REF!)</f>
        <v>#REF!</v>
      </c>
      <c r="M221" s="254"/>
      <c r="N221" s="254" t="e">
        <f>IF(#REF!="","",#REF!)</f>
        <v>#REF!</v>
      </c>
      <c r="O221" s="255"/>
      <c r="P221" s="253" t="str">
        <f>IF(P29="","",P29)</f>
        <v>AQUISIÇÃO DE AGREGADOS BASÁLTICOS</v>
      </c>
      <c r="Q221" s="254"/>
      <c r="R221" s="254"/>
      <c r="S221" s="254"/>
      <c r="T221" s="254"/>
      <c r="U221" s="254"/>
      <c r="V221" s="254"/>
      <c r="W221" s="254"/>
      <c r="X221" s="255"/>
    </row>
    <row r="222" spans="1:24" ht="6" customHeight="1" x14ac:dyDescent="0.2">
      <c r="A222"/>
      <c r="B222"/>
      <c r="F222"/>
      <c r="G222"/>
      <c r="H222"/>
    </row>
    <row r="223" spans="1:24" x14ac:dyDescent="0.2">
      <c r="A223" s="213" t="str">
        <f>A31</f>
        <v>PROPONENTE / TOMADOR</v>
      </c>
      <c r="B223" s="214"/>
      <c r="C223" s="214"/>
      <c r="D223" s="214"/>
      <c r="E223" s="214"/>
      <c r="F223" s="214"/>
      <c r="G223" s="213" t="str">
        <f>G31</f>
        <v>MUNICÍPIO / UF</v>
      </c>
      <c r="H223" s="214"/>
      <c r="I223" s="214"/>
      <c r="J223" s="221"/>
      <c r="K223" s="213" t="str">
        <f>K31</f>
        <v>LOCALIDADE / ENDEREÇO</v>
      </c>
      <c r="L223" s="214"/>
      <c r="M223" s="214"/>
      <c r="N223" s="214"/>
      <c r="O223" s="214"/>
      <c r="P223" s="221"/>
      <c r="Q223" s="213" t="str">
        <f>Q31</f>
        <v>APELIDO DO EMPREENDIMENTO</v>
      </c>
      <c r="R223" s="214"/>
      <c r="S223" s="214"/>
      <c r="T223" s="214"/>
      <c r="U223" s="214"/>
      <c r="V223" s="214"/>
      <c r="W223" s="214"/>
      <c r="X223" s="221"/>
    </row>
    <row r="224" spans="1:24" ht="12.75" customHeight="1" x14ac:dyDescent="0.2">
      <c r="A224" s="251" t="str">
        <f>IF(A32="","",A32)</f>
        <v>MUNICIPIO DE BENTO GONÇALVES</v>
      </c>
      <c r="B224" s="252"/>
      <c r="C224" s="252"/>
      <c r="D224" s="252"/>
      <c r="E224" s="252"/>
      <c r="F224" s="252"/>
      <c r="G224" s="253" t="str">
        <f>IF(G32="","",G32)</f>
        <v>BENTO GONÇALVES/RS</v>
      </c>
      <c r="H224" s="254" t="str">
        <f>IF(I32="","",I32)</f>
        <v/>
      </c>
      <c r="I224" s="254"/>
      <c r="J224" s="255" t="e">
        <f>IF(#REF!="","",#REF!)</f>
        <v>#REF!</v>
      </c>
      <c r="K224" s="253" t="str">
        <f>IF(K32="","",K32)</f>
        <v>RUA JOANA GUINDANI TONELLO (SMVOP) E DISTRITOS</v>
      </c>
      <c r="L224" s="254"/>
      <c r="M224" s="254"/>
      <c r="N224" s="254"/>
      <c r="O224" s="254"/>
      <c r="P224" s="255"/>
      <c r="Q224" s="253" t="str">
        <f>IF(Q32="","",Q32)</f>
        <v>AQUISIÇÃO DE AGREGADOS BASÁLTICOS</v>
      </c>
      <c r="R224" s="254"/>
      <c r="S224" s="254"/>
      <c r="T224" s="254"/>
      <c r="U224" s="254"/>
      <c r="V224" s="254"/>
      <c r="W224" s="254"/>
      <c r="X224" s="255"/>
    </row>
    <row r="225" spans="1:24" ht="6" hidden="1" customHeight="1" x14ac:dyDescent="0.2">
      <c r="A225"/>
      <c r="B225"/>
      <c r="F225"/>
      <c r="G225"/>
      <c r="H225"/>
    </row>
    <row r="226" spans="1:24" hidden="1" x14ac:dyDescent="0.2">
      <c r="A226" s="213" t="str">
        <f>A37</f>
        <v>DATA BASE</v>
      </c>
      <c r="B226" s="221"/>
      <c r="C226" s="78" t="str">
        <f>C37</f>
        <v>DESON.</v>
      </c>
      <c r="D226" s="213" t="str">
        <f>D37</f>
        <v>LOCALIDADE DO SINAPI</v>
      </c>
      <c r="E226" s="214"/>
      <c r="F226" s="221"/>
      <c r="G226" s="213" t="str">
        <f>G37</f>
        <v>DESCRIÇÃO DO LOTE</v>
      </c>
      <c r="H226" s="214"/>
      <c r="I226" s="214"/>
      <c r="J226" s="214"/>
      <c r="K226" s="214"/>
      <c r="L226" s="214"/>
      <c r="M226" s="214"/>
      <c r="N226" s="214"/>
      <c r="O226" s="214"/>
      <c r="P226" s="214"/>
      <c r="Q226" s="214"/>
      <c r="R226" s="214"/>
      <c r="S226" s="221"/>
      <c r="T226" s="79" t="str">
        <f>T37</f>
        <v>BDI 1</v>
      </c>
      <c r="U226" s="79" t="str">
        <f>U37</f>
        <v>BDI 2</v>
      </c>
      <c r="V226" s="79" t="str">
        <f>V37</f>
        <v>BDI 3</v>
      </c>
      <c r="W226" s="79" t="str">
        <f>W37</f>
        <v>BDI 4</v>
      </c>
      <c r="X226" s="79" t="str">
        <f>X37</f>
        <v>BDI 5</v>
      </c>
    </row>
    <row r="227" spans="1:24" ht="12.75" hidden="1" customHeight="1" x14ac:dyDescent="0.2">
      <c r="A227" s="256">
        <f>IF(A38="","",A38)</f>
        <v>45627</v>
      </c>
      <c r="B227" s="257"/>
      <c r="C227" s="115" t="str">
        <f t="shared" ref="C227:X227" si="0">IF(C38="","",C38)</f>
        <v>Não</v>
      </c>
      <c r="D227" s="258" t="str">
        <f t="shared" si="0"/>
        <v>Porto Alegre / RS</v>
      </c>
      <c r="E227" s="259" t="str">
        <f t="shared" si="0"/>
        <v/>
      </c>
      <c r="F227" s="260" t="str">
        <f t="shared" si="0"/>
        <v/>
      </c>
      <c r="G227" s="258" t="str">
        <f t="shared" si="0"/>
        <v>AQUISIÇÃO DE AGREGADOS BASÁLTICOS</v>
      </c>
      <c r="H227" s="259" t="str">
        <f t="shared" si="0"/>
        <v/>
      </c>
      <c r="I227" s="259" t="str">
        <f t="shared" si="0"/>
        <v/>
      </c>
      <c r="J227" s="259" t="str">
        <f t="shared" si="0"/>
        <v/>
      </c>
      <c r="K227" s="259" t="str">
        <f t="shared" si="0"/>
        <v/>
      </c>
      <c r="L227" s="259" t="str">
        <f t="shared" si="0"/>
        <v/>
      </c>
      <c r="M227" s="259" t="str">
        <f t="shared" si="0"/>
        <v/>
      </c>
      <c r="N227" s="259" t="str">
        <f t="shared" si="0"/>
        <v/>
      </c>
      <c r="O227" s="259" t="str">
        <f t="shared" si="0"/>
        <v/>
      </c>
      <c r="P227" s="259" t="str">
        <f t="shared" si="0"/>
        <v/>
      </c>
      <c r="Q227" s="259" t="str">
        <f t="shared" si="0"/>
        <v/>
      </c>
      <c r="R227" s="259" t="str">
        <f t="shared" si="0"/>
        <v/>
      </c>
      <c r="S227" s="260" t="str">
        <f t="shared" si="0"/>
        <v/>
      </c>
      <c r="T227" s="117">
        <f t="shared" ca="1" si="0"/>
        <v>0</v>
      </c>
      <c r="U227" s="81">
        <f t="shared" ca="1" si="0"/>
        <v>0.14460000000000001</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13" t="s">
        <v>87</v>
      </c>
      <c r="B229" s="221"/>
      <c r="C229" s="213" t="s">
        <v>163</v>
      </c>
      <c r="D229" s="214"/>
      <c r="E229" s="214"/>
      <c r="F229" s="214"/>
      <c r="G229" s="214"/>
      <c r="H229" s="213" t="s">
        <v>16</v>
      </c>
      <c r="I229" s="214"/>
      <c r="J229" s="20" t="s">
        <v>91</v>
      </c>
      <c r="K229" s="213" t="s">
        <v>88</v>
      </c>
      <c r="L229" s="214"/>
      <c r="M229" s="221"/>
      <c r="N229" s="20" t="s">
        <v>92</v>
      </c>
      <c r="O229" s="213" t="s">
        <v>93</v>
      </c>
      <c r="P229" s="214"/>
      <c r="Q229" s="214"/>
      <c r="R229" s="214"/>
      <c r="S229" s="214"/>
      <c r="T229" s="221"/>
      <c r="U229" s="228" t="s">
        <v>89</v>
      </c>
      <c r="V229" s="229"/>
      <c r="W229" s="228" t="s">
        <v>90</v>
      </c>
      <c r="X229" s="229"/>
    </row>
    <row r="230" spans="1:24" ht="12.75" customHeight="1" x14ac:dyDescent="0.2">
      <c r="A230" s="258" t="str">
        <f>IF(A43="","",A43)</f>
        <v/>
      </c>
      <c r="B230" s="260"/>
      <c r="C230" s="258" t="str">
        <f>IF(C43="","",C43)</f>
        <v/>
      </c>
      <c r="D230" s="259"/>
      <c r="E230" s="259" t="str">
        <f>IF(E43="","",E43)</f>
        <v/>
      </c>
      <c r="F230" s="259"/>
      <c r="G230" s="259" t="str">
        <f>IF(G43="","",G43)</f>
        <v/>
      </c>
      <c r="H230" s="275" t="str">
        <f>IF(H43="","",H43)</f>
        <v/>
      </c>
      <c r="I230" s="276" t="str">
        <f>IF(I43="","",I43)</f>
        <v/>
      </c>
      <c r="J230" s="116" t="str">
        <f>IF(J43="","",J43)</f>
        <v/>
      </c>
      <c r="K230" s="267" t="str">
        <f>IF(K43="","",K43)</f>
        <v/>
      </c>
      <c r="L230" s="269"/>
      <c r="M230" s="270" t="str">
        <f>IF(M43="","",M43)</f>
        <v/>
      </c>
      <c r="N230" s="118" t="str">
        <f>IF(N43="","",N43)</f>
        <v/>
      </c>
      <c r="O230" s="267" t="str">
        <f>IF(O43="","",O43)</f>
        <v/>
      </c>
      <c r="P230" s="268"/>
      <c r="Q230" s="268" t="str">
        <f>IF(Q43="","",Q43)</f>
        <v/>
      </c>
      <c r="R230" s="269"/>
      <c r="S230" s="269" t="str">
        <f>IF(S43="","",S43)</f>
        <v/>
      </c>
      <c r="T230" s="270"/>
      <c r="U230" s="273" t="str">
        <f>IF(U43="","",U43)</f>
        <v/>
      </c>
      <c r="V230" s="274"/>
      <c r="W230" s="271" t="str">
        <f>IF(W43="","",W43)</f>
        <v/>
      </c>
      <c r="X230" s="272"/>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CXtiUIEqrVlT8N484q0psl/xvXKsshfK0IvTEgGAUqhQGaMHbuQlbPYu6iHMLjfkiZ0BYlprk03m1UqeZNnLdg==" saltValue="2uZp1JaS2cAxiNN+iyGeiw=="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449" priority="42" stopIfTrue="1">
      <formula>$B54&lt;&gt;""</formula>
    </cfRule>
  </conditionalFormatting>
  <conditionalFormatting sqref="A48 H54:K54 H55:H56 H57:K57 A29:C29 J29 F29 A32 P29 G32 K32">
    <cfRule type="expression" dxfId="448" priority="48" stopIfTrue="1">
      <formula>A29&lt;&gt;""</formula>
    </cfRule>
  </conditionalFormatting>
  <conditionalFormatting sqref="G53:K54 G55:H56 G57:K57">
    <cfRule type="expression" dxfId="447" priority="43" stopIfTrue="1">
      <formula>$K$52&lt;&gt;"SIM"</formula>
    </cfRule>
  </conditionalFormatting>
  <conditionalFormatting sqref="A40:X43">
    <cfRule type="expression" dxfId="446" priority="56" stopIfTrue="1">
      <formula>OR(TipoOrçamento="BASE",TipoOrçamento="REPROGRAMADONPL")</formula>
    </cfRule>
    <cfRule type="expression" dxfId="445" priority="57" stopIfTrue="1">
      <formula>A40&lt;&gt;""</formula>
    </cfRule>
  </conditionalFormatting>
  <conditionalFormatting sqref="A35:X38">
    <cfRule type="expression" dxfId="444" priority="58" stopIfTrue="1">
      <formula>OR(TipoOrçamento="LICITADO",TipoOrçamento="REPROGRAMADOAC")</formula>
    </cfRule>
    <cfRule type="expression" dxfId="443" priority="59" stopIfTrue="1">
      <formula>A35&lt;&gt;""</formula>
    </cfRule>
  </conditionalFormatting>
  <conditionalFormatting sqref="Q32">
    <cfRule type="expression" dxfId="442"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1" zoomScaleSheetLayoutView="100" zoomScalePageLayoutView="70" workbookViewId="0">
      <selection activeCell="T16" sqref="T16:U24"/>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3" t="s">
        <v>150</v>
      </c>
      <c r="J4" s="221"/>
      <c r="K4" s="213" t="s">
        <v>173</v>
      </c>
      <c r="L4" s="214"/>
      <c r="M4" s="214"/>
      <c r="N4" s="214"/>
      <c r="O4" s="214"/>
      <c r="P4" s="214"/>
      <c r="Q4" s="214"/>
      <c r="R4" s="221"/>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2">
        <f>DADOS!A29</f>
        <v>0</v>
      </c>
      <c r="J5" s="313"/>
      <c r="K5" s="314" t="str">
        <f>DADOS!A32</f>
        <v>MUNICIPIO DE BENTO GONÇALVES</v>
      </c>
      <c r="L5" s="315"/>
      <c r="M5" s="315"/>
      <c r="N5" s="315"/>
      <c r="O5" s="315"/>
      <c r="P5" s="315"/>
      <c r="Q5" s="315"/>
      <c r="R5" s="313"/>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3" t="s">
        <v>0</v>
      </c>
      <c r="J7" s="214"/>
      <c r="K7" s="214"/>
      <c r="L7" s="214"/>
      <c r="M7" s="214"/>
      <c r="N7" s="214"/>
      <c r="O7" s="214"/>
      <c r="P7" s="214"/>
      <c r="Q7" s="214"/>
      <c r="R7" s="221"/>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6" t="str">
        <f>DADOS!P29</f>
        <v>AQUISIÇÃO DE AGREGADOS BASÁLTICOS</v>
      </c>
      <c r="J8" s="316"/>
      <c r="K8" s="316"/>
      <c r="L8" s="316"/>
      <c r="M8" s="316"/>
      <c r="N8" s="316"/>
      <c r="O8" s="316"/>
      <c r="P8" s="316"/>
      <c r="Q8" s="316"/>
      <c r="R8" s="316"/>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3" t="s">
        <v>35</v>
      </c>
      <c r="J10" s="214"/>
      <c r="K10" s="214"/>
      <c r="L10" s="214"/>
      <c r="M10" s="214"/>
      <c r="N10" s="214"/>
      <c r="O10" s="214"/>
      <c r="P10" s="214"/>
      <c r="Q10" s="213" t="s">
        <v>13</v>
      </c>
      <c r="R10" s="221"/>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7" t="s">
        <v>138</v>
      </c>
      <c r="J11" s="308"/>
      <c r="K11" s="308"/>
      <c r="L11" s="308"/>
      <c r="M11" s="308"/>
      <c r="N11" s="308"/>
      <c r="O11" s="308"/>
      <c r="P11" s="309"/>
      <c r="Q11" s="310" t="str">
        <f>DADOS!$C$38</f>
        <v>Não</v>
      </c>
      <c r="R11" s="311"/>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1" t="s">
        <v>36</v>
      </c>
      <c r="J13" s="321"/>
      <c r="K13" s="321"/>
      <c r="L13" s="321"/>
      <c r="M13" s="321"/>
      <c r="N13" s="321"/>
      <c r="O13" s="321"/>
      <c r="P13" s="321"/>
      <c r="Q13" s="318">
        <v>0.45</v>
      </c>
      <c r="R13" s="318"/>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9" t="s">
        <v>38</v>
      </c>
      <c r="J14" s="319"/>
      <c r="K14" s="319"/>
      <c r="L14" s="319"/>
      <c r="M14" s="319"/>
      <c r="N14" s="319"/>
      <c r="O14" s="319"/>
      <c r="P14" s="319"/>
      <c r="Q14" s="318">
        <v>0.03</v>
      </c>
      <c r="R14" s="318"/>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20" t="s">
        <v>39</v>
      </c>
      <c r="J16" s="320"/>
      <c r="K16" s="320"/>
      <c r="L16" s="320"/>
      <c r="M16" s="320" t="s">
        <v>40</v>
      </c>
      <c r="N16" s="322" t="s">
        <v>41</v>
      </c>
      <c r="O16" s="322" t="s">
        <v>42</v>
      </c>
      <c r="P16" s="320" t="s">
        <v>43</v>
      </c>
      <c r="Q16" s="320" t="s">
        <v>44</v>
      </c>
      <c r="R16" s="301" t="s">
        <v>45</v>
      </c>
      <c r="T16" s="298" t="str">
        <f>IF(V27,"Para BDI fora do intervalo estatístico, deve ser apresentado Relatório Técnico Circunstanciado justificando a adoção do percentual de cada parcela do BDI.","")</f>
        <v/>
      </c>
      <c r="U16" s="298"/>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20"/>
      <c r="J17" s="320"/>
      <c r="K17" s="320"/>
      <c r="L17" s="320"/>
      <c r="M17" s="320"/>
      <c r="N17" s="322"/>
      <c r="O17" s="322"/>
      <c r="P17" s="320"/>
      <c r="Q17" s="320"/>
      <c r="R17" s="301"/>
      <c r="T17" s="298"/>
      <c r="U17" s="298"/>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6" t="str">
        <f>IF($I$11=$A$59,"Encargos Sociais incidentes sobre a mão de obra","Administração Central")</f>
        <v>Administração Central</v>
      </c>
      <c r="J18" s="286"/>
      <c r="K18" s="286"/>
      <c r="L18" s="286"/>
      <c r="M18" s="50" t="str">
        <f>IF($I$11=$A$59,"K1","AC")</f>
        <v>AC</v>
      </c>
      <c r="N18" s="51"/>
      <c r="O18" s="52" t="s">
        <v>46</v>
      </c>
      <c r="P18" s="53" t="e">
        <f>VLOOKUP(CONCATENATE(I$11,"-",M18),$C$2:$G$49,3,FALSE)</f>
        <v>#N/A</v>
      </c>
      <c r="Q18" s="53" t="e">
        <f>VLOOKUP(CONCATENATE(I$11,"-",M18),$C$2:$G$49,4,FALSE)</f>
        <v>#N/A</v>
      </c>
      <c r="R18" s="53" t="e">
        <f>VLOOKUP(CONCATENATE(I$11,"-",M18),$C$2:$G$49,5,FALSE)</f>
        <v>#N/A</v>
      </c>
      <c r="T18" s="298"/>
      <c r="U18" s="298"/>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6" t="str">
        <f>IF($I$11=$A$59,"Administração Central da empresa ou consultoria - overhead","Seguro e Garantia")</f>
        <v>Seguro e Garantia</v>
      </c>
      <c r="J19" s="286"/>
      <c r="K19" s="286"/>
      <c r="L19" s="286"/>
      <c r="M19" s="50" t="str">
        <f>IF($I$11=$A$59,"K2","SG")</f>
        <v>SG</v>
      </c>
      <c r="N19" s="51"/>
      <c r="O19" s="52" t="s">
        <v>46</v>
      </c>
      <c r="P19" s="53" t="e">
        <f>VLOOKUP(CONCATENATE(I$11,"-",M19),$C$2:$G$49,3,FALSE)</f>
        <v>#N/A</v>
      </c>
      <c r="Q19" s="53" t="e">
        <f>VLOOKUP(CONCATENATE(I$11,"-",M19),$C$2:$G$49,4,FALSE)</f>
        <v>#N/A</v>
      </c>
      <c r="R19" s="53" t="e">
        <f>VLOOKUP(CONCATENATE(I$11,"-",M19),$C$2:$G$49,5,FALSE)</f>
        <v>#N/A</v>
      </c>
      <c r="T19" s="298"/>
      <c r="U19" s="298"/>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6" t="str">
        <f>IF($I$11=$A$59,"","Risco")</f>
        <v>Risco</v>
      </c>
      <c r="J20" s="286"/>
      <c r="K20" s="286"/>
      <c r="L20" s="286"/>
      <c r="M20" s="50" t="str">
        <f>IF($I$11=$A$59,"","R")</f>
        <v>R</v>
      </c>
      <c r="N20" s="51"/>
      <c r="O20" s="52" t="s">
        <v>46</v>
      </c>
      <c r="P20" s="53" t="e">
        <f>VLOOKUP(CONCATENATE(I$11,"-",M20),$C$2:$G$49,3,FALSE)</f>
        <v>#N/A</v>
      </c>
      <c r="Q20" s="53" t="e">
        <f>VLOOKUP(CONCATENATE(I$11,"-",M20),$C$2:$G$49,4,FALSE)</f>
        <v>#N/A</v>
      </c>
      <c r="R20" s="53" t="e">
        <f>VLOOKUP(CONCATENATE(I$11,"-",M20),$C$2:$G$49,5,FALSE)</f>
        <v>#N/A</v>
      </c>
      <c r="T20" s="298"/>
      <c r="U20" s="298"/>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6" t="str">
        <f>IF($I$11=$A$59,"","Despesas Financeiras")</f>
        <v>Despesas Financeiras</v>
      </c>
      <c r="J21" s="286"/>
      <c r="K21" s="286"/>
      <c r="L21" s="286"/>
      <c r="M21" s="50" t="str">
        <f>IF($I$11=$A$59,"","DF")</f>
        <v>DF</v>
      </c>
      <c r="N21" s="51"/>
      <c r="O21" s="52" t="s">
        <v>46</v>
      </c>
      <c r="P21" s="53" t="e">
        <f>VLOOKUP(CONCATENATE(I$11,"-",M21),$C$2:$G$49,3,FALSE)</f>
        <v>#N/A</v>
      </c>
      <c r="Q21" s="53" t="e">
        <f>VLOOKUP(CONCATENATE(I$11,"-",M21),$C$2:$G$49,4,FALSE)</f>
        <v>#N/A</v>
      </c>
      <c r="R21" s="53" t="e">
        <f>VLOOKUP(CONCATENATE(I$11,"-",M21),$C$2:$G$49,5,FALSE)</f>
        <v>#N/A</v>
      </c>
      <c r="T21" s="298"/>
      <c r="U21" s="298"/>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6" t="str">
        <f>IF($I$11=$A$59,"Margem bruta da empresa de consultoria","Lucro")</f>
        <v>Lucro</v>
      </c>
      <c r="J22" s="286"/>
      <c r="K22" s="286"/>
      <c r="L22" s="286"/>
      <c r="M22" s="50" t="str">
        <f>IF($I$11=$A$59,"K3","L")</f>
        <v>L</v>
      </c>
      <c r="N22" s="51"/>
      <c r="O22" s="52" t="s">
        <v>46</v>
      </c>
      <c r="P22" s="53" t="e">
        <f>VLOOKUP(CONCATENATE(I$11,"-",M22),$C$2:$G$49,3,FALSE)</f>
        <v>#N/A</v>
      </c>
      <c r="Q22" s="53" t="e">
        <f>VLOOKUP(CONCATENATE(I$11,"-",M22),$C$2:$G$49,4,FALSE)</f>
        <v>#N/A</v>
      </c>
      <c r="R22" s="53" t="e">
        <f>VLOOKUP(CONCATENATE(I$11,"-",M22),$C$2:$G$49,5,FALSE)</f>
        <v>#N/A</v>
      </c>
      <c r="T22" s="298"/>
      <c r="U22" s="298"/>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0" t="s">
        <v>48</v>
      </c>
      <c r="J23" s="300"/>
      <c r="K23" s="300"/>
      <c r="L23" s="300"/>
      <c r="M23" s="50" t="s">
        <v>49</v>
      </c>
      <c r="N23" s="51"/>
      <c r="O23" s="52" t="s">
        <v>46</v>
      </c>
      <c r="P23" s="53">
        <v>3.6499999999999998E-2</v>
      </c>
      <c r="Q23" s="53">
        <v>3.6499999999999998E-2</v>
      </c>
      <c r="R23" s="53">
        <v>3.6499999999999998E-2</v>
      </c>
      <c r="T23" s="298"/>
      <c r="U23" s="298"/>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6" t="s">
        <v>50</v>
      </c>
      <c r="J24" s="286"/>
      <c r="K24" s="286"/>
      <c r="L24" s="286"/>
      <c r="M24" s="50" t="s">
        <v>51</v>
      </c>
      <c r="N24" s="53">
        <f>IF($I$11&lt;&gt;$A$58,Q14*Q13,0)</f>
        <v>0</v>
      </c>
      <c r="O24" s="52" t="s">
        <v>46</v>
      </c>
      <c r="P24" s="53">
        <v>0</v>
      </c>
      <c r="Q24" s="53">
        <v>2.5000000000000001E-2</v>
      </c>
      <c r="R24" s="53">
        <v>0.05</v>
      </c>
      <c r="T24" s="298"/>
      <c r="U24" s="298"/>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6" t="s">
        <v>116</v>
      </c>
      <c r="J25" s="286"/>
      <c r="K25" s="286"/>
      <c r="L25" s="28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6" t="s">
        <v>53</v>
      </c>
      <c r="J26" s="286"/>
      <c r="K26" s="286"/>
      <c r="L26" s="286"/>
      <c r="M26" s="55" t="s">
        <v>33</v>
      </c>
      <c r="N26" s="53">
        <f>IF($I$11=$A$58,0,ROUND((((1+N18+N19+N20)*(1+N21)*(1+N22)/(1-(N23+N24)))-1),4))</f>
        <v>0</v>
      </c>
      <c r="O26" s="91" t="str">
        <f>IF(OR($I$11=$A$59,$I$11=$A$58,AND(N26&gt;=P26, N26&lt;=R26)), "OK", "FORA DO INTERVALO")</f>
        <v>OK</v>
      </c>
      <c r="P26" s="53">
        <f>IF($I$11=$A$58,0,VLOOKUP(CONCATENATE($I$11,"-",$M26),$C$2:$G$49,3,FALSE))</f>
        <v>0</v>
      </c>
      <c r="Q26" s="53">
        <f>IF($I$11=$A$58,0,VLOOKUP(CONCATENATE($I$11,"-",$M26),$C$2:$G$49,4,FALSE))</f>
        <v>0</v>
      </c>
      <c r="R26" s="53">
        <f>IF($I$11=$A$58,0,VLOOKUP(CONCATENATE($I$11,"-",$M26),$C$2:$G$49,5,FALSE))</f>
        <v>0</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7" t="s">
        <v>55</v>
      </c>
      <c r="J27" s="287"/>
      <c r="K27" s="287"/>
      <c r="L27" s="287"/>
      <c r="M27" s="56" t="s">
        <v>56</v>
      </c>
      <c r="N27" s="57">
        <f>IF($I$11=$A$58,0,ROUND((((1+N18+N19+N20)*(1+N21)*(1+N22)/(1-(N23+N24+N25)))-1),4))</f>
        <v>0</v>
      </c>
      <c r="O27" s="95" t="str">
        <f>IF(Q11&lt;&gt;"Sim","",O26)</f>
        <v/>
      </c>
      <c r="P27" s="288"/>
      <c r="Q27" s="288"/>
      <c r="R27" s="28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85" t="s">
        <v>117</v>
      </c>
      <c r="K29" s="285"/>
      <c r="L29" s="285"/>
      <c r="M29" s="285"/>
      <c r="N29" s="285"/>
      <c r="O29" s="285"/>
      <c r="P29" s="285"/>
      <c r="Q29" s="285"/>
      <c r="R29" s="285"/>
      <c r="V29" s="96" t="b">
        <v>0</v>
      </c>
      <c r="W29" s="42" t="s">
        <v>119</v>
      </c>
    </row>
    <row r="30" spans="1:31" ht="7.5" customHeight="1" x14ac:dyDescent="0.2">
      <c r="B30" s="44"/>
      <c r="E30" s="45"/>
      <c r="F30" s="45"/>
      <c r="G30" s="45"/>
      <c r="V30" s="96"/>
    </row>
    <row r="31" spans="1:31" ht="18.75" customHeight="1" x14ac:dyDescent="0.2">
      <c r="B31" s="44"/>
      <c r="E31" s="45"/>
      <c r="F31" s="45"/>
      <c r="G31" s="45"/>
      <c r="I31" s="290" t="s">
        <v>61</v>
      </c>
      <c r="J31" s="290"/>
      <c r="K31" s="290"/>
      <c r="L31" s="290"/>
      <c r="M31" s="290"/>
      <c r="N31" s="290"/>
      <c r="O31" s="290"/>
      <c r="P31" s="290"/>
      <c r="Q31" s="290"/>
      <c r="R31" s="290"/>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6" t="str">
        <f>IF(Q11="Sim","BDI.DES =","BDI.PAD =")</f>
        <v>BDI.PAD =</v>
      </c>
      <c r="M32" s="304" t="str">
        <f>IF($I$11=$A$59,"(1+K1+K2)*(1+K3)","(1+AC + S + R + G)*(1 + DF)*(1+L)")</f>
        <v>(1+AC + S + R + G)*(1 + DF)*(1+L)</v>
      </c>
      <c r="N32" s="304"/>
      <c r="O32" s="304"/>
      <c r="P32" s="302"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6"/>
      <c r="M33" s="305" t="str">
        <f>IF(Q11="Sim","(1-CP-ISS-CRPB)","(1-CP-ISS)")</f>
        <v>(1-CP-ISS)</v>
      </c>
      <c r="N33" s="305"/>
      <c r="O33" s="305"/>
      <c r="P33" s="303"/>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1"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direta), é de 45%, com a respectiva alíquota de 3%.</v>
      </c>
      <c r="J35" s="291"/>
      <c r="K35" s="291"/>
      <c r="L35" s="291"/>
      <c r="M35" s="291"/>
      <c r="N35" s="291"/>
      <c r="O35" s="291"/>
      <c r="P35" s="291"/>
      <c r="Q35" s="291"/>
      <c r="R35" s="291"/>
    </row>
    <row r="36" spans="1:18" ht="11.25" customHeight="1" x14ac:dyDescent="0.2">
      <c r="B36" s="49"/>
      <c r="E36" s="45"/>
      <c r="F36" s="45"/>
      <c r="G36" s="45"/>
    </row>
    <row r="37" spans="1:18" ht="52.5" customHeight="1" x14ac:dyDescent="0.2">
      <c r="B37" s="49"/>
      <c r="E37" s="45"/>
      <c r="F37" s="45"/>
      <c r="G37" s="45"/>
      <c r="I37" s="29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1"/>
      <c r="K37" s="291"/>
      <c r="L37" s="291"/>
      <c r="M37" s="291"/>
      <c r="N37" s="291"/>
      <c r="O37" s="291"/>
      <c r="P37" s="291"/>
      <c r="Q37" s="291"/>
      <c r="R37" s="291"/>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3" t="s">
        <v>315</v>
      </c>
      <c r="J40" s="294"/>
      <c r="K40" s="294"/>
      <c r="L40" s="294"/>
      <c r="M40" s="294"/>
      <c r="N40" s="294"/>
      <c r="O40" s="294"/>
      <c r="P40" s="294"/>
      <c r="Q40" s="294"/>
      <c r="R40" s="295"/>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9" t="str">
        <f>PO!K65</f>
        <v>BENTO GONÇALVES/RS</v>
      </c>
      <c r="J42" s="299"/>
      <c r="K42" s="299"/>
      <c r="L42" s="299"/>
      <c r="O42" s="292" t="str">
        <f>PO!K68</f>
        <v>27 de janeiro de 2025</v>
      </c>
      <c r="P42" s="292"/>
      <c r="Q42" s="292"/>
      <c r="R42" s="292"/>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7" t="s">
        <v>120</v>
      </c>
      <c r="J43" s="317"/>
      <c r="K43" s="317"/>
      <c r="L43" s="317"/>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9"/>
      <c r="J45" s="289"/>
      <c r="K45" s="289"/>
      <c r="L45" s="289"/>
      <c r="M45" s="59"/>
      <c r="N45" s="59"/>
      <c r="O45" s="289"/>
      <c r="P45" s="289"/>
      <c r="Q45" s="289"/>
      <c r="R45" s="289"/>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6" t="s">
        <v>57</v>
      </c>
      <c r="J46" s="296"/>
      <c r="K46" s="296"/>
      <c r="L46" s="296"/>
      <c r="O46" s="296" t="s">
        <v>58</v>
      </c>
      <c r="P46" s="296"/>
      <c r="Q46" s="296"/>
      <c r="R46" s="296"/>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84">
        <f>DADOS!B54</f>
        <v>0</v>
      </c>
      <c r="K47" s="284"/>
      <c r="L47" s="284"/>
      <c r="M47" s="59"/>
      <c r="N47" s="59"/>
      <c r="O47" s="21" t="s">
        <v>140</v>
      </c>
      <c r="P47" s="297" t="s">
        <v>313</v>
      </c>
      <c r="Q47" s="297"/>
      <c r="R47" s="297"/>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84">
        <f>DADOS!B55</f>
        <v>0</v>
      </c>
      <c r="K48" s="284"/>
      <c r="L48" s="284"/>
      <c r="M48" s="59"/>
      <c r="N48" s="59"/>
      <c r="O48" s="21" t="s">
        <v>60</v>
      </c>
      <c r="P48" s="297" t="s">
        <v>314</v>
      </c>
      <c r="Q48" s="297"/>
      <c r="R48" s="297"/>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84">
        <f>DADOS!B56</f>
        <v>0</v>
      </c>
      <c r="K49" s="284"/>
      <c r="L49" s="284"/>
      <c r="M49" s="59"/>
      <c r="N49" s="59"/>
      <c r="O49" s="59"/>
      <c r="P49" s="59"/>
      <c r="Q49" s="59"/>
      <c r="R49" s="59"/>
    </row>
    <row r="50" spans="1:18" x14ac:dyDescent="0.2">
      <c r="I50" s="21" t="str">
        <f>DADOS!A57</f>
        <v>CNPJ:</v>
      </c>
      <c r="J50" s="284">
        <f>DADOS!B57</f>
        <v>0</v>
      </c>
      <c r="K50" s="284"/>
      <c r="L50" s="284"/>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441" priority="7" stopIfTrue="1">
      <formula>$O$42=""</formula>
    </cfRule>
  </conditionalFormatting>
  <conditionalFormatting sqref="O18:O27">
    <cfRule type="expression" dxfId="440" priority="12" stopIfTrue="1">
      <formula>AND(O18&lt;&gt;"OK",O18&lt;&gt;"-",O18&lt;&gt;"")</formula>
    </cfRule>
    <cfRule type="cellIs" dxfId="439" priority="13" stopIfTrue="1" operator="equal">
      <formula>"OK"</formula>
    </cfRule>
  </conditionalFormatting>
  <conditionalFormatting sqref="I26:N26">
    <cfRule type="expression" dxfId="438" priority="11" stopIfTrue="1">
      <formula>$Q$11="Não"</formula>
    </cfRule>
  </conditionalFormatting>
  <conditionalFormatting sqref="I27:N27">
    <cfRule type="expression" dxfId="437" priority="10" stopIfTrue="1">
      <formula>$Q$11="sim"</formula>
    </cfRule>
  </conditionalFormatting>
  <conditionalFormatting sqref="P27:R27">
    <cfRule type="expression" dxfId="436" priority="9" stopIfTrue="1">
      <formula>$Q$11="sim"</formula>
    </cfRule>
  </conditionalFormatting>
  <conditionalFormatting sqref="I29:R29">
    <cfRule type="expression" dxfId="435" priority="4" stopIfTrue="1">
      <formula>AND(NOT($V$27),NOT($V$29))</formula>
    </cfRule>
  </conditionalFormatting>
  <conditionalFormatting sqref="P18:R26">
    <cfRule type="expression" dxfId="434" priority="3" stopIfTrue="1">
      <formula>$I$11=$A$58</formula>
    </cfRule>
  </conditionalFormatting>
  <conditionalFormatting sqref="P47:R48">
    <cfRule type="expression" dxfId="433" priority="1" stopIfTrue="1">
      <formula>P47=""</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7"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E71E3-454A-4C07-A131-2AD7213129C1}">
  <sheetPr codeName="Plan5">
    <tabColor rgb="FFFFFF00"/>
    <pageSetUpPr fitToPage="1"/>
  </sheetPr>
  <dimension ref="A1:AE60"/>
  <sheetViews>
    <sheetView showGridLines="0" topLeftCell="I26" zoomScaleSheetLayoutView="100" zoomScalePageLayoutView="70" workbookViewId="0">
      <selection activeCell="I41" sqref="I41"/>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3" t="s">
        <v>150</v>
      </c>
      <c r="J4" s="221"/>
      <c r="K4" s="213" t="s">
        <v>173</v>
      </c>
      <c r="L4" s="214"/>
      <c r="M4" s="214"/>
      <c r="N4" s="214"/>
      <c r="O4" s="214"/>
      <c r="P4" s="214"/>
      <c r="Q4" s="214"/>
      <c r="R4" s="221"/>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2">
        <f>DADOS!A29</f>
        <v>0</v>
      </c>
      <c r="J5" s="313"/>
      <c r="K5" s="314" t="str">
        <f>DADOS!A32</f>
        <v>MUNICIPIO DE BENTO GONÇALVES</v>
      </c>
      <c r="L5" s="315"/>
      <c r="M5" s="315"/>
      <c r="N5" s="315"/>
      <c r="O5" s="315"/>
      <c r="P5" s="315"/>
      <c r="Q5" s="315"/>
      <c r="R5" s="313"/>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3" t="s">
        <v>0</v>
      </c>
      <c r="J7" s="214"/>
      <c r="K7" s="214"/>
      <c r="L7" s="214"/>
      <c r="M7" s="214"/>
      <c r="N7" s="214"/>
      <c r="O7" s="214"/>
      <c r="P7" s="214"/>
      <c r="Q7" s="214"/>
      <c r="R7" s="221"/>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6" t="str">
        <f>DADOS!P29</f>
        <v>AQUISIÇÃO DE AGREGADOS BASÁLTICOS</v>
      </c>
      <c r="J8" s="316"/>
      <c r="K8" s="316"/>
      <c r="L8" s="316"/>
      <c r="M8" s="316"/>
      <c r="N8" s="316"/>
      <c r="O8" s="316"/>
      <c r="P8" s="316"/>
      <c r="Q8" s="316"/>
      <c r="R8" s="316"/>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3" t="s">
        <v>35</v>
      </c>
      <c r="J10" s="214"/>
      <c r="K10" s="214"/>
      <c r="L10" s="214"/>
      <c r="M10" s="214"/>
      <c r="N10" s="214"/>
      <c r="O10" s="214"/>
      <c r="P10" s="214"/>
      <c r="Q10" s="213" t="s">
        <v>13</v>
      </c>
      <c r="R10" s="221"/>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7" t="s">
        <v>137</v>
      </c>
      <c r="J11" s="308"/>
      <c r="K11" s="308"/>
      <c r="L11" s="308"/>
      <c r="M11" s="308"/>
      <c r="N11" s="308"/>
      <c r="O11" s="308"/>
      <c r="P11" s="309"/>
      <c r="Q11" s="310" t="str">
        <f>DADOS!$C$38</f>
        <v>Não</v>
      </c>
      <c r="R11" s="311"/>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1" t="s">
        <v>36</v>
      </c>
      <c r="J13" s="321"/>
      <c r="K13" s="321"/>
      <c r="L13" s="321"/>
      <c r="M13" s="321"/>
      <c r="N13" s="321"/>
      <c r="O13" s="321"/>
      <c r="P13" s="321"/>
      <c r="Q13" s="318">
        <v>0.45</v>
      </c>
      <c r="R13" s="318"/>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9" t="s">
        <v>38</v>
      </c>
      <c r="J14" s="319"/>
      <c r="K14" s="319"/>
      <c r="L14" s="319"/>
      <c r="M14" s="319"/>
      <c r="N14" s="319"/>
      <c r="O14" s="319"/>
      <c r="P14" s="319"/>
      <c r="Q14" s="318">
        <v>0.03</v>
      </c>
      <c r="R14" s="318"/>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20" t="s">
        <v>39</v>
      </c>
      <c r="J16" s="320"/>
      <c r="K16" s="320"/>
      <c r="L16" s="320"/>
      <c r="M16" s="320" t="s">
        <v>40</v>
      </c>
      <c r="N16" s="322" t="s">
        <v>41</v>
      </c>
      <c r="O16" s="322" t="s">
        <v>42</v>
      </c>
      <c r="P16" s="320" t="s">
        <v>43</v>
      </c>
      <c r="Q16" s="320" t="s">
        <v>44</v>
      </c>
      <c r="R16" s="301" t="s">
        <v>45</v>
      </c>
      <c r="T16" s="298" t="str">
        <f>IF(V27,"Para BDI fora do intervalo estatístico, deve ser apresentado Relatório Técnico Circunstanciado justificando a adoção do percentual de cada parcela do BDI.","")</f>
        <v/>
      </c>
      <c r="U16" s="298"/>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20"/>
      <c r="J17" s="320"/>
      <c r="K17" s="320"/>
      <c r="L17" s="320"/>
      <c r="M17" s="320"/>
      <c r="N17" s="322"/>
      <c r="O17" s="322"/>
      <c r="P17" s="320"/>
      <c r="Q17" s="320"/>
      <c r="R17" s="301"/>
      <c r="T17" s="298"/>
      <c r="U17" s="298"/>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6" t="str">
        <f>IF($I$11=$A$59,"Encargos Sociais incidentes sobre a mão de obra","Administração Central")</f>
        <v>Administração Central</v>
      </c>
      <c r="J18" s="286"/>
      <c r="K18" s="286"/>
      <c r="L18" s="286"/>
      <c r="M18" s="50" t="str">
        <f>IF($I$11=$A$59,"K1","AC")</f>
        <v>AC</v>
      </c>
      <c r="N18" s="51">
        <v>1.6500000000000001E-2</v>
      </c>
      <c r="O18" s="52" t="s">
        <v>46</v>
      </c>
      <c r="P18" s="53">
        <f>VLOOKUP(CONCATENATE(I$11,"-",M18),$C$2:$G$49,3,FALSE)</f>
        <v>1.4999999999999999E-2</v>
      </c>
      <c r="Q18" s="53">
        <f>VLOOKUP(CONCATENATE(I$11,"-",M18),$C$2:$G$49,4,FALSE)</f>
        <v>3.4500000000000003E-2</v>
      </c>
      <c r="R18" s="53">
        <f>VLOOKUP(CONCATENATE(I$11,"-",M18),$C$2:$G$49,5,FALSE)</f>
        <v>4.4900000000000002E-2</v>
      </c>
      <c r="T18" s="298"/>
      <c r="U18" s="298"/>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6" t="str">
        <f>IF($I$11=$A$59,"Administração Central da empresa ou consultoria - overhead","Seguro e Garantia")</f>
        <v>Seguro e Garantia</v>
      </c>
      <c r="J19" s="286"/>
      <c r="K19" s="286"/>
      <c r="L19" s="286"/>
      <c r="M19" s="50" t="str">
        <f>IF($I$11=$A$59,"K2","SG")</f>
        <v>SG</v>
      </c>
      <c r="N19" s="51">
        <v>5.0000000000000001E-3</v>
      </c>
      <c r="O19" s="52" t="s">
        <v>46</v>
      </c>
      <c r="P19" s="53">
        <f>VLOOKUP(CONCATENATE(I$11,"-",M19),$C$2:$G$49,3,FALSE)</f>
        <v>3.0000000000000001E-3</v>
      </c>
      <c r="Q19" s="53">
        <f>VLOOKUP(CONCATENATE(I$11,"-",M19),$C$2:$G$49,4,FALSE)</f>
        <v>4.7999999999999996E-3</v>
      </c>
      <c r="R19" s="53">
        <f>VLOOKUP(CONCATENATE(I$11,"-",M19),$C$2:$G$49,5,FALSE)</f>
        <v>8.199999999999999E-3</v>
      </c>
      <c r="T19" s="298"/>
      <c r="U19" s="298"/>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6" t="str">
        <f>IF($I$11=$A$59,"","Risco")</f>
        <v>Risco</v>
      </c>
      <c r="J20" s="286"/>
      <c r="K20" s="286"/>
      <c r="L20" s="286"/>
      <c r="M20" s="50" t="str">
        <f>IF($I$11=$A$59,"","R")</f>
        <v>R</v>
      </c>
      <c r="N20" s="51">
        <v>7.0000000000000001E-3</v>
      </c>
      <c r="O20" s="52" t="s">
        <v>46</v>
      </c>
      <c r="P20" s="53">
        <f>VLOOKUP(CONCATENATE(I$11,"-",M20),$C$2:$G$49,3,FALSE)</f>
        <v>5.6000000000000008E-3</v>
      </c>
      <c r="Q20" s="53">
        <f>VLOOKUP(CONCATENATE(I$11,"-",M20),$C$2:$G$49,4,FALSE)</f>
        <v>8.5000000000000006E-3</v>
      </c>
      <c r="R20" s="53">
        <f>VLOOKUP(CONCATENATE(I$11,"-",M20),$C$2:$G$49,5,FALSE)</f>
        <v>8.8999999999999999E-3</v>
      </c>
      <c r="T20" s="298"/>
      <c r="U20" s="298"/>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6" t="str">
        <f>IF($I$11=$A$59,"","Despesas Financeiras")</f>
        <v>Despesas Financeiras</v>
      </c>
      <c r="J21" s="286"/>
      <c r="K21" s="286"/>
      <c r="L21" s="286"/>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8"/>
      <c r="U21" s="298"/>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6" t="str">
        <f>IF($I$11=$A$59,"Margem bruta da empresa de consultoria","Lucro")</f>
        <v>Lucro</v>
      </c>
      <c r="J22" s="286"/>
      <c r="K22" s="286"/>
      <c r="L22" s="286"/>
      <c r="M22" s="50" t="str">
        <f>IF($I$11=$A$59,"K3","L")</f>
        <v>L</v>
      </c>
      <c r="N22" s="51">
        <v>4.8300000000000003E-2</v>
      </c>
      <c r="O22" s="52" t="s">
        <v>46</v>
      </c>
      <c r="P22" s="53">
        <f>VLOOKUP(CONCATENATE(I$11,"-",M22),$C$2:$G$49,3,FALSE)</f>
        <v>3.5000000000000003E-2</v>
      </c>
      <c r="Q22" s="53">
        <f>VLOOKUP(CONCATENATE(I$11,"-",M22),$C$2:$G$49,4,FALSE)</f>
        <v>5.1100000000000007E-2</v>
      </c>
      <c r="R22" s="53">
        <f>VLOOKUP(CONCATENATE(I$11,"-",M22),$C$2:$G$49,5,FALSE)</f>
        <v>6.2199999999999998E-2</v>
      </c>
      <c r="T22" s="298"/>
      <c r="U22" s="298"/>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0" t="s">
        <v>48</v>
      </c>
      <c r="J23" s="300"/>
      <c r="K23" s="300"/>
      <c r="L23" s="300"/>
      <c r="M23" s="50" t="s">
        <v>49</v>
      </c>
      <c r="N23" s="51">
        <f>Q23</f>
        <v>3.6499999999999998E-2</v>
      </c>
      <c r="O23" s="52" t="s">
        <v>46</v>
      </c>
      <c r="P23" s="53">
        <v>3.6499999999999998E-2</v>
      </c>
      <c r="Q23" s="53">
        <v>3.6499999999999998E-2</v>
      </c>
      <c r="R23" s="53">
        <v>3.6499999999999998E-2</v>
      </c>
      <c r="T23" s="298"/>
      <c r="U23" s="298"/>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6" t="s">
        <v>50</v>
      </c>
      <c r="J24" s="286"/>
      <c r="K24" s="286"/>
      <c r="L24" s="286"/>
      <c r="M24" s="50" t="s">
        <v>51</v>
      </c>
      <c r="N24" s="53">
        <f>IF($I$11&lt;&gt;$A$58,Q14*Q13,0)</f>
        <v>1.35E-2</v>
      </c>
      <c r="O24" s="52" t="s">
        <v>46</v>
      </c>
      <c r="P24" s="53">
        <v>0</v>
      </c>
      <c r="Q24" s="53">
        <v>2.5000000000000001E-2</v>
      </c>
      <c r="R24" s="53">
        <v>0.05</v>
      </c>
      <c r="T24" s="298"/>
      <c r="U24" s="298"/>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6" t="s">
        <v>116</v>
      </c>
      <c r="J25" s="286"/>
      <c r="K25" s="286"/>
      <c r="L25" s="28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6" t="s">
        <v>53</v>
      </c>
      <c r="J26" s="286"/>
      <c r="K26" s="286"/>
      <c r="L26" s="286"/>
      <c r="M26" s="55" t="s">
        <v>33</v>
      </c>
      <c r="N26" s="53">
        <f>IF($I$11=$A$58,0,ROUND((((1+N18+N19+N20)*(1+N21)*(1+N22)/(1-(N23+N24)))-1),4))</f>
        <v>0.14460000000000001</v>
      </c>
      <c r="O26" s="9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7" t="s">
        <v>55</v>
      </c>
      <c r="J27" s="287"/>
      <c r="K27" s="287"/>
      <c r="L27" s="287"/>
      <c r="M27" s="56" t="s">
        <v>56</v>
      </c>
      <c r="N27" s="57">
        <f>IF($I$11=$A$58,0,ROUND((((1+N18+N19+N20)*(1+N21)*(1+N22)/(1-(N23+N24+N25)))-1),4))</f>
        <v>0.14460000000000001</v>
      </c>
      <c r="O27" s="95" t="str">
        <f>IF(Q11&lt;&gt;"Sim","",O26)</f>
        <v/>
      </c>
      <c r="P27" s="288"/>
      <c r="Q27" s="288"/>
      <c r="R27" s="28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85" t="s">
        <v>117</v>
      </c>
      <c r="K29" s="285"/>
      <c r="L29" s="285"/>
      <c r="M29" s="285"/>
      <c r="N29" s="285"/>
      <c r="O29" s="285"/>
      <c r="P29" s="285"/>
      <c r="Q29" s="285"/>
      <c r="R29" s="285"/>
      <c r="V29" s="96" t="b">
        <v>0</v>
      </c>
      <c r="W29" s="42" t="s">
        <v>119</v>
      </c>
    </row>
    <row r="30" spans="1:31" ht="7.5" customHeight="1" x14ac:dyDescent="0.2">
      <c r="B30" s="44"/>
      <c r="E30" s="45"/>
      <c r="F30" s="45"/>
      <c r="G30" s="45"/>
      <c r="V30" s="96"/>
    </row>
    <row r="31" spans="1:31" ht="18.75" customHeight="1" x14ac:dyDescent="0.2">
      <c r="B31" s="44"/>
      <c r="E31" s="45"/>
      <c r="F31" s="45"/>
      <c r="G31" s="45"/>
      <c r="I31" s="290" t="s">
        <v>61</v>
      </c>
      <c r="J31" s="290"/>
      <c r="K31" s="290"/>
      <c r="L31" s="290"/>
      <c r="M31" s="290"/>
      <c r="N31" s="290"/>
      <c r="O31" s="290"/>
      <c r="P31" s="290"/>
      <c r="Q31" s="290"/>
      <c r="R31" s="290"/>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6" t="str">
        <f>IF(Q11="Sim","BDI.DES =","BDI.PAD =")</f>
        <v>BDI.PAD =</v>
      </c>
      <c r="M32" s="304" t="str">
        <f>IF($I$11=$A$59,"(1+K1+K2)*(1+K3)","(1+AC + S + R + G)*(1 + DF)*(1+L)")</f>
        <v>(1+AC + S + R + G)*(1 + DF)*(1+L)</v>
      </c>
      <c r="N32" s="304"/>
      <c r="O32" s="304"/>
      <c r="P32" s="302"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6"/>
      <c r="M33" s="305" t="str">
        <f>IF(Q11="Sim","(1-CP-ISS-CRPB)","(1-CP-ISS)")</f>
        <v>(1-CP-ISS)</v>
      </c>
      <c r="N33" s="305"/>
      <c r="O33" s="305"/>
      <c r="P33" s="303"/>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1"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291"/>
      <c r="K35" s="291"/>
      <c r="L35" s="291"/>
      <c r="M35" s="291"/>
      <c r="N35" s="291"/>
      <c r="O35" s="291"/>
      <c r="P35" s="291"/>
      <c r="Q35" s="291"/>
      <c r="R35" s="291"/>
    </row>
    <row r="36" spans="1:18" ht="11.25" customHeight="1" x14ac:dyDescent="0.2">
      <c r="B36" s="49"/>
      <c r="E36" s="45"/>
      <c r="F36" s="45"/>
      <c r="G36" s="45"/>
    </row>
    <row r="37" spans="1:18" ht="52.5" customHeight="1" x14ac:dyDescent="0.2">
      <c r="B37" s="49"/>
      <c r="E37" s="45"/>
      <c r="F37" s="45"/>
      <c r="G37" s="45"/>
      <c r="I37" s="29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1"/>
      <c r="K37" s="291"/>
      <c r="L37" s="291"/>
      <c r="M37" s="291"/>
      <c r="N37" s="291"/>
      <c r="O37" s="291"/>
      <c r="P37" s="291"/>
      <c r="Q37" s="291"/>
      <c r="R37" s="291"/>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3" t="s">
        <v>316</v>
      </c>
      <c r="J40" s="294"/>
      <c r="K40" s="294"/>
      <c r="L40" s="294"/>
      <c r="M40" s="294"/>
      <c r="N40" s="294"/>
      <c r="O40" s="294"/>
      <c r="P40" s="294"/>
      <c r="Q40" s="294"/>
      <c r="R40" s="295"/>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9" t="str">
        <f>PO!K65</f>
        <v>BENTO GONÇALVES/RS</v>
      </c>
      <c r="J42" s="299"/>
      <c r="K42" s="299"/>
      <c r="L42" s="299"/>
      <c r="O42" s="292" t="str">
        <f>PO!K68</f>
        <v>27 de janeiro de 2025</v>
      </c>
      <c r="P42" s="292"/>
      <c r="Q42" s="292"/>
      <c r="R42" s="292"/>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7" t="s">
        <v>120</v>
      </c>
      <c r="J43" s="317"/>
      <c r="K43" s="317"/>
      <c r="L43" s="317"/>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9"/>
      <c r="J45" s="289"/>
      <c r="K45" s="289"/>
      <c r="L45" s="289"/>
      <c r="M45" s="59"/>
      <c r="N45" s="59"/>
      <c r="O45" s="289"/>
      <c r="P45" s="289"/>
      <c r="Q45" s="289"/>
      <c r="R45" s="289"/>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6" t="s">
        <v>57</v>
      </c>
      <c r="J46" s="296"/>
      <c r="K46" s="296"/>
      <c r="L46" s="296"/>
      <c r="O46" s="296" t="s">
        <v>58</v>
      </c>
      <c r="P46" s="296"/>
      <c r="Q46" s="296"/>
      <c r="R46" s="296"/>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84">
        <f>DADOS!B54</f>
        <v>0</v>
      </c>
      <c r="K47" s="284"/>
      <c r="L47" s="284"/>
      <c r="M47" s="59"/>
      <c r="N47" s="59"/>
      <c r="O47" s="21" t="s">
        <v>140</v>
      </c>
      <c r="P47" s="297" t="s">
        <v>313</v>
      </c>
      <c r="Q47" s="297"/>
      <c r="R47" s="297"/>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84">
        <f>DADOS!B55</f>
        <v>0</v>
      </c>
      <c r="K48" s="284"/>
      <c r="L48" s="284"/>
      <c r="M48" s="59"/>
      <c r="N48" s="59"/>
      <c r="O48" s="21" t="s">
        <v>60</v>
      </c>
      <c r="P48" s="297" t="s">
        <v>314</v>
      </c>
      <c r="Q48" s="297"/>
      <c r="R48" s="297"/>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84">
        <f>DADOS!B56</f>
        <v>0</v>
      </c>
      <c r="K49" s="284"/>
      <c r="L49" s="284"/>
      <c r="M49" s="59"/>
      <c r="N49" s="59"/>
      <c r="O49" s="59"/>
      <c r="P49" s="59"/>
      <c r="Q49" s="59"/>
      <c r="R49" s="59"/>
    </row>
    <row r="50" spans="1:18" x14ac:dyDescent="0.2">
      <c r="I50" s="21" t="str">
        <f>DADOS!A57</f>
        <v>CNPJ:</v>
      </c>
      <c r="J50" s="284">
        <f>DADOS!B57</f>
        <v>0</v>
      </c>
      <c r="K50" s="284"/>
      <c r="L50" s="284"/>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432" priority="4" stopIfTrue="1">
      <formula>$O$42=""</formula>
    </cfRule>
  </conditionalFormatting>
  <conditionalFormatting sqref="O18:O27">
    <cfRule type="expression" dxfId="431" priority="9" stopIfTrue="1">
      <formula>AND(O18&lt;&gt;"OK",O18&lt;&gt;"-",O18&lt;&gt;"")</formula>
    </cfRule>
    <cfRule type="cellIs" dxfId="430" priority="10" stopIfTrue="1" operator="equal">
      <formula>"OK"</formula>
    </cfRule>
  </conditionalFormatting>
  <conditionalFormatting sqref="I26:N26">
    <cfRule type="expression" dxfId="429" priority="8" stopIfTrue="1">
      <formula>$Q$11="Não"</formula>
    </cfRule>
  </conditionalFormatting>
  <conditionalFormatting sqref="I27:N27">
    <cfRule type="expression" dxfId="428" priority="7" stopIfTrue="1">
      <formula>$Q$11="sim"</formula>
    </cfRule>
  </conditionalFormatting>
  <conditionalFormatting sqref="P27:R27">
    <cfRule type="expression" dxfId="427" priority="6" stopIfTrue="1">
      <formula>$Q$11="sim"</formula>
    </cfRule>
  </conditionalFormatting>
  <conditionalFormatting sqref="I29:R29">
    <cfRule type="expression" dxfId="426" priority="3" stopIfTrue="1">
      <formula>AND(NOT($V$27),NOT($V$29))</formula>
    </cfRule>
  </conditionalFormatting>
  <conditionalFormatting sqref="P18:R26">
    <cfRule type="expression" dxfId="425" priority="2" stopIfTrue="1">
      <formula>$I$11=$A$58</formula>
    </cfRule>
  </conditionalFormatting>
  <conditionalFormatting sqref="P47:R48">
    <cfRule type="expression" dxfId="424" priority="1" stopIfTrue="1">
      <formula>P47=""</formula>
    </cfRule>
  </conditionalFormatting>
  <dataValidations count="6">
    <dataValidation type="decimal" allowBlank="1" showInputMessage="1" showErrorMessage="1" errorTitle="Erro de valores" error="Digite um valor entre 0% e 100%" sqref="N18:N23" xr:uid="{C12E06CB-6AD8-4660-850C-5D7C7EAC585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4FF6862E-71FA-4E57-AC0A-1D88E8DC5CC2}">
      <formula1>0</formula1>
    </dataValidation>
    <dataValidation type="decimal" allowBlank="1" showInputMessage="1" showErrorMessage="1" errorTitle="Valor não permitido" error="Digite um percentual entre 0% e 100%." promptTitle="Valores admissíveis:" prompt="Insira valores entre 0 e 100%." sqref="Q13:R13" xr:uid="{484A4A27-DFD5-4830-8365-B23B6F1D3154}">
      <formula1>0</formula1>
      <formula2>1</formula2>
    </dataValidation>
    <dataValidation type="decimal" allowBlank="1" showInputMessage="1" showErrorMessage="1" errorTitle="Erro de valores" error="Digite um valor maior do que 0." sqref="N24" xr:uid="{D4B89CF0-8789-4680-BC63-EEF502BAA1A5}">
      <formula1>0</formula1>
      <formula2>1</formula2>
    </dataValidation>
    <dataValidation operator="greaterThanOrEqual" allowBlank="1" showInputMessage="1" showErrorMessage="1" errorTitle="Erro de valores" error="Digite um valor igual a 0% ou 2%." sqref="N25" xr:uid="{495C06E4-CB47-4109-A0DC-539D03845CDB}"/>
    <dataValidation type="list" allowBlank="1" showInputMessage="1" showErrorMessage="1" sqref="I11:P11" xr:uid="{9314EA7B-3DEB-4046-BF15-09FCF697AB80}">
      <formula1>$A$52:$A$59</formula1>
    </dataValidation>
  </dataValidations>
  <pageMargins left="0.78740157480314998" right="0.78740157480314998" top="0.78740157480314998" bottom="0.78740157480314998" header="0.59055118110236204" footer="0.59055118110236204"/>
  <pageSetup paperSize="9" scale="77"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69"/>
  <sheetViews>
    <sheetView showGridLines="0" tabSelected="1" topLeftCell="J1" zoomScale="85" zoomScaleNormal="85" zoomScaleSheetLayoutView="80" workbookViewId="0">
      <pane ySplit="12" topLeftCell="A13" activePane="bottomLeft" state="frozen"/>
      <selection pane="bottomLeft" activeCell="AD6" sqref="AD6"/>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23" t="s">
        <v>181</v>
      </c>
      <c r="X2" s="323"/>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MAX($A$12:$A$54)</f>
        <v>2</v>
      </c>
      <c r="B5" s="1"/>
      <c r="F5" s="2"/>
      <c r="G5" s="1"/>
      <c r="H5" s="1"/>
      <c r="I5" s="1"/>
      <c r="J5" s="1"/>
      <c r="K5" s="1"/>
      <c r="L5" s="1"/>
      <c r="M5" s="1"/>
      <c r="N5" s="1"/>
      <c r="O5" s="1"/>
      <c r="P5" s="1"/>
      <c r="Q5" s="1"/>
      <c r="R5" s="1"/>
      <c r="S5" s="1"/>
      <c r="T5" s="1"/>
      <c r="U5" s="101" t="str">
        <f ca="1">IF(COUNTIF($U$12:OFFSET($U$54,-1,0),"DESCRIÇÃO")+COUNTIF($U$12:OFFSET($U$54,-1,0),"UNIDADE")+COUNTIF($U$12:OFFSET($U$54,-1,0),"SEM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IF(OR($A11="S",$A11=0),0,MATCH(0,OFFSET($B11,1,$A11,ROW($A$54)-ROW($A11)),0))</f>
        <v>0</v>
      </c>
      <c r="I11">
        <f ca="1">IF(OR($A11="S",$A11=0),0,MATCH(OFFSET($B11,0,$A11)+1,OFFSET($B11,1,$A11,ROW($A$54)-ROW($A11)),0))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v>
      </c>
      <c r="AA11" s="1"/>
    </row>
    <row r="12" spans="1:27" x14ac:dyDescent="0.2">
      <c r="A12">
        <v>0</v>
      </c>
      <c r="B12">
        <f ca="1">COUNTA(OFFSET(B12,1,0):B$54)</f>
        <v>41</v>
      </c>
      <c r="J12" s="64" t="str">
        <f>IF(OR(TipoOrçamento="LICITADO",TipoOrçamento="REPROGRAMADOAC"),"CTEF","LOTE")</f>
        <v>CTEF</v>
      </c>
      <c r="K12" s="139">
        <v>0</v>
      </c>
      <c r="L12" s="6"/>
      <c r="M12" s="6"/>
      <c r="N12" s="73">
        <f>IF(TipoOrçamento="LICITADO",DADOS!O43,DADOS!G38)</f>
        <v>0</v>
      </c>
      <c r="O12" s="6"/>
      <c r="P12" s="7"/>
      <c r="Q12" s="7"/>
      <c r="R12" s="8"/>
      <c r="S12" s="7"/>
      <c r="T12" s="82">
        <f ca="1">SUMIF(OFFSET($J12,1,0,ROW(T54)-ROW(T12)-1),"Serviço",OFFSET(T12,1,0,ROW(T54)-ROW(T12)-1))</f>
        <v>0</v>
      </c>
      <c r="U12" s="9" t="str">
        <f>IF($N12=0,"DESCRIÇÃO","")</f>
        <v>DESCRIÇÃO</v>
      </c>
      <c r="V12" s="1">
        <v>0</v>
      </c>
      <c r="W12" s="1"/>
      <c r="X12" s="1"/>
      <c r="Y12" s="7"/>
      <c r="Z12" s="114"/>
      <c r="AA12" s="1"/>
    </row>
    <row r="13" spans="1:27" x14ac:dyDescent="0.2">
      <c r="A13">
        <f t="shared" ref="A13:A52" si="0">CHOOSE(1+LOG(1+2*(J13="Meta")+4*(J13="Nível 2")+8*(J13="Nível 3")+16*(J13="Nível 4")+32*(J13="Serviço"),2),0,1,2,3,4,"S")</f>
        <v>1</v>
      </c>
      <c r="B13">
        <f t="shared" ref="B13:B52" ca="1" si="1">IF(OR(A13="S",A13=0),0,IF(ISERROR(I13),H13,SMALL(H13:I13,1)))</f>
        <v>41</v>
      </c>
      <c r="C13">
        <f t="shared" ref="C13:C52" ca="1" si="2">IF($A13=1,OFFSET(C13,-1,0)+1,OFFSET(C13,-1,0))</f>
        <v>1</v>
      </c>
      <c r="D13">
        <f t="shared" ref="D13:D52" ca="1" si="3">IF($A13=1,0,IF($A13=2,OFFSET(D13,-1,0)+1,OFFSET(D13,-1,0)))</f>
        <v>0</v>
      </c>
      <c r="E13">
        <f t="shared" ref="E13:E52" ca="1" si="4">IF(AND($A13&lt;=2,$A13&lt;&gt;0),0,IF($A13=3,OFFSET(E13,-1,0)+1,OFFSET(E13,-1,0)))</f>
        <v>0</v>
      </c>
      <c r="F13">
        <f t="shared" ref="F13:F52" ca="1" si="5">IF(AND($A13&lt;=3,$A13&lt;&gt;0),0,IF($A13=4,OFFSET(F13,-1,0)+1,OFFSET(F13,-1,0)))</f>
        <v>0</v>
      </c>
      <c r="G13">
        <f t="shared" ref="G13:G52" ca="1" si="6">IF(AND($A13&lt;=4,$A13&lt;&gt;0),0,IF($A13="S",OFFSET(G13,-1,0)+1,OFFSET(G13,-1,0)))</f>
        <v>0</v>
      </c>
      <c r="H13">
        <f t="shared" ref="H13:H53" ca="1" si="7">IF(OR($A13="S",$A13=0),0,MATCH(0,OFFSET($B13,1,$A13,ROW($A$54)-ROW($A13)),0))</f>
        <v>41</v>
      </c>
      <c r="I13" t="e">
        <f t="shared" ref="I13:I53" ca="1" si="8">IF(OR($A13="S",$A13=0),0,MATCH(OFFSET($B13,0,$A13)+1,OFFSET($B13,1,$A13,ROW($A$54)-ROW($A13)),0))</f>
        <v>#N/A</v>
      </c>
      <c r="J13" s="200" t="s">
        <v>99</v>
      </c>
      <c r="K13" s="138" t="str">
        <f t="shared" ref="K13:K52" ca="1" si="9">IF($A13=0,"-",CONCATENATE(C13&amp;".",IF(AND($A$5&gt;=2,$A13&gt;=2),D13&amp;".",""),IF(AND($A$5&gt;=3,$A13&gt;=3),E13&amp;".",""),IF(AND($A$5&gt;=4,$A13&gt;=4),F13&amp;".",""),IF($A13="S",G13&amp;".","")))</f>
        <v>1.</v>
      </c>
      <c r="L13" s="202"/>
      <c r="M13" s="202"/>
      <c r="N13" s="203" t="s">
        <v>318</v>
      </c>
      <c r="O13" s="204"/>
      <c r="P13" s="205">
        <v>0</v>
      </c>
      <c r="Q13" s="195"/>
      <c r="R13" s="198" t="s">
        <v>7</v>
      </c>
      <c r="S13" s="103">
        <f t="shared" ref="S13:S52" si="10">IF($A13="S",IF($Q$10="Preço Unitário (R$)",PO.CustoUnitario,ROUND(PO.CustoUnitario*(1+$Z13),15-13*$X$6)),0)</f>
        <v>0</v>
      </c>
      <c r="T13" s="83">
        <f t="shared" ref="T13:T52" ca="1" si="11">IF($A13="S",VTOTAL1,IF($A13=0,0,ROUND(SomaAgrup,15-13*$X$7)))</f>
        <v>0</v>
      </c>
      <c r="U13" s="9" t="str">
        <f t="shared" ref="U13:U52" ca="1" si="12">IF($J13="","",IF($N13="","DESCRIÇÃO",IF(AND($J13="Serviço",$O13=""),"UNIDADE",IF($T13&lt;=0,"SEM VALOR",IF(AND($Y13&lt;&gt;"",$Q13&gt;$Y13),"ACIMA REF.","")))))</f>
        <v>SEM VALOR</v>
      </c>
      <c r="V13" s="1">
        <f ca="1">IF(OR($A13=0,$A13="S",$A13&gt;CFF!$A$9),"",MAX(V$12:OFFSET(V13,-1,0))+1)</f>
        <v>1</v>
      </c>
      <c r="W13" s="4" t="b">
        <f t="shared" ref="W13:W52" si="13">IF(AND($J13="Serviço",$M13&lt;&gt;""),IF($L13="",$M13,CONCATENATE($L13,"-",$M13)))</f>
        <v>0</v>
      </c>
      <c r="X13" s="1" t="str">
        <f t="shared" ref="X13:X52" ca="1" si="14">IF(AND(Fonte&lt;&gt;"",Código&lt;&gt;""),MATCH(Fonte&amp;" "&amp;IF(Fonte="sinapi",SUBSTITUTE(SUBSTITUTE(Código,"/00","/"),"/0","/"),Código),INDIRECT("'[Referência "&amp;_xlnm.Database&amp;".xls]Banco'!$a:$a"),0),"X")</f>
        <v>X</v>
      </c>
      <c r="Y13" s="103">
        <v>0</v>
      </c>
      <c r="Z13" s="113">
        <f ca="1">ROUND(IF(ISNUMBER(R13),R13,IF(LEFT(R13,3)="BDI",HLOOKUP(R13,DADOS!$T$37:$X$38,2,FALSE),0)),15-11*$X$5)</f>
        <v>0</v>
      </c>
      <c r="AA13" s="1"/>
    </row>
    <row r="14" spans="1:27" x14ac:dyDescent="0.2">
      <c r="A14">
        <f>CHOOSE(1+LOG(1+2*(J14="Meta")+4*(J14="Nível 2")+8*(J14="Nível 3")+16*(J14="Nível 4")+32*(J14="Serviço"),2),0,1,2,3,4,"S")</f>
        <v>2</v>
      </c>
      <c r="B14">
        <f ca="1">IF(OR(A14="S",A14=0),0,IF(ISERROR(I14),H14,SMALL(H14:I14,1)))</f>
        <v>8</v>
      </c>
      <c r="C14">
        <f ca="1">IF($A14=1,OFFSET(C14,-1,0)+1,OFFSET(C14,-1,0))</f>
        <v>1</v>
      </c>
      <c r="D14">
        <f ca="1">IF($A14=1,0,IF($A14=2,OFFSET(D14,-1,0)+1,OFFSET(D14,-1,0)))</f>
        <v>1</v>
      </c>
      <c r="E14">
        <f ca="1">IF(AND($A14&lt;=2,$A14&lt;&gt;0),0,IF($A14=3,OFFSET(E14,-1,0)+1,OFFSET(E14,-1,0)))</f>
        <v>0</v>
      </c>
      <c r="F14">
        <f ca="1">IF(AND($A14&lt;=3,$A14&lt;&gt;0),0,IF($A14=4,OFFSET(F14,-1,0)+1,OFFSET(F14,-1,0)))</f>
        <v>0</v>
      </c>
      <c r="G14">
        <f ca="1">IF(AND($A14&lt;=4,$A14&lt;&gt;0),0,IF($A14="S",OFFSET(G14,-1,0)+1,OFFSET(G14,-1,0)))</f>
        <v>0</v>
      </c>
      <c r="H14">
        <f t="shared" ca="1" si="7"/>
        <v>40</v>
      </c>
      <c r="I14">
        <f t="shared" ca="1" si="8"/>
        <v>8</v>
      </c>
      <c r="J14" s="201" t="s">
        <v>100</v>
      </c>
      <c r="K14" s="138" t="str">
        <f ca="1">IF($A14=0,"-",CONCATENATE(C14&amp;".",IF(AND($A$5&gt;=2,$A14&gt;=2),D14&amp;".",""),IF(AND($A$5&gt;=3,$A14&gt;=3),E14&amp;".",""),IF(AND($A$5&gt;=4,$A14&gt;=4),F14&amp;".",""),IF($A14="S",G14&amp;".","")))</f>
        <v>1.1.</v>
      </c>
      <c r="L14" s="202"/>
      <c r="M14" s="202"/>
      <c r="N14" s="203" t="s">
        <v>294</v>
      </c>
      <c r="O14" s="204" t="s">
        <v>106</v>
      </c>
      <c r="P14" s="205"/>
      <c r="Q14" s="195"/>
      <c r="R14" s="198" t="s">
        <v>7</v>
      </c>
      <c r="S14" s="103">
        <f>IF($A14="S",IF($Q$10="Preço Unitário (R$)",PO.CustoUnitario,ROUND(PO.CustoUnitario*(1+$Z14),15-13*$X$6)),0)</f>
        <v>0</v>
      </c>
      <c r="T14" s="83">
        <f ca="1">IF($A14="S",VTOTAL1,IF($A14=0,0,ROUND(SomaAgrup,15-13*$X$7)))</f>
        <v>0</v>
      </c>
      <c r="U14" s="9" t="str">
        <f ca="1">IF($J14="","",IF($N14="","DESCRIÇÃO",IF(AND($J14="Serviço",$O14=""),"UNIDADE",IF($T14&lt;=0,"SEM VALOR",IF(AND($Y14&lt;&gt;"",$Q14&gt;$Y14),"ACIMA REF.","")))))</f>
        <v>SEM VALOR</v>
      </c>
      <c r="V14" s="1">
        <f ca="1">IF(OR($A14=0,$A14="S",$A14&gt;CFF!$A$9),"",MAX(V$12:OFFSET(V14,-1,0))+1)</f>
        <v>2</v>
      </c>
      <c r="W14" s="4" t="b">
        <f>IF(AND($J14="Serviço",$M14&lt;&gt;""),IF($L14="",$M14,CONCATENATE($L14,"-",$M14)))</f>
        <v>0</v>
      </c>
      <c r="X14" s="1" t="str">
        <f ca="1">IF(AND(Fonte&lt;&gt;"",Código&lt;&gt;""),MATCH(Fonte&amp;" "&amp;IF(Fonte="sinapi",SUBSTITUTE(SUBSTITUTE(Código,"/00","/"),"/0","/"),Código),INDIRECT("'[Referência "&amp;_xlnm.Database&amp;".xls]Banco'!$a:$a"),0),"X")</f>
        <v>X</v>
      </c>
      <c r="Y14" s="103">
        <v>0</v>
      </c>
      <c r="Z14" s="113">
        <f ca="1">ROUND(IF(ISNUMBER(R14),R14,IF(LEFT(R14,3)="BDI",HLOOKUP(R14,DADOS!$T$37:$X$38,2,FALSE),0)),15-11*$X$5)</f>
        <v>0</v>
      </c>
      <c r="AA14" s="1"/>
    </row>
    <row r="15" spans="1:27"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201" t="s">
        <v>103</v>
      </c>
      <c r="K15" s="138" t="str">
        <f t="shared" ca="1" si="9"/>
        <v>1.1.1.</v>
      </c>
      <c r="L15" s="202" t="s">
        <v>270</v>
      </c>
      <c r="M15" s="202" t="s">
        <v>242</v>
      </c>
      <c r="N15" s="203" t="s">
        <v>271</v>
      </c>
      <c r="O15" s="204" t="s">
        <v>239</v>
      </c>
      <c r="P15" s="205">
        <f>3000*0.7</f>
        <v>2100</v>
      </c>
      <c r="Q15" s="195"/>
      <c r="R15" s="198" t="s">
        <v>7</v>
      </c>
      <c r="S15" s="103">
        <f t="shared" si="10"/>
        <v>0</v>
      </c>
      <c r="T15" s="83">
        <f t="shared" si="11"/>
        <v>0</v>
      </c>
      <c r="U15" s="9" t="str">
        <f t="shared" si="12"/>
        <v>SEM VALOR</v>
      </c>
      <c r="V15" s="1" t="str">
        <f ca="1">IF(OR($A15=0,$A15="S",$A15&gt;CFF!$A$9),"",MAX(V$12:OFFSET(V15,-1,0))+1)</f>
        <v/>
      </c>
      <c r="W15" s="4" t="str">
        <f t="shared" si="13"/>
        <v>PM BENTO-01</v>
      </c>
      <c r="X15" s="1" t="e">
        <f t="shared" ca="1" si="14"/>
        <v>#REF!</v>
      </c>
      <c r="Y15" s="103">
        <v>82.56</v>
      </c>
      <c r="Z15" s="113">
        <f ca="1">ROUND(IF(ISNUMBER(R15),R15,IF(LEFT(R15,3)="BDI",HLOOKUP(R15,DADOS!$T$37:$X$38,2,FALSE),0)),15-11*$X$5)</f>
        <v>0</v>
      </c>
      <c r="AA15" s="1"/>
    </row>
    <row r="16" spans="1:27"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201" t="s">
        <v>103</v>
      </c>
      <c r="K16" s="138" t="str">
        <f t="shared" ca="1" si="9"/>
        <v>1.1.2.</v>
      </c>
      <c r="L16" s="202" t="s">
        <v>270</v>
      </c>
      <c r="M16" s="202" t="s">
        <v>234</v>
      </c>
      <c r="N16" s="203" t="s">
        <v>300</v>
      </c>
      <c r="O16" s="204" t="s">
        <v>239</v>
      </c>
      <c r="P16" s="205">
        <v>800</v>
      </c>
      <c r="Q16" s="195"/>
      <c r="R16" s="198" t="s">
        <v>7</v>
      </c>
      <c r="S16" s="103">
        <f t="shared" si="10"/>
        <v>0</v>
      </c>
      <c r="T16" s="83">
        <f t="shared" si="11"/>
        <v>0</v>
      </c>
      <c r="U16" s="9" t="str">
        <f t="shared" si="12"/>
        <v>SEM VALOR</v>
      </c>
      <c r="V16" s="1" t="str">
        <f ca="1">IF(OR($A16=0,$A16="S",$A16&gt;CFF!$A$9),"",MAX(V$12:OFFSET(V16,-1,0))+1)</f>
        <v/>
      </c>
      <c r="W16" s="4" t="str">
        <f t="shared" si="13"/>
        <v>PM BENTO-02</v>
      </c>
      <c r="X16" s="1" t="e">
        <f t="shared" ca="1" si="14"/>
        <v>#REF!</v>
      </c>
      <c r="Y16" s="103">
        <v>84.6</v>
      </c>
      <c r="Z16" s="113">
        <f ca="1">ROUND(IF(ISNUMBER(R16),R16,IF(LEFT(R16,3)="BDI",HLOOKUP(R16,DADOS!$T$37:$X$38,2,FALSE),0)),15-11*$X$5)</f>
        <v>0</v>
      </c>
      <c r="AA16" s="1"/>
    </row>
    <row r="17" spans="1:27"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201" t="s">
        <v>103</v>
      </c>
      <c r="K17" s="138" t="str">
        <f t="shared" ca="1" si="9"/>
        <v>1.1.3.</v>
      </c>
      <c r="L17" s="202" t="s">
        <v>270</v>
      </c>
      <c r="M17" s="202" t="s">
        <v>235</v>
      </c>
      <c r="N17" s="203" t="s">
        <v>272</v>
      </c>
      <c r="O17" s="204" t="s">
        <v>239</v>
      </c>
      <c r="P17" s="205">
        <v>600</v>
      </c>
      <c r="Q17" s="195"/>
      <c r="R17" s="198" t="s">
        <v>7</v>
      </c>
      <c r="S17" s="103">
        <f t="shared" si="10"/>
        <v>0</v>
      </c>
      <c r="T17" s="83">
        <f t="shared" si="11"/>
        <v>0</v>
      </c>
      <c r="U17" s="9" t="str">
        <f t="shared" si="12"/>
        <v>SEM VALOR</v>
      </c>
      <c r="V17" s="1" t="str">
        <f ca="1">IF(OR($A17=0,$A17="S",$A17&gt;CFF!$A$9),"",MAX(V$12:OFFSET(V17,-1,0))+1)</f>
        <v/>
      </c>
      <c r="W17" s="4" t="str">
        <f t="shared" si="13"/>
        <v>PM BENTO-03</v>
      </c>
      <c r="X17" s="1" t="e">
        <f t="shared" ca="1" si="14"/>
        <v>#REF!</v>
      </c>
      <c r="Y17" s="103">
        <v>79.349999999999994</v>
      </c>
      <c r="Z17" s="113">
        <f ca="1">ROUND(IF(ISNUMBER(R17),R17,IF(LEFT(R17,3)="BDI",HLOOKUP(R17,DADOS!$T$37:$X$38,2,FALSE),0)),15-11*$X$5)</f>
        <v>0</v>
      </c>
      <c r="AA17" s="1"/>
    </row>
    <row r="18" spans="1:27" ht="25.5"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201" t="s">
        <v>103</v>
      </c>
      <c r="K18" s="138" t="str">
        <f t="shared" ca="1" si="9"/>
        <v>1.1.4.</v>
      </c>
      <c r="L18" s="202" t="s">
        <v>241</v>
      </c>
      <c r="M18" s="202" t="s">
        <v>236</v>
      </c>
      <c r="N18" s="203" t="s">
        <v>301</v>
      </c>
      <c r="O18" s="204" t="s">
        <v>239</v>
      </c>
      <c r="P18" s="205">
        <v>1500</v>
      </c>
      <c r="Q18" s="195"/>
      <c r="R18" s="198" t="s">
        <v>7</v>
      </c>
      <c r="S18" s="103">
        <f t="shared" si="10"/>
        <v>0</v>
      </c>
      <c r="T18" s="83">
        <f t="shared" si="11"/>
        <v>0</v>
      </c>
      <c r="U18" s="9" t="str">
        <f t="shared" si="12"/>
        <v>SEM VALOR</v>
      </c>
      <c r="V18" s="1" t="str">
        <f ca="1">IF(OR($A18=0,$A18="S",$A18&gt;CFF!$A$9),"",MAX(V$12:OFFSET(V18,-1,0))+1)</f>
        <v/>
      </c>
      <c r="W18" s="4" t="str">
        <f t="shared" si="13"/>
        <v>PM BENTO -04</v>
      </c>
      <c r="X18" s="1" t="e">
        <f t="shared" ca="1" si="14"/>
        <v>#REF!</v>
      </c>
      <c r="Y18" s="103">
        <v>93.28</v>
      </c>
      <c r="Z18" s="113">
        <f ca="1">ROUND(IF(ISNUMBER(R18),R18,IF(LEFT(R18,3)="BDI",HLOOKUP(R18,DADOS!$T$37:$X$38,2,FALSE),0)),15-11*$X$5)</f>
        <v>0</v>
      </c>
      <c r="AA18" s="1"/>
    </row>
    <row r="19" spans="1:27" x14ac:dyDescent="0.2">
      <c r="A19" t="str">
        <f t="shared" si="0"/>
        <v>S</v>
      </c>
      <c r="B19">
        <f t="shared" si="1"/>
        <v>0</v>
      </c>
      <c r="C19">
        <f t="shared" ca="1" si="2"/>
        <v>1</v>
      </c>
      <c r="D19">
        <f t="shared" ca="1" si="3"/>
        <v>1</v>
      </c>
      <c r="E19">
        <f t="shared" ca="1" si="4"/>
        <v>0</v>
      </c>
      <c r="F19">
        <f t="shared" ca="1" si="5"/>
        <v>0</v>
      </c>
      <c r="G19">
        <f t="shared" ca="1" si="6"/>
        <v>5</v>
      </c>
      <c r="H19">
        <f t="shared" ca="1" si="7"/>
        <v>0</v>
      </c>
      <c r="I19">
        <f t="shared" ca="1" si="8"/>
        <v>0</v>
      </c>
      <c r="J19" s="201" t="s">
        <v>103</v>
      </c>
      <c r="K19" s="138" t="str">
        <f t="shared" ca="1" si="9"/>
        <v>1.1.5.</v>
      </c>
      <c r="L19" s="202" t="s">
        <v>241</v>
      </c>
      <c r="M19" s="202" t="s">
        <v>237</v>
      </c>
      <c r="N19" s="203" t="s">
        <v>304</v>
      </c>
      <c r="O19" s="204" t="s">
        <v>239</v>
      </c>
      <c r="P19" s="205">
        <v>3000</v>
      </c>
      <c r="Q19" s="195"/>
      <c r="R19" s="198" t="s">
        <v>7</v>
      </c>
      <c r="S19" s="103">
        <f t="shared" si="10"/>
        <v>0</v>
      </c>
      <c r="T19" s="83">
        <f t="shared" si="11"/>
        <v>0</v>
      </c>
      <c r="U19" s="9" t="str">
        <f t="shared" si="12"/>
        <v>SEM VALOR</v>
      </c>
      <c r="V19" s="1" t="str">
        <f ca="1">IF(OR($A19=0,$A19="S",$A19&gt;CFF!$A$9),"",MAX(V$12:OFFSET(V19,-1,0))+1)</f>
        <v/>
      </c>
      <c r="W19" s="4" t="str">
        <f t="shared" si="13"/>
        <v>PM BENTO -05</v>
      </c>
      <c r="X19" s="1" t="e">
        <f t="shared" ca="1" si="14"/>
        <v>#REF!</v>
      </c>
      <c r="Y19" s="103">
        <v>79.92</v>
      </c>
      <c r="Z19" s="113">
        <f ca="1">ROUND(IF(ISNUMBER(R19),R19,IF(LEFT(R19,3)="BDI",HLOOKUP(R19,DADOS!$T$37:$X$38,2,FALSE),0)),15-11*$X$5)</f>
        <v>0</v>
      </c>
      <c r="AA19" s="1"/>
    </row>
    <row r="20" spans="1:27" ht="25.5" x14ac:dyDescent="0.2">
      <c r="A20" t="str">
        <f t="shared" si="0"/>
        <v>S</v>
      </c>
      <c r="B20">
        <f t="shared" si="1"/>
        <v>0</v>
      </c>
      <c r="C20">
        <f t="shared" ca="1" si="2"/>
        <v>1</v>
      </c>
      <c r="D20">
        <f t="shared" ca="1" si="3"/>
        <v>1</v>
      </c>
      <c r="E20">
        <f t="shared" ca="1" si="4"/>
        <v>0</v>
      </c>
      <c r="F20">
        <f t="shared" ca="1" si="5"/>
        <v>0</v>
      </c>
      <c r="G20">
        <f t="shared" ca="1" si="6"/>
        <v>6</v>
      </c>
      <c r="H20">
        <f t="shared" ca="1" si="7"/>
        <v>0</v>
      </c>
      <c r="I20">
        <f t="shared" ca="1" si="8"/>
        <v>0</v>
      </c>
      <c r="J20" s="201" t="s">
        <v>103</v>
      </c>
      <c r="K20" s="138" t="str">
        <f t="shared" ca="1" si="9"/>
        <v>1.1.6.</v>
      </c>
      <c r="L20" s="202" t="s">
        <v>270</v>
      </c>
      <c r="M20" s="202" t="s">
        <v>238</v>
      </c>
      <c r="N20" s="203" t="s">
        <v>305</v>
      </c>
      <c r="O20" s="204" t="s">
        <v>239</v>
      </c>
      <c r="P20" s="205">
        <v>1000</v>
      </c>
      <c r="Q20" s="195"/>
      <c r="R20" s="198" t="s">
        <v>7</v>
      </c>
      <c r="S20" s="103">
        <f t="shared" si="10"/>
        <v>0</v>
      </c>
      <c r="T20" s="83">
        <f t="shared" si="11"/>
        <v>0</v>
      </c>
      <c r="U20" s="9" t="str">
        <f t="shared" si="12"/>
        <v>SEM VALOR</v>
      </c>
      <c r="V20" s="1" t="str">
        <f ca="1">IF(OR($A20=0,$A20="S",$A20&gt;CFF!$A$9),"",MAX(V$12:OFFSET(V20,-1,0))+1)</f>
        <v/>
      </c>
      <c r="W20" s="4" t="str">
        <f t="shared" si="13"/>
        <v>PM BENTO-06</v>
      </c>
      <c r="X20" s="1" t="e">
        <f t="shared" ca="1" si="14"/>
        <v>#REF!</v>
      </c>
      <c r="Y20" s="103">
        <v>90.86</v>
      </c>
      <c r="Z20" s="113">
        <f ca="1">ROUND(IF(ISNUMBER(R20),R20,IF(LEFT(R20,3)="BDI",HLOOKUP(R20,DADOS!$T$37:$X$38,2,FALSE),0)),15-11*$X$5)</f>
        <v>0</v>
      </c>
      <c r="AA20" s="1"/>
    </row>
    <row r="21" spans="1:27" ht="25.5" x14ac:dyDescent="0.2">
      <c r="A21" t="str">
        <f t="shared" si="0"/>
        <v>S</v>
      </c>
      <c r="B21">
        <f t="shared" si="1"/>
        <v>0</v>
      </c>
      <c r="C21">
        <f t="shared" ca="1" si="2"/>
        <v>1</v>
      </c>
      <c r="D21">
        <f t="shared" ca="1" si="3"/>
        <v>1</v>
      </c>
      <c r="E21">
        <f t="shared" ca="1" si="4"/>
        <v>0</v>
      </c>
      <c r="F21">
        <f t="shared" ca="1" si="5"/>
        <v>0</v>
      </c>
      <c r="G21">
        <f t="shared" ca="1" si="6"/>
        <v>7</v>
      </c>
      <c r="H21">
        <f t="shared" ca="1" si="7"/>
        <v>0</v>
      </c>
      <c r="I21">
        <f t="shared" ca="1" si="8"/>
        <v>0</v>
      </c>
      <c r="J21" s="201" t="s">
        <v>103</v>
      </c>
      <c r="K21" s="138" t="str">
        <f t="shared" ca="1" si="9"/>
        <v>1.1.7.</v>
      </c>
      <c r="L21" s="202" t="s">
        <v>270</v>
      </c>
      <c r="M21" s="202" t="s">
        <v>240</v>
      </c>
      <c r="N21" s="203" t="s">
        <v>306</v>
      </c>
      <c r="O21" s="204" t="s">
        <v>239</v>
      </c>
      <c r="P21" s="205">
        <v>1000</v>
      </c>
      <c r="Q21" s="195"/>
      <c r="R21" s="198" t="s">
        <v>7</v>
      </c>
      <c r="S21" s="103">
        <f t="shared" si="10"/>
        <v>0</v>
      </c>
      <c r="T21" s="83">
        <f t="shared" si="11"/>
        <v>0</v>
      </c>
      <c r="U21" s="9" t="str">
        <f t="shared" si="12"/>
        <v>SEM VALOR</v>
      </c>
      <c r="V21" s="1" t="str">
        <f ca="1">IF(OR($A21=0,$A21="S",$A21&gt;CFF!$A$9),"",MAX(V$12:OFFSET(V21,-1,0))+1)</f>
        <v/>
      </c>
      <c r="W21" s="4" t="str">
        <f t="shared" si="13"/>
        <v>PM BENTO-07</v>
      </c>
      <c r="X21" s="1" t="e">
        <f t="shared" ca="1" si="14"/>
        <v>#REF!</v>
      </c>
      <c r="Y21" s="103">
        <v>85.62</v>
      </c>
      <c r="Z21" s="113">
        <f ca="1">ROUND(IF(ISNUMBER(R21),R21,IF(LEFT(R21,3)="BDI",HLOOKUP(R21,DADOS!$T$37:$X$38,2,FALSE),0)),15-11*$X$5)</f>
        <v>0</v>
      </c>
      <c r="AA21" s="1"/>
    </row>
    <row r="22" spans="1:27" x14ac:dyDescent="0.2">
      <c r="A22">
        <f>CHOOSE(1+LOG(1+2*(J22="Meta")+4*(J22="Nível 2")+8*(J22="Nível 3")+16*(J22="Nível 4")+32*(J22="Serviço"),2),0,1,2,3,4,"S")</f>
        <v>2</v>
      </c>
      <c r="B22">
        <f ca="1">IF(OR(A22="S",A22=0),0,IF(ISERROR(I22),H22,SMALL(H22:I22,1)))</f>
        <v>8</v>
      </c>
      <c r="C22">
        <f ca="1">IF($A22=1,OFFSET(C22,-1,0)+1,OFFSET(C22,-1,0))</f>
        <v>1</v>
      </c>
      <c r="D22">
        <f ca="1">IF($A22=1,0,IF($A22=2,OFFSET(D22,-1,0)+1,OFFSET(D22,-1,0)))</f>
        <v>2</v>
      </c>
      <c r="E22">
        <f ca="1">IF(AND($A22&lt;=2,$A22&lt;&gt;0),0,IF($A22=3,OFFSET(E22,-1,0)+1,OFFSET(E22,-1,0)))</f>
        <v>0</v>
      </c>
      <c r="F22">
        <f ca="1">IF(AND($A22&lt;=3,$A22&lt;&gt;0),0,IF($A22=4,OFFSET(F22,-1,0)+1,OFFSET(F22,-1,0)))</f>
        <v>0</v>
      </c>
      <c r="G22">
        <f ca="1">IF(AND($A22&lt;=4,$A22&lt;&gt;0),0,IF($A22="S",OFFSET(G22,-1,0)+1,OFFSET(G22,-1,0)))</f>
        <v>0</v>
      </c>
      <c r="H22">
        <f t="shared" ca="1" si="7"/>
        <v>32</v>
      </c>
      <c r="I22">
        <f t="shared" ca="1" si="8"/>
        <v>8</v>
      </c>
      <c r="J22" s="201" t="s">
        <v>100</v>
      </c>
      <c r="K22" s="138" t="str">
        <f ca="1">IF($A22=0,"-",CONCATENATE(C22&amp;".",IF(AND($A$5&gt;=2,$A22&gt;=2),D22&amp;".",""),IF(AND($A$5&gt;=3,$A22&gt;=3),E22&amp;".",""),IF(AND($A$5&gt;=4,$A22&gt;=4),F22&amp;".",""),IF($A22="S",G22&amp;".","")))</f>
        <v>1.2.</v>
      </c>
      <c r="L22" s="202"/>
      <c r="M22" s="202"/>
      <c r="N22" s="203" t="s">
        <v>311</v>
      </c>
      <c r="O22" s="204" t="s">
        <v>106</v>
      </c>
      <c r="P22" s="205"/>
      <c r="Q22" s="195"/>
      <c r="R22" s="198" t="s">
        <v>7</v>
      </c>
      <c r="S22" s="103">
        <f>IF($A22="S",IF($Q$10="Preço Unitário (R$)",PO.CustoUnitario,ROUND(PO.CustoUnitario*(1+$Z22),15-13*$X$6)),0)</f>
        <v>0</v>
      </c>
      <c r="T22" s="83">
        <f ca="1">IF($A22="S",VTOTAL1,IF($A22=0,0,ROUND(SomaAgrup,15-13*$X$7)))</f>
        <v>0</v>
      </c>
      <c r="U22" s="9" t="str">
        <f ca="1">IF($J22="","",IF($N22="","DESCRIÇÃO",IF(AND($J22="Serviço",$O22=""),"UNIDADE",IF($T22&lt;=0,"SEM VALOR",IF(AND($Y22&lt;&gt;"",$Q22&gt;$Y22),"ACIMA REF.","")))))</f>
        <v>SEM VALOR</v>
      </c>
      <c r="V22" s="1">
        <f ca="1">IF(OR($A22=0,$A22="S",$A22&gt;CFF!$A$9),"",MAX(V$12:OFFSET(V22,-1,0))+1)</f>
        <v>3</v>
      </c>
      <c r="W22" s="4" t="b">
        <f>IF(AND($J22="Serviço",$M22&lt;&gt;""),IF($L22="",$M22,CONCATENATE($L22,"-",$M22)))</f>
        <v>0</v>
      </c>
      <c r="X22" s="1" t="str">
        <f ca="1">IF(AND(Fonte&lt;&gt;"",Código&lt;&gt;""),MATCH(Fonte&amp;" "&amp;IF(Fonte="sinapi",SUBSTITUTE(SUBSTITUTE(Código,"/00","/"),"/0","/"),Código),INDIRECT("'[Referência "&amp;_xlnm.Database&amp;".xls]Banco'!$a:$a"),0),"X")</f>
        <v>X</v>
      </c>
      <c r="Y22" s="103">
        <v>0</v>
      </c>
      <c r="Z22" s="113">
        <f ca="1">ROUND(IF(ISNUMBER(R22),R22,IF(LEFT(R22,3)="BDI",HLOOKUP(R22,DADOS!$T$37:$X$38,2,FALSE),0)),15-11*$X$5)</f>
        <v>0</v>
      </c>
      <c r="AA22" s="1"/>
    </row>
    <row r="23" spans="1:27" x14ac:dyDescent="0.2">
      <c r="A23" t="str">
        <f t="shared" si="0"/>
        <v>S</v>
      </c>
      <c r="B23">
        <f t="shared" si="1"/>
        <v>0</v>
      </c>
      <c r="C23">
        <f t="shared" ca="1" si="2"/>
        <v>1</v>
      </c>
      <c r="D23">
        <f t="shared" ca="1" si="3"/>
        <v>2</v>
      </c>
      <c r="E23">
        <f t="shared" ca="1" si="4"/>
        <v>0</v>
      </c>
      <c r="F23">
        <f t="shared" ca="1" si="5"/>
        <v>0</v>
      </c>
      <c r="G23">
        <f t="shared" ca="1" si="6"/>
        <v>1</v>
      </c>
      <c r="H23">
        <f t="shared" ca="1" si="7"/>
        <v>0</v>
      </c>
      <c r="I23">
        <f t="shared" ca="1" si="8"/>
        <v>0</v>
      </c>
      <c r="J23" s="201" t="s">
        <v>103</v>
      </c>
      <c r="K23" s="138" t="str">
        <f t="shared" ca="1" si="9"/>
        <v>1.2.1.</v>
      </c>
      <c r="L23" s="202" t="s">
        <v>270</v>
      </c>
      <c r="M23" s="202" t="s">
        <v>243</v>
      </c>
      <c r="N23" s="203" t="s">
        <v>309</v>
      </c>
      <c r="O23" s="204" t="s">
        <v>239</v>
      </c>
      <c r="P23" s="205">
        <v>11500</v>
      </c>
      <c r="Q23" s="195"/>
      <c r="R23" s="198" t="s">
        <v>7</v>
      </c>
      <c r="S23" s="103">
        <f t="shared" si="10"/>
        <v>0</v>
      </c>
      <c r="T23" s="83">
        <f t="shared" si="11"/>
        <v>0</v>
      </c>
      <c r="U23" s="9" t="str">
        <f t="shared" si="12"/>
        <v>SEM VALOR</v>
      </c>
      <c r="V23" s="1" t="str">
        <f ca="1">IF(OR($A23=0,$A23="S",$A23&gt;CFF!$A$9),"",MAX(V$12:OFFSET(V23,-1,0))+1)</f>
        <v/>
      </c>
      <c r="W23" s="4" t="str">
        <f t="shared" si="13"/>
        <v>PM BENTO-08</v>
      </c>
      <c r="X23" s="1" t="e">
        <f t="shared" ca="1" si="14"/>
        <v>#REF!</v>
      </c>
      <c r="Y23" s="103">
        <v>62.97</v>
      </c>
      <c r="Z23" s="113">
        <f ca="1">ROUND(IF(ISNUMBER(R23),R23,IF(LEFT(R23,3)="BDI",HLOOKUP(R23,DADOS!$T$37:$X$38,2,FALSE),0)),15-11*$X$5)</f>
        <v>0</v>
      </c>
      <c r="AA23" s="1"/>
    </row>
    <row r="24" spans="1:27" x14ac:dyDescent="0.2">
      <c r="A24" t="str">
        <f t="shared" si="0"/>
        <v>S</v>
      </c>
      <c r="B24">
        <f t="shared" si="1"/>
        <v>0</v>
      </c>
      <c r="C24">
        <f t="shared" ca="1" si="2"/>
        <v>1</v>
      </c>
      <c r="D24">
        <f t="shared" ca="1" si="3"/>
        <v>2</v>
      </c>
      <c r="E24">
        <f t="shared" ca="1" si="4"/>
        <v>0</v>
      </c>
      <c r="F24">
        <f t="shared" ca="1" si="5"/>
        <v>0</v>
      </c>
      <c r="G24">
        <f t="shared" ca="1" si="6"/>
        <v>2</v>
      </c>
      <c r="H24">
        <f t="shared" ca="1" si="7"/>
        <v>0</v>
      </c>
      <c r="I24">
        <f t="shared" ca="1" si="8"/>
        <v>0</v>
      </c>
      <c r="J24" s="201" t="s">
        <v>103</v>
      </c>
      <c r="K24" s="138" t="str">
        <f t="shared" ca="1" si="9"/>
        <v>1.2.2.</v>
      </c>
      <c r="L24" s="202" t="s">
        <v>241</v>
      </c>
      <c r="M24" s="202" t="s">
        <v>244</v>
      </c>
      <c r="N24" s="203" t="s">
        <v>273</v>
      </c>
      <c r="O24" s="204" t="s">
        <v>239</v>
      </c>
      <c r="P24" s="205">
        <v>1500</v>
      </c>
      <c r="Q24" s="195"/>
      <c r="R24" s="198" t="s">
        <v>7</v>
      </c>
      <c r="S24" s="103">
        <f t="shared" si="10"/>
        <v>0</v>
      </c>
      <c r="T24" s="83">
        <f t="shared" si="11"/>
        <v>0</v>
      </c>
      <c r="U24" s="9" t="str">
        <f t="shared" si="12"/>
        <v>SEM VALOR</v>
      </c>
      <c r="V24" s="1" t="str">
        <f ca="1">IF(OR($A24=0,$A24="S",$A24&gt;CFF!$A$9),"",MAX(V$12:OFFSET(V24,-1,0))+1)</f>
        <v/>
      </c>
      <c r="W24" s="4" t="str">
        <f t="shared" si="13"/>
        <v>PM BENTO -09</v>
      </c>
      <c r="X24" s="1" t="e">
        <f t="shared" ca="1" si="14"/>
        <v>#REF!</v>
      </c>
      <c r="Y24" s="103">
        <v>64.61</v>
      </c>
      <c r="Z24" s="113">
        <f ca="1">ROUND(IF(ISNUMBER(R24),R24,IF(LEFT(R24,3)="BDI",HLOOKUP(R24,DADOS!$T$37:$X$38,2,FALSE),0)),15-11*$X$5)</f>
        <v>0</v>
      </c>
      <c r="AA24" s="1"/>
    </row>
    <row r="25" spans="1:27" x14ac:dyDescent="0.2">
      <c r="A25" t="str">
        <f t="shared" si="0"/>
        <v>S</v>
      </c>
      <c r="B25">
        <f t="shared" si="1"/>
        <v>0</v>
      </c>
      <c r="C25">
        <f t="shared" ca="1" si="2"/>
        <v>1</v>
      </c>
      <c r="D25">
        <f t="shared" ca="1" si="3"/>
        <v>2</v>
      </c>
      <c r="E25">
        <f t="shared" ca="1" si="4"/>
        <v>0</v>
      </c>
      <c r="F25">
        <f t="shared" ca="1" si="5"/>
        <v>0</v>
      </c>
      <c r="G25">
        <f t="shared" ca="1" si="6"/>
        <v>3</v>
      </c>
      <c r="H25">
        <f t="shared" ca="1" si="7"/>
        <v>0</v>
      </c>
      <c r="I25">
        <f t="shared" ca="1" si="8"/>
        <v>0</v>
      </c>
      <c r="J25" s="201" t="s">
        <v>103</v>
      </c>
      <c r="K25" s="138" t="str">
        <f t="shared" ca="1" si="9"/>
        <v>1.2.3.</v>
      </c>
      <c r="L25" s="202" t="s">
        <v>270</v>
      </c>
      <c r="M25" s="202" t="s">
        <v>245</v>
      </c>
      <c r="N25" s="203" t="s">
        <v>274</v>
      </c>
      <c r="O25" s="204" t="s">
        <v>239</v>
      </c>
      <c r="P25" s="205">
        <v>1000</v>
      </c>
      <c r="Q25" s="195"/>
      <c r="R25" s="198" t="s">
        <v>7</v>
      </c>
      <c r="S25" s="103">
        <f t="shared" si="10"/>
        <v>0</v>
      </c>
      <c r="T25" s="83">
        <f t="shared" si="11"/>
        <v>0</v>
      </c>
      <c r="U25" s="9" t="str">
        <f t="shared" si="12"/>
        <v>SEM VALOR</v>
      </c>
      <c r="V25" s="1" t="str">
        <f ca="1">IF(OR($A25=0,$A25="S",$A25&gt;CFF!$A$9),"",MAX(V$12:OFFSET(V25,-1,0))+1)</f>
        <v/>
      </c>
      <c r="W25" s="4" t="str">
        <f t="shared" si="13"/>
        <v>PM BENTO-10</v>
      </c>
      <c r="X25" s="1" t="e">
        <f t="shared" ca="1" si="14"/>
        <v>#REF!</v>
      </c>
      <c r="Y25" s="103">
        <v>59.7</v>
      </c>
      <c r="Z25" s="113">
        <f ca="1">ROUND(IF(ISNUMBER(R25),R25,IF(LEFT(R25,3)="BDI",HLOOKUP(R25,DADOS!$T$37:$X$38,2,FALSE),0)),15-11*$X$5)</f>
        <v>0</v>
      </c>
      <c r="AA25" s="1"/>
    </row>
    <row r="26" spans="1:27" x14ac:dyDescent="0.2">
      <c r="A26" t="str">
        <f t="shared" si="0"/>
        <v>S</v>
      </c>
      <c r="B26">
        <f t="shared" si="1"/>
        <v>0</v>
      </c>
      <c r="C26">
        <f t="shared" ca="1" si="2"/>
        <v>1</v>
      </c>
      <c r="D26">
        <f t="shared" ca="1" si="3"/>
        <v>2</v>
      </c>
      <c r="E26">
        <f t="shared" ca="1" si="4"/>
        <v>0</v>
      </c>
      <c r="F26">
        <f t="shared" ca="1" si="5"/>
        <v>0</v>
      </c>
      <c r="G26">
        <f t="shared" ca="1" si="6"/>
        <v>4</v>
      </c>
      <c r="H26">
        <f t="shared" ca="1" si="7"/>
        <v>0</v>
      </c>
      <c r="I26">
        <f t="shared" ca="1" si="8"/>
        <v>0</v>
      </c>
      <c r="J26" s="201" t="s">
        <v>103</v>
      </c>
      <c r="K26" s="138" t="str">
        <f t="shared" ca="1" si="9"/>
        <v>1.2.4.</v>
      </c>
      <c r="L26" s="202" t="s">
        <v>270</v>
      </c>
      <c r="M26" s="202" t="s">
        <v>246</v>
      </c>
      <c r="N26" s="203" t="s">
        <v>308</v>
      </c>
      <c r="O26" s="204" t="s">
        <v>239</v>
      </c>
      <c r="P26" s="205">
        <v>1500</v>
      </c>
      <c r="Q26" s="195"/>
      <c r="R26" s="198" t="s">
        <v>7</v>
      </c>
      <c r="S26" s="103">
        <f t="shared" si="10"/>
        <v>0</v>
      </c>
      <c r="T26" s="83">
        <f t="shared" si="11"/>
        <v>0</v>
      </c>
      <c r="U26" s="9" t="str">
        <f t="shared" si="12"/>
        <v>SEM VALOR</v>
      </c>
      <c r="V26" s="1" t="str">
        <f ca="1">IF(OR($A26=0,$A26="S",$A26&gt;CFF!$A$9),"",MAX(V$12:OFFSET(V26,-1,0))+1)</f>
        <v/>
      </c>
      <c r="W26" s="4" t="str">
        <f t="shared" si="13"/>
        <v>PM BENTO-11</v>
      </c>
      <c r="X26" s="1" t="e">
        <f t="shared" ca="1" si="14"/>
        <v>#REF!</v>
      </c>
      <c r="Y26" s="103">
        <v>73.489999999999995</v>
      </c>
      <c r="Z26" s="113">
        <f ca="1">ROUND(IF(ISNUMBER(R26),R26,IF(LEFT(R26,3)="BDI",HLOOKUP(R26,DADOS!$T$37:$X$38,2,FALSE),0)),15-11*$X$5)</f>
        <v>0</v>
      </c>
      <c r="AA26" s="1"/>
    </row>
    <row r="27" spans="1:27" x14ac:dyDescent="0.2">
      <c r="A27" t="str">
        <f t="shared" si="0"/>
        <v>S</v>
      </c>
      <c r="B27">
        <f t="shared" si="1"/>
        <v>0</v>
      </c>
      <c r="C27">
        <f t="shared" ca="1" si="2"/>
        <v>1</v>
      </c>
      <c r="D27">
        <f t="shared" ca="1" si="3"/>
        <v>2</v>
      </c>
      <c r="E27">
        <f t="shared" ca="1" si="4"/>
        <v>0</v>
      </c>
      <c r="F27">
        <f t="shared" ca="1" si="5"/>
        <v>0</v>
      </c>
      <c r="G27">
        <f t="shared" ca="1" si="6"/>
        <v>5</v>
      </c>
      <c r="H27">
        <f t="shared" ca="1" si="7"/>
        <v>0</v>
      </c>
      <c r="I27">
        <f t="shared" ca="1" si="8"/>
        <v>0</v>
      </c>
      <c r="J27" s="201" t="s">
        <v>103</v>
      </c>
      <c r="K27" s="138" t="str">
        <f t="shared" ca="1" si="9"/>
        <v>1.2.5.</v>
      </c>
      <c r="L27" s="202" t="s">
        <v>270</v>
      </c>
      <c r="M27" s="202" t="s">
        <v>247</v>
      </c>
      <c r="N27" s="203" t="s">
        <v>310</v>
      </c>
      <c r="O27" s="204" t="s">
        <v>239</v>
      </c>
      <c r="P27" s="205">
        <v>1500</v>
      </c>
      <c r="Q27" s="195"/>
      <c r="R27" s="198" t="s">
        <v>7</v>
      </c>
      <c r="S27" s="103">
        <f t="shared" si="10"/>
        <v>0</v>
      </c>
      <c r="T27" s="83">
        <f t="shared" si="11"/>
        <v>0</v>
      </c>
      <c r="U27" s="9" t="str">
        <f t="shared" si="12"/>
        <v>SEM VALOR</v>
      </c>
      <c r="V27" s="1" t="str">
        <f ca="1">IF(OR($A27=0,$A27="S",$A27&gt;CFF!$A$9),"",MAX(V$12:OFFSET(V27,-1,0))+1)</f>
        <v/>
      </c>
      <c r="W27" s="4" t="str">
        <f t="shared" si="13"/>
        <v>PM BENTO-12</v>
      </c>
      <c r="X27" s="1" t="e">
        <f t="shared" ca="1" si="14"/>
        <v>#REF!</v>
      </c>
      <c r="Y27" s="103">
        <v>60.13</v>
      </c>
      <c r="Z27" s="113">
        <f ca="1">ROUND(IF(ISNUMBER(R27),R27,IF(LEFT(R27,3)="BDI",HLOOKUP(R27,DADOS!$T$37:$X$38,2,FALSE),0)),15-11*$X$5)</f>
        <v>0</v>
      </c>
      <c r="AA27" s="1"/>
    </row>
    <row r="28" spans="1:27" ht="25.5" x14ac:dyDescent="0.2">
      <c r="A28" t="str">
        <f t="shared" si="0"/>
        <v>S</v>
      </c>
      <c r="B28">
        <f t="shared" si="1"/>
        <v>0</v>
      </c>
      <c r="C28">
        <f t="shared" ca="1" si="2"/>
        <v>1</v>
      </c>
      <c r="D28">
        <f t="shared" ca="1" si="3"/>
        <v>2</v>
      </c>
      <c r="E28">
        <f t="shared" ca="1" si="4"/>
        <v>0</v>
      </c>
      <c r="F28">
        <f t="shared" ca="1" si="5"/>
        <v>0</v>
      </c>
      <c r="G28">
        <f t="shared" ca="1" si="6"/>
        <v>6</v>
      </c>
      <c r="H28">
        <f t="shared" ca="1" si="7"/>
        <v>0</v>
      </c>
      <c r="I28">
        <f t="shared" ca="1" si="8"/>
        <v>0</v>
      </c>
      <c r="J28" s="201" t="s">
        <v>103</v>
      </c>
      <c r="K28" s="138" t="str">
        <f t="shared" ca="1" si="9"/>
        <v>1.2.6.</v>
      </c>
      <c r="L28" s="202" t="s">
        <v>270</v>
      </c>
      <c r="M28" s="202" t="s">
        <v>248</v>
      </c>
      <c r="N28" s="203" t="s">
        <v>275</v>
      </c>
      <c r="O28" s="204" t="s">
        <v>239</v>
      </c>
      <c r="P28" s="205">
        <v>500</v>
      </c>
      <c r="Q28" s="195"/>
      <c r="R28" s="198" t="s">
        <v>7</v>
      </c>
      <c r="S28" s="103">
        <f t="shared" si="10"/>
        <v>0</v>
      </c>
      <c r="T28" s="83">
        <f t="shared" si="11"/>
        <v>0</v>
      </c>
      <c r="U28" s="9" t="str">
        <f t="shared" si="12"/>
        <v>SEM VALOR</v>
      </c>
      <c r="V28" s="1" t="str">
        <f ca="1">IF(OR($A28=0,$A28="S",$A28&gt;CFF!$A$9),"",MAX(V$12:OFFSET(V28,-1,0))+1)</f>
        <v/>
      </c>
      <c r="W28" s="4" t="str">
        <f t="shared" si="13"/>
        <v>PM BENTO-13</v>
      </c>
      <c r="X28" s="1" t="e">
        <f t="shared" ca="1" si="14"/>
        <v>#REF!</v>
      </c>
      <c r="Y28" s="103">
        <v>74.66</v>
      </c>
      <c r="Z28" s="113">
        <f ca="1">ROUND(IF(ISNUMBER(R28),R28,IF(LEFT(R28,3)="BDI",HLOOKUP(R28,DADOS!$T$37:$X$38,2,FALSE),0)),15-11*$X$5)</f>
        <v>0</v>
      </c>
      <c r="AA28" s="1"/>
    </row>
    <row r="29" spans="1:27" ht="25.5" x14ac:dyDescent="0.2">
      <c r="A29" t="str">
        <f t="shared" si="0"/>
        <v>S</v>
      </c>
      <c r="B29">
        <f t="shared" si="1"/>
        <v>0</v>
      </c>
      <c r="C29">
        <f t="shared" ca="1" si="2"/>
        <v>1</v>
      </c>
      <c r="D29">
        <f t="shared" ca="1" si="3"/>
        <v>2</v>
      </c>
      <c r="E29">
        <f t="shared" ca="1" si="4"/>
        <v>0</v>
      </c>
      <c r="F29">
        <f t="shared" ca="1" si="5"/>
        <v>0</v>
      </c>
      <c r="G29">
        <f t="shared" ca="1" si="6"/>
        <v>7</v>
      </c>
      <c r="H29">
        <f t="shared" ca="1" si="7"/>
        <v>0</v>
      </c>
      <c r="I29">
        <f t="shared" ca="1" si="8"/>
        <v>0</v>
      </c>
      <c r="J29" s="201" t="s">
        <v>103</v>
      </c>
      <c r="K29" s="138" t="str">
        <f t="shared" ca="1" si="9"/>
        <v>1.2.7.</v>
      </c>
      <c r="L29" s="202" t="s">
        <v>270</v>
      </c>
      <c r="M29" s="202" t="s">
        <v>249</v>
      </c>
      <c r="N29" s="203" t="s">
        <v>276</v>
      </c>
      <c r="O29" s="204" t="s">
        <v>239</v>
      </c>
      <c r="P29" s="205">
        <v>500</v>
      </c>
      <c r="Q29" s="195"/>
      <c r="R29" s="198" t="s">
        <v>7</v>
      </c>
      <c r="S29" s="103">
        <f t="shared" si="10"/>
        <v>0</v>
      </c>
      <c r="T29" s="83">
        <f t="shared" si="11"/>
        <v>0</v>
      </c>
      <c r="U29" s="9" t="str">
        <f t="shared" si="12"/>
        <v>SEM VALOR</v>
      </c>
      <c r="V29" s="1" t="str">
        <f ca="1">IF(OR($A29=0,$A29="S",$A29&gt;CFF!$A$9),"",MAX(V$12:OFFSET(V29,-1,0))+1)</f>
        <v/>
      </c>
      <c r="W29" s="4" t="str">
        <f t="shared" si="13"/>
        <v>PM BENTO-14</v>
      </c>
      <c r="X29" s="1" t="e">
        <f t="shared" ca="1" si="14"/>
        <v>#REF!</v>
      </c>
      <c r="Y29" s="103">
        <v>69.13</v>
      </c>
      <c r="Z29" s="113">
        <f ca="1">ROUND(IF(ISNUMBER(R29),R29,IF(LEFT(R29,3)="BDI",HLOOKUP(R29,DADOS!$T$37:$X$38,2,FALSE),0)),15-11*$X$5)</f>
        <v>0</v>
      </c>
      <c r="AA29" s="1"/>
    </row>
    <row r="30" spans="1:27" x14ac:dyDescent="0.2">
      <c r="A30">
        <f>CHOOSE(1+LOG(1+2*(J30="Meta")+4*(J30="Nível 2")+8*(J30="Nível 3")+16*(J30="Nível 4")+32*(J30="Serviço"),2),0,1,2,3,4,"S")</f>
        <v>2</v>
      </c>
      <c r="B30">
        <f ca="1">IF(OR(A30="S",A30=0),0,IF(ISERROR(I30),H30,SMALL(H30:I30,1)))</f>
        <v>6</v>
      </c>
      <c r="C30">
        <f ca="1">IF($A30=1,OFFSET(C30,-1,0)+1,OFFSET(C30,-1,0))</f>
        <v>1</v>
      </c>
      <c r="D30">
        <f ca="1">IF($A30=1,0,IF($A30=2,OFFSET(D30,-1,0)+1,OFFSET(D30,-1,0)))</f>
        <v>3</v>
      </c>
      <c r="E30">
        <f ca="1">IF(AND($A30&lt;=2,$A30&lt;&gt;0),0,IF($A30=3,OFFSET(E30,-1,0)+1,OFFSET(E30,-1,0)))</f>
        <v>0</v>
      </c>
      <c r="F30">
        <f ca="1">IF(AND($A30&lt;=3,$A30&lt;&gt;0),0,IF($A30=4,OFFSET(F30,-1,0)+1,OFFSET(F30,-1,0)))</f>
        <v>0</v>
      </c>
      <c r="G30">
        <f ca="1">IF(AND($A30&lt;=4,$A30&lt;&gt;0),0,IF($A30="S",OFFSET(G30,-1,0)+1,OFFSET(G30,-1,0)))</f>
        <v>0</v>
      </c>
      <c r="H30">
        <f t="shared" ca="1" si="7"/>
        <v>24</v>
      </c>
      <c r="I30">
        <f t="shared" ca="1" si="8"/>
        <v>6</v>
      </c>
      <c r="J30" s="201" t="s">
        <v>100</v>
      </c>
      <c r="K30" s="138" t="str">
        <f ca="1">IF($A30=0,"-",CONCATENATE(C30&amp;".",IF(AND($A$5&gt;=2,$A30&gt;=2),D30&amp;".",""),IF(AND($A$5&gt;=3,$A30&gt;=3),E30&amp;".",""),IF(AND($A$5&gt;=4,$A30&gt;=4),F30&amp;".",""),IF($A30="S",G30&amp;".","")))</f>
        <v>1.3.</v>
      </c>
      <c r="L30" s="202"/>
      <c r="M30" s="202"/>
      <c r="N30" s="203" t="s">
        <v>295</v>
      </c>
      <c r="O30" s="204" t="s">
        <v>106</v>
      </c>
      <c r="P30" s="205"/>
      <c r="Q30" s="195"/>
      <c r="R30" s="198" t="s">
        <v>7</v>
      </c>
      <c r="S30" s="103">
        <f>IF($A30="S",IF($Q$10="Preço Unitário (R$)",PO.CustoUnitario,ROUND(PO.CustoUnitario*(1+$Z30),15-13*$X$6)),0)</f>
        <v>0</v>
      </c>
      <c r="T30" s="83">
        <f ca="1">IF($A30="S",VTOTAL1,IF($A30=0,0,ROUND(SomaAgrup,15-13*$X$7)))</f>
        <v>0</v>
      </c>
      <c r="U30" s="9" t="str">
        <f ca="1">IF($J30="","",IF($N30="","DESCRIÇÃO",IF(AND($J30="Serviço",$O30=""),"UNIDADE",IF($T30&lt;=0,"SEM VALOR",IF(AND($Y30&lt;&gt;"",$Q30&gt;$Y30),"ACIMA REF.","")))))</f>
        <v>SEM VALOR</v>
      </c>
      <c r="V30" s="1">
        <f ca="1">IF(OR($A30=0,$A30="S",$A30&gt;CFF!$A$9),"",MAX(V$12:OFFSET(V30,-1,0))+1)</f>
        <v>4</v>
      </c>
      <c r="W30" s="4" t="b">
        <f>IF(AND($J30="Serviço",$M30&lt;&gt;""),IF($L30="",$M30,CONCATENATE($L30,"-",$M30)))</f>
        <v>0</v>
      </c>
      <c r="X30" s="1" t="str">
        <f ca="1">IF(AND(Fonte&lt;&gt;"",Código&lt;&gt;""),MATCH(Fonte&amp;" "&amp;IF(Fonte="sinapi",SUBSTITUTE(SUBSTITUTE(Código,"/00","/"),"/0","/"),Código),INDIRECT("'[Referência "&amp;_xlnm.Database&amp;".xls]Banco'!$a:$a"),0),"X")</f>
        <v>X</v>
      </c>
      <c r="Y30" s="103">
        <v>0</v>
      </c>
      <c r="Z30" s="113">
        <f ca="1">ROUND(IF(ISNUMBER(R30),R30,IF(LEFT(R30,3)="BDI",HLOOKUP(R30,DADOS!$T$37:$X$38,2,FALSE),0)),15-11*$X$5)</f>
        <v>0</v>
      </c>
      <c r="AA30" s="1"/>
    </row>
    <row r="31" spans="1:27" x14ac:dyDescent="0.2">
      <c r="A31" t="str">
        <f t="shared" si="0"/>
        <v>S</v>
      </c>
      <c r="B31">
        <f t="shared" si="1"/>
        <v>0</v>
      </c>
      <c r="C31">
        <f t="shared" ca="1" si="2"/>
        <v>1</v>
      </c>
      <c r="D31">
        <f t="shared" ca="1" si="3"/>
        <v>3</v>
      </c>
      <c r="E31">
        <f t="shared" ca="1" si="4"/>
        <v>0</v>
      </c>
      <c r="F31">
        <f t="shared" ca="1" si="5"/>
        <v>0</v>
      </c>
      <c r="G31">
        <f t="shared" ca="1" si="6"/>
        <v>1</v>
      </c>
      <c r="H31">
        <f t="shared" ca="1" si="7"/>
        <v>0</v>
      </c>
      <c r="I31">
        <f t="shared" ca="1" si="8"/>
        <v>0</v>
      </c>
      <c r="J31" s="201" t="s">
        <v>103</v>
      </c>
      <c r="K31" s="138" t="str">
        <f t="shared" ca="1" si="9"/>
        <v>1.3.1.</v>
      </c>
      <c r="L31" s="202" t="s">
        <v>241</v>
      </c>
      <c r="M31" s="202" t="s">
        <v>250</v>
      </c>
      <c r="N31" s="203" t="s">
        <v>277</v>
      </c>
      <c r="O31" s="204" t="s">
        <v>239</v>
      </c>
      <c r="P31" s="205">
        <f>2200*0.9</f>
        <v>1980</v>
      </c>
      <c r="Q31" s="195"/>
      <c r="R31" s="198" t="s">
        <v>7</v>
      </c>
      <c r="S31" s="103">
        <f t="shared" si="10"/>
        <v>0</v>
      </c>
      <c r="T31" s="83">
        <f t="shared" si="11"/>
        <v>0</v>
      </c>
      <c r="U31" s="9" t="str">
        <f t="shared" si="12"/>
        <v>SEM VALOR</v>
      </c>
      <c r="V31" s="1" t="str">
        <f ca="1">IF(OR($A31=0,$A31="S",$A31&gt;CFF!$A$9),"",MAX(V$12:OFFSET(V31,-1,0))+1)</f>
        <v/>
      </c>
      <c r="W31" s="4" t="str">
        <f t="shared" si="13"/>
        <v>PM BENTO -15</v>
      </c>
      <c r="X31" s="1" t="e">
        <f t="shared" ca="1" si="14"/>
        <v>#REF!</v>
      </c>
      <c r="Y31" s="103">
        <v>110.63</v>
      </c>
      <c r="Z31" s="113">
        <f ca="1">ROUND(IF(ISNUMBER(R31),R31,IF(LEFT(R31,3)="BDI",HLOOKUP(R31,DADOS!$T$37:$X$38,2,FALSE),0)),15-11*$X$5)</f>
        <v>0</v>
      </c>
      <c r="AA31" s="1"/>
    </row>
    <row r="32" spans="1:27" x14ac:dyDescent="0.2">
      <c r="A32" t="str">
        <f t="shared" si="0"/>
        <v>S</v>
      </c>
      <c r="B32">
        <f t="shared" si="1"/>
        <v>0</v>
      </c>
      <c r="C32">
        <f t="shared" ca="1" si="2"/>
        <v>1</v>
      </c>
      <c r="D32">
        <f t="shared" ca="1" si="3"/>
        <v>3</v>
      </c>
      <c r="E32">
        <f t="shared" ca="1" si="4"/>
        <v>0</v>
      </c>
      <c r="F32">
        <f t="shared" ca="1" si="5"/>
        <v>0</v>
      </c>
      <c r="G32">
        <f t="shared" ca="1" si="6"/>
        <v>2</v>
      </c>
      <c r="H32">
        <f t="shared" ca="1" si="7"/>
        <v>0</v>
      </c>
      <c r="I32">
        <f t="shared" ca="1" si="8"/>
        <v>0</v>
      </c>
      <c r="J32" s="201" t="s">
        <v>103</v>
      </c>
      <c r="K32" s="138" t="str">
        <f t="shared" ca="1" si="9"/>
        <v>1.3.2.</v>
      </c>
      <c r="L32" s="202" t="s">
        <v>241</v>
      </c>
      <c r="M32" s="202" t="s">
        <v>251</v>
      </c>
      <c r="N32" s="203" t="s">
        <v>278</v>
      </c>
      <c r="O32" s="204" t="s">
        <v>239</v>
      </c>
      <c r="P32" s="205">
        <v>700</v>
      </c>
      <c r="Q32" s="195"/>
      <c r="R32" s="198" t="s">
        <v>7</v>
      </c>
      <c r="S32" s="103">
        <f t="shared" si="10"/>
        <v>0</v>
      </c>
      <c r="T32" s="83">
        <f t="shared" si="11"/>
        <v>0</v>
      </c>
      <c r="U32" s="9" t="str">
        <f t="shared" si="12"/>
        <v>SEM VALOR</v>
      </c>
      <c r="V32" s="1" t="str">
        <f ca="1">IF(OR($A32=0,$A32="S",$A32&gt;CFF!$A$9),"",MAX(V$12:OFFSET(V32,-1,0))+1)</f>
        <v/>
      </c>
      <c r="W32" s="4" t="str">
        <f t="shared" si="13"/>
        <v>PM BENTO -16</v>
      </c>
      <c r="X32" s="1" t="e">
        <f t="shared" ca="1" si="14"/>
        <v>#REF!</v>
      </c>
      <c r="Y32" s="103">
        <v>113.25</v>
      </c>
      <c r="Z32" s="113">
        <f ca="1">ROUND(IF(ISNUMBER(R32),R32,IF(LEFT(R32,3)="BDI",HLOOKUP(R32,DADOS!$T$37:$X$38,2,FALSE),0)),15-11*$X$5)</f>
        <v>0</v>
      </c>
      <c r="AA32" s="1"/>
    </row>
    <row r="33" spans="1:27" x14ac:dyDescent="0.2">
      <c r="A33" t="str">
        <f t="shared" si="0"/>
        <v>S</v>
      </c>
      <c r="B33">
        <f t="shared" si="1"/>
        <v>0</v>
      </c>
      <c r="C33">
        <f t="shared" ca="1" si="2"/>
        <v>1</v>
      </c>
      <c r="D33">
        <f t="shared" ca="1" si="3"/>
        <v>3</v>
      </c>
      <c r="E33">
        <f t="shared" ca="1" si="4"/>
        <v>0</v>
      </c>
      <c r="F33">
        <f t="shared" ca="1" si="5"/>
        <v>0</v>
      </c>
      <c r="G33">
        <f t="shared" ca="1" si="6"/>
        <v>3</v>
      </c>
      <c r="H33">
        <f t="shared" ca="1" si="7"/>
        <v>0</v>
      </c>
      <c r="I33">
        <f t="shared" ca="1" si="8"/>
        <v>0</v>
      </c>
      <c r="J33" s="201" t="s">
        <v>103</v>
      </c>
      <c r="K33" s="138" t="str">
        <f t="shared" ca="1" si="9"/>
        <v>1.3.3.</v>
      </c>
      <c r="L33" s="202" t="s">
        <v>270</v>
      </c>
      <c r="M33" s="202" t="s">
        <v>252</v>
      </c>
      <c r="N33" s="203" t="s">
        <v>279</v>
      </c>
      <c r="O33" s="204" t="s">
        <v>239</v>
      </c>
      <c r="P33" s="205">
        <v>500</v>
      </c>
      <c r="Q33" s="195"/>
      <c r="R33" s="198" t="s">
        <v>7</v>
      </c>
      <c r="S33" s="103">
        <f t="shared" si="10"/>
        <v>0</v>
      </c>
      <c r="T33" s="83">
        <f t="shared" si="11"/>
        <v>0</v>
      </c>
      <c r="U33" s="9" t="str">
        <f t="shared" si="12"/>
        <v>SEM VALOR</v>
      </c>
      <c r="V33" s="1" t="str">
        <f ca="1">IF(OR($A33=0,$A33="S",$A33&gt;CFF!$A$9),"",MAX(V$12:OFFSET(V33,-1,0))+1)</f>
        <v/>
      </c>
      <c r="W33" s="4" t="str">
        <f t="shared" si="13"/>
        <v>PM BENTO-17</v>
      </c>
      <c r="X33" s="1" t="e">
        <f t="shared" ca="1" si="14"/>
        <v>#REF!</v>
      </c>
      <c r="Y33" s="103">
        <v>107.53</v>
      </c>
      <c r="Z33" s="113">
        <f ca="1">ROUND(IF(ISNUMBER(R33),R33,IF(LEFT(R33,3)="BDI",HLOOKUP(R33,DADOS!$T$37:$X$38,2,FALSE),0)),15-11*$X$5)</f>
        <v>0</v>
      </c>
      <c r="AA33" s="1"/>
    </row>
    <row r="34" spans="1:27" x14ac:dyDescent="0.2">
      <c r="A34" t="str">
        <f t="shared" si="0"/>
        <v>S</v>
      </c>
      <c r="B34">
        <f t="shared" si="1"/>
        <v>0</v>
      </c>
      <c r="C34">
        <f t="shared" ca="1" si="2"/>
        <v>1</v>
      </c>
      <c r="D34">
        <f t="shared" ca="1" si="3"/>
        <v>3</v>
      </c>
      <c r="E34">
        <f t="shared" ca="1" si="4"/>
        <v>0</v>
      </c>
      <c r="F34">
        <f t="shared" ca="1" si="5"/>
        <v>0</v>
      </c>
      <c r="G34">
        <f t="shared" ca="1" si="6"/>
        <v>4</v>
      </c>
      <c r="H34">
        <f t="shared" ca="1" si="7"/>
        <v>0</v>
      </c>
      <c r="I34">
        <f t="shared" ca="1" si="8"/>
        <v>0</v>
      </c>
      <c r="J34" s="201" t="s">
        <v>103</v>
      </c>
      <c r="K34" s="138" t="str">
        <f t="shared" ca="1" si="9"/>
        <v>1.3.4.</v>
      </c>
      <c r="L34" s="202" t="s">
        <v>270</v>
      </c>
      <c r="M34" s="202" t="s">
        <v>253</v>
      </c>
      <c r="N34" s="203" t="s">
        <v>280</v>
      </c>
      <c r="O34" s="204" t="s">
        <v>239</v>
      </c>
      <c r="P34" s="205">
        <v>700</v>
      </c>
      <c r="Q34" s="195"/>
      <c r="R34" s="198" t="s">
        <v>7</v>
      </c>
      <c r="S34" s="103">
        <f t="shared" si="10"/>
        <v>0</v>
      </c>
      <c r="T34" s="83">
        <f t="shared" si="11"/>
        <v>0</v>
      </c>
      <c r="U34" s="9" t="str">
        <f t="shared" si="12"/>
        <v>SEM VALOR</v>
      </c>
      <c r="V34" s="1" t="str">
        <f ca="1">IF(OR($A34=0,$A34="S",$A34&gt;CFF!$A$9),"",MAX(V$12:OFFSET(V34,-1,0))+1)</f>
        <v/>
      </c>
      <c r="W34" s="4" t="str">
        <f t="shared" si="13"/>
        <v>PM BENTO-18</v>
      </c>
      <c r="X34" s="1" t="e">
        <f t="shared" ca="1" si="14"/>
        <v>#REF!</v>
      </c>
      <c r="Y34" s="103">
        <v>121.67</v>
      </c>
      <c r="Z34" s="113">
        <f ca="1">ROUND(IF(ISNUMBER(R34),R34,IF(LEFT(R34,3)="BDI",HLOOKUP(R34,DADOS!$T$37:$X$38,2,FALSE),0)),15-11*$X$5)</f>
        <v>0</v>
      </c>
      <c r="AA34" s="1"/>
    </row>
    <row r="35" spans="1:27" x14ac:dyDescent="0.2">
      <c r="A35" t="str">
        <f t="shared" si="0"/>
        <v>S</v>
      </c>
      <c r="B35">
        <f t="shared" si="1"/>
        <v>0</v>
      </c>
      <c r="C35">
        <f t="shared" ca="1" si="2"/>
        <v>1</v>
      </c>
      <c r="D35">
        <f t="shared" ca="1" si="3"/>
        <v>3</v>
      </c>
      <c r="E35">
        <f t="shared" ca="1" si="4"/>
        <v>0</v>
      </c>
      <c r="F35">
        <f t="shared" ca="1" si="5"/>
        <v>0</v>
      </c>
      <c r="G35">
        <f t="shared" ca="1" si="6"/>
        <v>5</v>
      </c>
      <c r="H35">
        <f t="shared" ca="1" si="7"/>
        <v>0</v>
      </c>
      <c r="I35">
        <f t="shared" ca="1" si="8"/>
        <v>0</v>
      </c>
      <c r="J35" s="201" t="s">
        <v>103</v>
      </c>
      <c r="K35" s="138" t="str">
        <f t="shared" ca="1" si="9"/>
        <v>1.3.5.</v>
      </c>
      <c r="L35" s="202" t="s">
        <v>270</v>
      </c>
      <c r="M35" s="202" t="s">
        <v>254</v>
      </c>
      <c r="N35" s="203" t="s">
        <v>302</v>
      </c>
      <c r="O35" s="204" t="s">
        <v>239</v>
      </c>
      <c r="P35" s="205">
        <v>700</v>
      </c>
      <c r="Q35" s="195"/>
      <c r="R35" s="198" t="s">
        <v>7</v>
      </c>
      <c r="S35" s="103">
        <f t="shared" si="10"/>
        <v>0</v>
      </c>
      <c r="T35" s="83">
        <f t="shared" si="11"/>
        <v>0</v>
      </c>
      <c r="U35" s="9" t="str">
        <f t="shared" si="12"/>
        <v>SEM VALOR</v>
      </c>
      <c r="V35" s="1" t="str">
        <f ca="1">IF(OR($A35=0,$A35="S",$A35&gt;CFF!$A$9),"",MAX(V$12:OFFSET(V35,-1,0))+1)</f>
        <v/>
      </c>
      <c r="W35" s="4" t="str">
        <f t="shared" si="13"/>
        <v>PM BENTO-19</v>
      </c>
      <c r="X35" s="1" t="e">
        <f t="shared" ca="1" si="14"/>
        <v>#REF!</v>
      </c>
      <c r="Y35" s="103">
        <v>108.31</v>
      </c>
      <c r="Z35" s="113">
        <f ca="1">ROUND(IF(ISNUMBER(R35),R35,IF(LEFT(R35,3)="BDI",HLOOKUP(R35,DADOS!$T$37:$X$38,2,FALSE),0)),15-11*$X$5)</f>
        <v>0</v>
      </c>
      <c r="AA35" s="1"/>
    </row>
    <row r="36" spans="1:27" x14ac:dyDescent="0.2">
      <c r="A36">
        <f>CHOOSE(1+LOG(1+2*(J36="Meta")+4*(J36="Nível 2")+8*(J36="Nível 3")+16*(J36="Nível 4")+32*(J36="Serviço"),2),0,1,2,3,4,"S")</f>
        <v>2</v>
      </c>
      <c r="B36">
        <f ca="1">IF(OR(A36="S",A36=0),0,IF(ISERROR(I36),H36,SMALL(H36:I36,1)))</f>
        <v>6</v>
      </c>
      <c r="C36">
        <f ca="1">IF($A36=1,OFFSET(C36,-1,0)+1,OFFSET(C36,-1,0))</f>
        <v>1</v>
      </c>
      <c r="D36">
        <f ca="1">IF($A36=1,0,IF($A36=2,OFFSET(D36,-1,0)+1,OFFSET(D36,-1,0)))</f>
        <v>4</v>
      </c>
      <c r="E36">
        <f ca="1">IF(AND($A36&lt;=2,$A36&lt;&gt;0),0,IF($A36=3,OFFSET(E36,-1,0)+1,OFFSET(E36,-1,0)))</f>
        <v>0</v>
      </c>
      <c r="F36">
        <f ca="1">IF(AND($A36&lt;=3,$A36&lt;&gt;0),0,IF($A36=4,OFFSET(F36,-1,0)+1,OFFSET(F36,-1,0)))</f>
        <v>0</v>
      </c>
      <c r="G36">
        <f ca="1">IF(AND($A36&lt;=4,$A36&lt;&gt;0),0,IF($A36="S",OFFSET(G36,-1,0)+1,OFFSET(G36,-1,0)))</f>
        <v>0</v>
      </c>
      <c r="H36">
        <f t="shared" ca="1" si="7"/>
        <v>18</v>
      </c>
      <c r="I36">
        <f t="shared" ca="1" si="8"/>
        <v>6</v>
      </c>
      <c r="J36" s="201" t="s">
        <v>100</v>
      </c>
      <c r="K36" s="138" t="str">
        <f ca="1">IF($A36=0,"-",CONCATENATE(C36&amp;".",IF(AND($A$5&gt;=2,$A36&gt;=2),D36&amp;".",""),IF(AND($A$5&gt;=3,$A36&gt;=3),E36&amp;".",""),IF(AND($A$5&gt;=4,$A36&gt;=4),F36&amp;".",""),IF($A36="S",G36&amp;".","")))</f>
        <v>1.4.</v>
      </c>
      <c r="L36" s="202"/>
      <c r="M36" s="202"/>
      <c r="N36" s="203" t="s">
        <v>296</v>
      </c>
      <c r="O36" s="204" t="s">
        <v>106</v>
      </c>
      <c r="P36" s="205"/>
      <c r="Q36" s="195"/>
      <c r="R36" s="198" t="s">
        <v>7</v>
      </c>
      <c r="S36" s="103">
        <f>IF($A36="S",IF($Q$10="Preço Unitário (R$)",PO.CustoUnitario,ROUND(PO.CustoUnitario*(1+$Z36),15-13*$X$6)),0)</f>
        <v>0</v>
      </c>
      <c r="T36" s="83">
        <f ca="1">IF($A36="S",VTOTAL1,IF($A36=0,0,ROUND(SomaAgrup,15-13*$X$7)))</f>
        <v>0</v>
      </c>
      <c r="U36" s="9" t="str">
        <f ca="1">IF($J36="","",IF($N36="","DESCRIÇÃO",IF(AND($J36="Serviço",$O36=""),"UNIDADE",IF($T36&lt;=0,"SEM VALOR",IF(AND($Y36&lt;&gt;"",$Q36&gt;$Y36),"ACIMA REF.","")))))</f>
        <v>SEM VALOR</v>
      </c>
      <c r="V36" s="1">
        <f ca="1">IF(OR($A36=0,$A36="S",$A36&gt;CFF!$A$9),"",MAX(V$12:OFFSET(V36,-1,0))+1)</f>
        <v>5</v>
      </c>
      <c r="W36" s="4" t="b">
        <f>IF(AND($J36="Serviço",$M36&lt;&gt;""),IF($L36="",$M36,CONCATENATE($L36,"-",$M36)))</f>
        <v>0</v>
      </c>
      <c r="X36" s="1" t="str">
        <f ca="1">IF(AND(Fonte&lt;&gt;"",Código&lt;&gt;""),MATCH(Fonte&amp;" "&amp;IF(Fonte="sinapi",SUBSTITUTE(SUBSTITUTE(Código,"/00","/"),"/0","/"),Código),INDIRECT("'[Referência "&amp;_xlnm.Database&amp;".xls]Banco'!$a:$a"),0),"X")</f>
        <v>X</v>
      </c>
      <c r="Y36" s="103">
        <v>0</v>
      </c>
      <c r="Z36" s="113">
        <f ca="1">ROUND(IF(ISNUMBER(R36),R36,IF(LEFT(R36,3)="BDI",HLOOKUP(R36,DADOS!$T$37:$X$38,2,FALSE),0)),15-11*$X$5)</f>
        <v>0</v>
      </c>
      <c r="AA36" s="1"/>
    </row>
    <row r="37" spans="1:27" x14ac:dyDescent="0.2">
      <c r="A37" t="str">
        <f t="shared" si="0"/>
        <v>S</v>
      </c>
      <c r="B37">
        <f t="shared" si="1"/>
        <v>0</v>
      </c>
      <c r="C37">
        <f t="shared" ca="1" si="2"/>
        <v>1</v>
      </c>
      <c r="D37">
        <f t="shared" ca="1" si="3"/>
        <v>4</v>
      </c>
      <c r="E37">
        <f t="shared" ca="1" si="4"/>
        <v>0</v>
      </c>
      <c r="F37">
        <f t="shared" ca="1" si="5"/>
        <v>0</v>
      </c>
      <c r="G37">
        <f t="shared" ca="1" si="6"/>
        <v>1</v>
      </c>
      <c r="H37">
        <f t="shared" ca="1" si="7"/>
        <v>0</v>
      </c>
      <c r="I37">
        <f t="shared" ca="1" si="8"/>
        <v>0</v>
      </c>
      <c r="J37" s="201" t="s">
        <v>103</v>
      </c>
      <c r="K37" s="138" t="str">
        <f t="shared" ca="1" si="9"/>
        <v>1.4.1.</v>
      </c>
      <c r="L37" s="202" t="s">
        <v>270</v>
      </c>
      <c r="M37" s="202" t="s">
        <v>255</v>
      </c>
      <c r="N37" s="203" t="s">
        <v>282</v>
      </c>
      <c r="O37" s="204" t="s">
        <v>239</v>
      </c>
      <c r="P37" s="205">
        <f>2200*0.9</f>
        <v>1980</v>
      </c>
      <c r="Q37" s="195"/>
      <c r="R37" s="198" t="s">
        <v>7</v>
      </c>
      <c r="S37" s="103">
        <f t="shared" si="10"/>
        <v>0</v>
      </c>
      <c r="T37" s="83">
        <f t="shared" si="11"/>
        <v>0</v>
      </c>
      <c r="U37" s="9" t="str">
        <f t="shared" si="12"/>
        <v>SEM VALOR</v>
      </c>
      <c r="V37" s="1" t="str">
        <f ca="1">IF(OR($A37=0,$A37="S",$A37&gt;CFF!$A$9),"",MAX(V$12:OFFSET(V37,-1,0))+1)</f>
        <v/>
      </c>
      <c r="W37" s="4" t="str">
        <f t="shared" si="13"/>
        <v>PM BENTO-20</v>
      </c>
      <c r="X37" s="1" t="e">
        <f t="shared" ca="1" si="14"/>
        <v>#REF!</v>
      </c>
      <c r="Y37" s="103">
        <v>110.12</v>
      </c>
      <c r="Z37" s="113">
        <f ca="1">ROUND(IF(ISNUMBER(R37),R37,IF(LEFT(R37,3)="BDI",HLOOKUP(R37,DADOS!$T$37:$X$38,2,FALSE),0)),15-11*$X$5)</f>
        <v>0</v>
      </c>
      <c r="AA37" s="1"/>
    </row>
    <row r="38" spans="1:27" x14ac:dyDescent="0.2">
      <c r="A38" t="str">
        <f t="shared" si="0"/>
        <v>S</v>
      </c>
      <c r="B38">
        <f t="shared" si="1"/>
        <v>0</v>
      </c>
      <c r="C38">
        <f t="shared" ca="1" si="2"/>
        <v>1</v>
      </c>
      <c r="D38">
        <f t="shared" ca="1" si="3"/>
        <v>4</v>
      </c>
      <c r="E38">
        <f t="shared" ca="1" si="4"/>
        <v>0</v>
      </c>
      <c r="F38">
        <f t="shared" ca="1" si="5"/>
        <v>0</v>
      </c>
      <c r="G38">
        <f t="shared" ca="1" si="6"/>
        <v>2</v>
      </c>
      <c r="H38">
        <f t="shared" ca="1" si="7"/>
        <v>0</v>
      </c>
      <c r="I38">
        <f t="shared" ca="1" si="8"/>
        <v>0</v>
      </c>
      <c r="J38" s="201" t="s">
        <v>103</v>
      </c>
      <c r="K38" s="138" t="str">
        <f t="shared" ca="1" si="9"/>
        <v>1.4.2.</v>
      </c>
      <c r="L38" s="202" t="s">
        <v>270</v>
      </c>
      <c r="M38" s="202" t="s">
        <v>256</v>
      </c>
      <c r="N38" s="203" t="s">
        <v>283</v>
      </c>
      <c r="O38" s="204" t="s">
        <v>239</v>
      </c>
      <c r="P38" s="205">
        <v>700</v>
      </c>
      <c r="Q38" s="195"/>
      <c r="R38" s="198" t="s">
        <v>7</v>
      </c>
      <c r="S38" s="103">
        <f t="shared" si="10"/>
        <v>0</v>
      </c>
      <c r="T38" s="83">
        <f t="shared" si="11"/>
        <v>0</v>
      </c>
      <c r="U38" s="9" t="str">
        <f t="shared" si="12"/>
        <v>SEM VALOR</v>
      </c>
      <c r="V38" s="1" t="str">
        <f ca="1">IF(OR($A38=0,$A38="S",$A38&gt;CFF!$A$9),"",MAX(V$12:OFFSET(V38,-1,0))+1)</f>
        <v/>
      </c>
      <c r="W38" s="4" t="str">
        <f t="shared" si="13"/>
        <v>PM BENTO-21</v>
      </c>
      <c r="X38" s="1" t="e">
        <f t="shared" ca="1" si="14"/>
        <v>#REF!</v>
      </c>
      <c r="Y38" s="103">
        <v>112.73</v>
      </c>
      <c r="Z38" s="113">
        <f ca="1">ROUND(IF(ISNUMBER(R38),R38,IF(LEFT(R38,3)="BDI",HLOOKUP(R38,DADOS!$T$37:$X$38,2,FALSE),0)),15-11*$X$5)</f>
        <v>0</v>
      </c>
      <c r="AA38" s="1"/>
    </row>
    <row r="39" spans="1:27" x14ac:dyDescent="0.2">
      <c r="A39" t="str">
        <f t="shared" si="0"/>
        <v>S</v>
      </c>
      <c r="B39">
        <f t="shared" si="1"/>
        <v>0</v>
      </c>
      <c r="C39">
        <f t="shared" ca="1" si="2"/>
        <v>1</v>
      </c>
      <c r="D39">
        <f t="shared" ca="1" si="3"/>
        <v>4</v>
      </c>
      <c r="E39">
        <f t="shared" ca="1" si="4"/>
        <v>0</v>
      </c>
      <c r="F39">
        <f t="shared" ca="1" si="5"/>
        <v>0</v>
      </c>
      <c r="G39">
        <f t="shared" ca="1" si="6"/>
        <v>3</v>
      </c>
      <c r="H39">
        <f t="shared" ca="1" si="7"/>
        <v>0</v>
      </c>
      <c r="I39">
        <f t="shared" ca="1" si="8"/>
        <v>0</v>
      </c>
      <c r="J39" s="201" t="s">
        <v>103</v>
      </c>
      <c r="K39" s="138" t="str">
        <f t="shared" ca="1" si="9"/>
        <v>1.4.3.</v>
      </c>
      <c r="L39" s="202" t="s">
        <v>270</v>
      </c>
      <c r="M39" s="202" t="s">
        <v>257</v>
      </c>
      <c r="N39" s="203" t="s">
        <v>284</v>
      </c>
      <c r="O39" s="204" t="s">
        <v>239</v>
      </c>
      <c r="P39" s="205">
        <v>500</v>
      </c>
      <c r="Q39" s="195"/>
      <c r="R39" s="198" t="s">
        <v>7</v>
      </c>
      <c r="S39" s="103">
        <f t="shared" si="10"/>
        <v>0</v>
      </c>
      <c r="T39" s="83">
        <f t="shared" si="11"/>
        <v>0</v>
      </c>
      <c r="U39" s="9" t="str">
        <f t="shared" si="12"/>
        <v>SEM VALOR</v>
      </c>
      <c r="V39" s="1" t="str">
        <f ca="1">IF(OR($A39=0,$A39="S",$A39&gt;CFF!$A$9),"",MAX(V$12:OFFSET(V39,-1,0))+1)</f>
        <v/>
      </c>
      <c r="W39" s="4" t="str">
        <f t="shared" si="13"/>
        <v>PM BENTO-22</v>
      </c>
      <c r="X39" s="1" t="e">
        <f t="shared" ca="1" si="14"/>
        <v>#REF!</v>
      </c>
      <c r="Y39" s="103">
        <v>107.02</v>
      </c>
      <c r="Z39" s="113">
        <f ca="1">ROUND(IF(ISNUMBER(R39),R39,IF(LEFT(R39,3)="BDI",HLOOKUP(R39,DADOS!$T$37:$X$38,2,FALSE),0)),15-11*$X$5)</f>
        <v>0</v>
      </c>
      <c r="AA39" s="1"/>
    </row>
    <row r="40" spans="1:27" x14ac:dyDescent="0.2">
      <c r="A40" t="str">
        <f t="shared" si="0"/>
        <v>S</v>
      </c>
      <c r="B40">
        <f t="shared" si="1"/>
        <v>0</v>
      </c>
      <c r="C40">
        <f t="shared" ca="1" si="2"/>
        <v>1</v>
      </c>
      <c r="D40">
        <f t="shared" ca="1" si="3"/>
        <v>4</v>
      </c>
      <c r="E40">
        <f t="shared" ca="1" si="4"/>
        <v>0</v>
      </c>
      <c r="F40">
        <f t="shared" ca="1" si="5"/>
        <v>0</v>
      </c>
      <c r="G40">
        <f t="shared" ca="1" si="6"/>
        <v>4</v>
      </c>
      <c r="H40">
        <f t="shared" ca="1" si="7"/>
        <v>0</v>
      </c>
      <c r="I40">
        <f t="shared" ca="1" si="8"/>
        <v>0</v>
      </c>
      <c r="J40" s="201" t="s">
        <v>103</v>
      </c>
      <c r="K40" s="138" t="str">
        <f t="shared" ca="1" si="9"/>
        <v>1.4.4.</v>
      </c>
      <c r="L40" s="202" t="s">
        <v>270</v>
      </c>
      <c r="M40" s="202" t="s">
        <v>258</v>
      </c>
      <c r="N40" s="203" t="s">
        <v>285</v>
      </c>
      <c r="O40" s="204" t="s">
        <v>239</v>
      </c>
      <c r="P40" s="205">
        <v>700</v>
      </c>
      <c r="Q40" s="195"/>
      <c r="R40" s="198" t="s">
        <v>7</v>
      </c>
      <c r="S40" s="103">
        <f t="shared" si="10"/>
        <v>0</v>
      </c>
      <c r="T40" s="83">
        <f t="shared" si="11"/>
        <v>0</v>
      </c>
      <c r="U40" s="9" t="str">
        <f t="shared" si="12"/>
        <v>SEM VALOR</v>
      </c>
      <c r="V40" s="1" t="str">
        <f ca="1">IF(OR($A40=0,$A40="S",$A40&gt;CFF!$A$9),"",MAX(V$12:OFFSET(V40,-1,0))+1)</f>
        <v/>
      </c>
      <c r="W40" s="4" t="str">
        <f t="shared" si="13"/>
        <v>PM BENTO-23</v>
      </c>
      <c r="X40" s="1" t="e">
        <f t="shared" ca="1" si="14"/>
        <v>#REF!</v>
      </c>
      <c r="Y40" s="103">
        <v>121.16</v>
      </c>
      <c r="Z40" s="113">
        <f ca="1">ROUND(IF(ISNUMBER(R40),R40,IF(LEFT(R40,3)="BDI",HLOOKUP(R40,DADOS!$T$37:$X$38,2,FALSE),0)),15-11*$X$5)</f>
        <v>0</v>
      </c>
      <c r="AA40" s="1"/>
    </row>
    <row r="41" spans="1:27" x14ac:dyDescent="0.2">
      <c r="A41" t="str">
        <f t="shared" si="0"/>
        <v>S</v>
      </c>
      <c r="B41">
        <f t="shared" si="1"/>
        <v>0</v>
      </c>
      <c r="C41">
        <f t="shared" ca="1" si="2"/>
        <v>1</v>
      </c>
      <c r="D41">
        <f t="shared" ca="1" si="3"/>
        <v>4</v>
      </c>
      <c r="E41">
        <f t="shared" ca="1" si="4"/>
        <v>0</v>
      </c>
      <c r="F41">
        <f t="shared" ca="1" si="5"/>
        <v>0</v>
      </c>
      <c r="G41">
        <f t="shared" ca="1" si="6"/>
        <v>5</v>
      </c>
      <c r="H41">
        <f t="shared" ca="1" si="7"/>
        <v>0</v>
      </c>
      <c r="I41">
        <f t="shared" ca="1" si="8"/>
        <v>0</v>
      </c>
      <c r="J41" s="201" t="s">
        <v>103</v>
      </c>
      <c r="K41" s="138" t="str">
        <f t="shared" ca="1" si="9"/>
        <v>1.4.5.</v>
      </c>
      <c r="L41" s="202" t="s">
        <v>270</v>
      </c>
      <c r="M41" s="202" t="s">
        <v>259</v>
      </c>
      <c r="N41" s="203" t="s">
        <v>303</v>
      </c>
      <c r="O41" s="204" t="s">
        <v>239</v>
      </c>
      <c r="P41" s="205">
        <v>700</v>
      </c>
      <c r="Q41" s="195"/>
      <c r="R41" s="198" t="s">
        <v>7</v>
      </c>
      <c r="S41" s="103">
        <f t="shared" si="10"/>
        <v>0</v>
      </c>
      <c r="T41" s="83">
        <f t="shared" si="11"/>
        <v>0</v>
      </c>
      <c r="U41" s="9" t="str">
        <f t="shared" si="12"/>
        <v>SEM VALOR</v>
      </c>
      <c r="V41" s="1" t="str">
        <f ca="1">IF(OR($A41=0,$A41="S",$A41&gt;CFF!$A$9),"",MAX(V$12:OFFSET(V41,-1,0))+1)</f>
        <v/>
      </c>
      <c r="W41" s="4" t="str">
        <f t="shared" si="13"/>
        <v>PM BENTO-24</v>
      </c>
      <c r="X41" s="1" t="e">
        <f t="shared" ca="1" si="14"/>
        <v>#REF!</v>
      </c>
      <c r="Y41" s="103">
        <v>107.8</v>
      </c>
      <c r="Z41" s="113">
        <f ca="1">ROUND(IF(ISNUMBER(R41),R41,IF(LEFT(R41,3)="BDI",HLOOKUP(R41,DADOS!$T$37:$X$38,2,FALSE),0)),15-11*$X$5)</f>
        <v>0</v>
      </c>
      <c r="AA41" s="1"/>
    </row>
    <row r="42" spans="1:27" x14ac:dyDescent="0.2">
      <c r="A42">
        <f>CHOOSE(1+LOG(1+2*(J42="Meta")+4*(J42="Nível 2")+8*(J42="Nível 3")+16*(J42="Nível 4")+32*(J42="Serviço"),2),0,1,2,3,4,"S")</f>
        <v>2</v>
      </c>
      <c r="B42">
        <f ca="1">IF(OR(A42="S",A42=0),0,IF(ISERROR(I42),H42,SMALL(H42:I42,1)))</f>
        <v>6</v>
      </c>
      <c r="C42">
        <f ca="1">IF($A42=1,OFFSET(C42,-1,0)+1,OFFSET(C42,-1,0))</f>
        <v>1</v>
      </c>
      <c r="D42">
        <f ca="1">IF($A42=1,0,IF($A42=2,OFFSET(D42,-1,0)+1,OFFSET(D42,-1,0)))</f>
        <v>5</v>
      </c>
      <c r="E42">
        <f ca="1">IF(AND($A42&lt;=2,$A42&lt;&gt;0),0,IF($A42=3,OFFSET(E42,-1,0)+1,OFFSET(E42,-1,0)))</f>
        <v>0</v>
      </c>
      <c r="F42">
        <f ca="1">IF(AND($A42&lt;=3,$A42&lt;&gt;0),0,IF($A42=4,OFFSET(F42,-1,0)+1,OFFSET(F42,-1,0)))</f>
        <v>0</v>
      </c>
      <c r="G42">
        <f ca="1">IF(AND($A42&lt;=4,$A42&lt;&gt;0),0,IF($A42="S",OFFSET(G42,-1,0)+1,OFFSET(G42,-1,0)))</f>
        <v>0</v>
      </c>
      <c r="H42">
        <f t="shared" ca="1" si="7"/>
        <v>12</v>
      </c>
      <c r="I42">
        <f t="shared" ca="1" si="8"/>
        <v>6</v>
      </c>
      <c r="J42" s="201" t="s">
        <v>100</v>
      </c>
      <c r="K42" s="138" t="str">
        <f ca="1">IF($A42=0,"-",CONCATENATE(C42&amp;".",IF(AND($A$5&gt;=2,$A42&gt;=2),D42&amp;".",""),IF(AND($A$5&gt;=3,$A42&gt;=3),E42&amp;".",""),IF(AND($A$5&gt;=4,$A42&gt;=4),F42&amp;".",""),IF($A42="S",G42&amp;".","")))</f>
        <v>1.5.</v>
      </c>
      <c r="L42" s="202"/>
      <c r="M42" s="202"/>
      <c r="N42" s="203" t="s">
        <v>297</v>
      </c>
      <c r="O42" s="204" t="s">
        <v>106</v>
      </c>
      <c r="P42" s="205"/>
      <c r="Q42" s="195"/>
      <c r="R42" s="198" t="s">
        <v>7</v>
      </c>
      <c r="S42" s="103">
        <f>IF($A42="S",IF($Q$10="Preço Unitário (R$)",PO.CustoUnitario,ROUND(PO.CustoUnitario*(1+$Z42),15-13*$X$6)),0)</f>
        <v>0</v>
      </c>
      <c r="T42" s="83">
        <f ca="1">IF($A42="S",VTOTAL1,IF($A42=0,0,ROUND(SomaAgrup,15-13*$X$7)))</f>
        <v>0</v>
      </c>
      <c r="U42" s="9" t="str">
        <f ca="1">IF($J42="","",IF($N42="","DESCRIÇÃO",IF(AND($J42="Serviço",$O42=""),"UNIDADE",IF($T42&lt;=0,"SEM VALOR",IF(AND($Y42&lt;&gt;"",$Q42&gt;$Y42),"ACIMA REF.","")))))</f>
        <v>SEM VALOR</v>
      </c>
      <c r="V42" s="1">
        <f ca="1">IF(OR($A42=0,$A42="S",$A42&gt;CFF!$A$9),"",MAX(V$12:OFFSET(V42,-1,0))+1)</f>
        <v>6</v>
      </c>
      <c r="W42" s="4" t="b">
        <f>IF(AND($J42="Serviço",$M42&lt;&gt;""),IF($L42="",$M42,CONCATENATE($L42,"-",$M42)))</f>
        <v>0</v>
      </c>
      <c r="X42" s="1" t="str">
        <f ca="1">IF(AND(Fonte&lt;&gt;"",Código&lt;&gt;""),MATCH(Fonte&amp;" "&amp;IF(Fonte="sinapi",SUBSTITUTE(SUBSTITUTE(Código,"/00","/"),"/0","/"),Código),INDIRECT("'[Referência "&amp;_xlnm.Database&amp;".xls]Banco'!$a:$a"),0),"X")</f>
        <v>X</v>
      </c>
      <c r="Y42" s="103">
        <v>0</v>
      </c>
      <c r="Z42" s="113">
        <f ca="1">ROUND(IF(ISNUMBER(R42),R42,IF(LEFT(R42,3)="BDI",HLOOKUP(R42,DADOS!$T$37:$X$38,2,FALSE),0)),15-11*$X$5)</f>
        <v>0</v>
      </c>
      <c r="AA42" s="1"/>
    </row>
    <row r="43" spans="1:27" x14ac:dyDescent="0.2">
      <c r="A43" t="str">
        <f t="shared" si="0"/>
        <v>S</v>
      </c>
      <c r="B43">
        <f t="shared" si="1"/>
        <v>0</v>
      </c>
      <c r="C43">
        <f t="shared" ca="1" si="2"/>
        <v>1</v>
      </c>
      <c r="D43">
        <f t="shared" ca="1" si="3"/>
        <v>5</v>
      </c>
      <c r="E43">
        <f t="shared" ca="1" si="4"/>
        <v>0</v>
      </c>
      <c r="F43">
        <f t="shared" ca="1" si="5"/>
        <v>0</v>
      </c>
      <c r="G43">
        <f t="shared" ca="1" si="6"/>
        <v>1</v>
      </c>
      <c r="H43">
        <f t="shared" ca="1" si="7"/>
        <v>0</v>
      </c>
      <c r="I43">
        <f t="shared" ca="1" si="8"/>
        <v>0</v>
      </c>
      <c r="J43" s="201" t="s">
        <v>103</v>
      </c>
      <c r="K43" s="138" t="str">
        <f t="shared" ca="1" si="9"/>
        <v>1.5.1.</v>
      </c>
      <c r="L43" s="202" t="s">
        <v>270</v>
      </c>
      <c r="M43" s="202" t="s">
        <v>260</v>
      </c>
      <c r="N43" s="203" t="s">
        <v>286</v>
      </c>
      <c r="O43" s="204" t="s">
        <v>239</v>
      </c>
      <c r="P43" s="205">
        <f>3100*1.2</f>
        <v>3720</v>
      </c>
      <c r="Q43" s="195"/>
      <c r="R43" s="198" t="s">
        <v>7</v>
      </c>
      <c r="S43" s="103">
        <f t="shared" si="10"/>
        <v>0</v>
      </c>
      <c r="T43" s="83">
        <f t="shared" si="11"/>
        <v>0</v>
      </c>
      <c r="U43" s="9" t="str">
        <f t="shared" si="12"/>
        <v>SEM VALOR</v>
      </c>
      <c r="V43" s="1" t="str">
        <f ca="1">IF(OR($A43=0,$A43="S",$A43&gt;CFF!$A$9),"",MAX(V$12:OFFSET(V43,-1,0))+1)</f>
        <v/>
      </c>
      <c r="W43" s="4" t="str">
        <f t="shared" si="13"/>
        <v>PM BENTO-25</v>
      </c>
      <c r="X43" s="1" t="e">
        <f t="shared" ca="1" si="14"/>
        <v>#REF!</v>
      </c>
      <c r="Y43" s="103">
        <v>115.74</v>
      </c>
      <c r="Z43" s="113">
        <f ca="1">ROUND(IF(ISNUMBER(R43),R43,IF(LEFT(R43,3)="BDI",HLOOKUP(R43,DADOS!$T$37:$X$38,2,FALSE),0)),15-11*$X$5)</f>
        <v>0</v>
      </c>
      <c r="AA43" s="1"/>
    </row>
    <row r="44" spans="1:27" x14ac:dyDescent="0.2">
      <c r="A44" t="str">
        <f t="shared" si="0"/>
        <v>S</v>
      </c>
      <c r="B44">
        <f t="shared" si="1"/>
        <v>0</v>
      </c>
      <c r="C44">
        <f t="shared" ca="1" si="2"/>
        <v>1</v>
      </c>
      <c r="D44">
        <f t="shared" ca="1" si="3"/>
        <v>5</v>
      </c>
      <c r="E44">
        <f t="shared" ca="1" si="4"/>
        <v>0</v>
      </c>
      <c r="F44">
        <f t="shared" ca="1" si="5"/>
        <v>0</v>
      </c>
      <c r="G44">
        <f t="shared" ca="1" si="6"/>
        <v>2</v>
      </c>
      <c r="H44">
        <f t="shared" ca="1" si="7"/>
        <v>0</v>
      </c>
      <c r="I44">
        <f t="shared" ca="1" si="8"/>
        <v>0</v>
      </c>
      <c r="J44" s="201" t="s">
        <v>103</v>
      </c>
      <c r="K44" s="138" t="str">
        <f t="shared" ca="1" si="9"/>
        <v>1.5.2.</v>
      </c>
      <c r="L44" s="202" t="s">
        <v>241</v>
      </c>
      <c r="M44" s="202" t="s">
        <v>261</v>
      </c>
      <c r="N44" s="203" t="s">
        <v>281</v>
      </c>
      <c r="O44" s="204" t="s">
        <v>239</v>
      </c>
      <c r="P44" s="205">
        <f>1000*1.2</f>
        <v>1200</v>
      </c>
      <c r="Q44" s="195"/>
      <c r="R44" s="198" t="s">
        <v>7</v>
      </c>
      <c r="S44" s="103">
        <f t="shared" si="10"/>
        <v>0</v>
      </c>
      <c r="T44" s="83">
        <f t="shared" si="11"/>
        <v>0</v>
      </c>
      <c r="U44" s="9" t="str">
        <f t="shared" si="12"/>
        <v>SEM VALOR</v>
      </c>
      <c r="V44" s="1" t="str">
        <f ca="1">IF(OR($A44=0,$A44="S",$A44&gt;CFF!$A$9),"",MAX(V$12:OFFSET(V44,-1,0))+1)</f>
        <v/>
      </c>
      <c r="W44" s="4" t="str">
        <f t="shared" si="13"/>
        <v>PM BENTO -26</v>
      </c>
      <c r="X44" s="1" t="e">
        <f t="shared" ca="1" si="14"/>
        <v>#REF!</v>
      </c>
      <c r="Y44" s="103">
        <v>118.46</v>
      </c>
      <c r="Z44" s="113">
        <f ca="1">ROUND(IF(ISNUMBER(R44),R44,IF(LEFT(R44,3)="BDI",HLOOKUP(R44,DADOS!$T$37:$X$38,2,FALSE),0)),15-11*$X$5)</f>
        <v>0</v>
      </c>
      <c r="AA44" s="1"/>
    </row>
    <row r="45" spans="1:27" x14ac:dyDescent="0.2">
      <c r="A45" t="str">
        <f t="shared" si="0"/>
        <v>S</v>
      </c>
      <c r="B45">
        <f t="shared" si="1"/>
        <v>0</v>
      </c>
      <c r="C45">
        <f t="shared" ca="1" si="2"/>
        <v>1</v>
      </c>
      <c r="D45">
        <f t="shared" ca="1" si="3"/>
        <v>5</v>
      </c>
      <c r="E45">
        <f t="shared" ca="1" si="4"/>
        <v>0</v>
      </c>
      <c r="F45">
        <f t="shared" ca="1" si="5"/>
        <v>0</v>
      </c>
      <c r="G45">
        <f t="shared" ca="1" si="6"/>
        <v>3</v>
      </c>
      <c r="H45">
        <f t="shared" ca="1" si="7"/>
        <v>0</v>
      </c>
      <c r="I45">
        <f t="shared" ca="1" si="8"/>
        <v>0</v>
      </c>
      <c r="J45" s="201" t="s">
        <v>103</v>
      </c>
      <c r="K45" s="138" t="str">
        <f t="shared" ca="1" si="9"/>
        <v>1.5.3.</v>
      </c>
      <c r="L45" s="202" t="s">
        <v>241</v>
      </c>
      <c r="M45" s="202" t="s">
        <v>262</v>
      </c>
      <c r="N45" s="203" t="s">
        <v>307</v>
      </c>
      <c r="O45" s="204" t="s">
        <v>239</v>
      </c>
      <c r="P45" s="205">
        <v>500</v>
      </c>
      <c r="Q45" s="195"/>
      <c r="R45" s="198" t="s">
        <v>7</v>
      </c>
      <c r="S45" s="103">
        <f t="shared" si="10"/>
        <v>0</v>
      </c>
      <c r="T45" s="83">
        <f t="shared" si="11"/>
        <v>0</v>
      </c>
      <c r="U45" s="9" t="str">
        <f t="shared" si="12"/>
        <v>SEM VALOR</v>
      </c>
      <c r="V45" s="1" t="str">
        <f ca="1">IF(OR($A45=0,$A45="S",$A45&gt;CFF!$A$9),"",MAX(V$12:OFFSET(V45,-1,0))+1)</f>
        <v/>
      </c>
      <c r="W45" s="4" t="str">
        <f t="shared" si="13"/>
        <v>PM BENTO -27</v>
      </c>
      <c r="X45" s="1" t="e">
        <f t="shared" ca="1" si="14"/>
        <v>#REF!</v>
      </c>
      <c r="Y45" s="103">
        <v>112.65</v>
      </c>
      <c r="Z45" s="113">
        <f ca="1">ROUND(IF(ISNUMBER(R45),R45,IF(LEFT(R45,3)="BDI",HLOOKUP(R45,DADOS!$T$37:$X$38,2,FALSE),0)),15-11*$X$5)</f>
        <v>0</v>
      </c>
      <c r="AA45" s="1"/>
    </row>
    <row r="46" spans="1:27" x14ac:dyDescent="0.2">
      <c r="A46" t="str">
        <f t="shared" si="0"/>
        <v>S</v>
      </c>
      <c r="B46">
        <f t="shared" si="1"/>
        <v>0</v>
      </c>
      <c r="C46">
        <f t="shared" ca="1" si="2"/>
        <v>1</v>
      </c>
      <c r="D46">
        <f t="shared" ca="1" si="3"/>
        <v>5</v>
      </c>
      <c r="E46">
        <f t="shared" ca="1" si="4"/>
        <v>0</v>
      </c>
      <c r="F46">
        <f t="shared" ca="1" si="5"/>
        <v>0</v>
      </c>
      <c r="G46">
        <f t="shared" ca="1" si="6"/>
        <v>4</v>
      </c>
      <c r="H46">
        <f t="shared" ca="1" si="7"/>
        <v>0</v>
      </c>
      <c r="I46">
        <f t="shared" ca="1" si="8"/>
        <v>0</v>
      </c>
      <c r="J46" s="201" t="s">
        <v>103</v>
      </c>
      <c r="K46" s="138" t="str">
        <f t="shared" ca="1" si="9"/>
        <v>1.5.4.</v>
      </c>
      <c r="L46" s="202" t="s">
        <v>270</v>
      </c>
      <c r="M46" s="202" t="s">
        <v>263</v>
      </c>
      <c r="N46" s="203" t="s">
        <v>287</v>
      </c>
      <c r="O46" s="204" t="s">
        <v>239</v>
      </c>
      <c r="P46" s="205">
        <v>700</v>
      </c>
      <c r="Q46" s="195"/>
      <c r="R46" s="198" t="s">
        <v>7</v>
      </c>
      <c r="S46" s="103">
        <f t="shared" si="10"/>
        <v>0</v>
      </c>
      <c r="T46" s="83">
        <f t="shared" si="11"/>
        <v>0</v>
      </c>
      <c r="U46" s="9" t="str">
        <f t="shared" si="12"/>
        <v>SEM VALOR</v>
      </c>
      <c r="V46" s="1" t="str">
        <f ca="1">IF(OR($A46=0,$A46="S",$A46&gt;CFF!$A$9),"",MAX(V$12:OFFSET(V46,-1,0))+1)</f>
        <v/>
      </c>
      <c r="W46" s="4" t="str">
        <f t="shared" si="13"/>
        <v>PM BENTO-28</v>
      </c>
      <c r="X46" s="1" t="e">
        <f t="shared" ca="1" si="14"/>
        <v>#REF!</v>
      </c>
      <c r="Y46" s="103">
        <v>126.83</v>
      </c>
      <c r="Z46" s="113">
        <f ca="1">ROUND(IF(ISNUMBER(R46),R46,IF(LEFT(R46,3)="BDI",HLOOKUP(R46,DADOS!$T$37:$X$38,2,FALSE),0)),15-11*$X$5)</f>
        <v>0</v>
      </c>
      <c r="AA46" s="1"/>
    </row>
    <row r="47" spans="1:27" x14ac:dyDescent="0.2">
      <c r="A47" t="str">
        <f t="shared" si="0"/>
        <v>S</v>
      </c>
      <c r="B47">
        <f t="shared" si="1"/>
        <v>0</v>
      </c>
      <c r="C47">
        <f t="shared" ca="1" si="2"/>
        <v>1</v>
      </c>
      <c r="D47">
        <f t="shared" ca="1" si="3"/>
        <v>5</v>
      </c>
      <c r="E47">
        <f t="shared" ca="1" si="4"/>
        <v>0</v>
      </c>
      <c r="F47">
        <f t="shared" ca="1" si="5"/>
        <v>0</v>
      </c>
      <c r="G47">
        <f t="shared" ca="1" si="6"/>
        <v>5</v>
      </c>
      <c r="H47">
        <f t="shared" ca="1" si="7"/>
        <v>0</v>
      </c>
      <c r="I47">
        <f t="shared" ca="1" si="8"/>
        <v>0</v>
      </c>
      <c r="J47" s="201" t="s">
        <v>103</v>
      </c>
      <c r="K47" s="138" t="str">
        <f t="shared" ca="1" si="9"/>
        <v>1.5.5.</v>
      </c>
      <c r="L47" s="202" t="s">
        <v>270</v>
      </c>
      <c r="M47" s="202" t="s">
        <v>264</v>
      </c>
      <c r="N47" s="203" t="s">
        <v>288</v>
      </c>
      <c r="O47" s="204" t="s">
        <v>239</v>
      </c>
      <c r="P47" s="205">
        <v>700</v>
      </c>
      <c r="Q47" s="195"/>
      <c r="R47" s="198" t="s">
        <v>7</v>
      </c>
      <c r="S47" s="103">
        <f t="shared" si="10"/>
        <v>0</v>
      </c>
      <c r="T47" s="83">
        <f t="shared" si="11"/>
        <v>0</v>
      </c>
      <c r="U47" s="9" t="str">
        <f t="shared" si="12"/>
        <v>SEM VALOR</v>
      </c>
      <c r="V47" s="1" t="str">
        <f ca="1">IF(OR($A47=0,$A47="S",$A47&gt;CFF!$A$9),"",MAX(V$12:OFFSET(V47,-1,0))+1)</f>
        <v/>
      </c>
      <c r="W47" s="4" t="str">
        <f t="shared" si="13"/>
        <v>PM BENTO-29</v>
      </c>
      <c r="X47" s="1" t="e">
        <f t="shared" ca="1" si="14"/>
        <v>#REF!</v>
      </c>
      <c r="Y47" s="103">
        <v>113.47</v>
      </c>
      <c r="Z47" s="113">
        <f ca="1">ROUND(IF(ISNUMBER(R47),R47,IF(LEFT(R47,3)="BDI",HLOOKUP(R47,DADOS!$T$37:$X$38,2,FALSE),0)),15-11*$X$5)</f>
        <v>0</v>
      </c>
      <c r="AA47" s="1"/>
    </row>
    <row r="48" spans="1:27" x14ac:dyDescent="0.2">
      <c r="A48">
        <f>CHOOSE(1+LOG(1+2*(J48="Meta")+4*(J48="Nível 2")+8*(J48="Nível 3")+16*(J48="Nível 4")+32*(J48="Serviço"),2),0,1,2,3,4,"S")</f>
        <v>2</v>
      </c>
      <c r="B48">
        <f ca="1">IF(OR(A48="S",A48=0),0,IF(ISERROR(I48),H48,SMALL(H48:I48,1)))</f>
        <v>6</v>
      </c>
      <c r="C48">
        <f ca="1">IF($A48=1,OFFSET(C48,-1,0)+1,OFFSET(C48,-1,0))</f>
        <v>1</v>
      </c>
      <c r="D48">
        <f ca="1">IF($A48=1,0,IF($A48=2,OFFSET(D48,-1,0)+1,OFFSET(D48,-1,0)))</f>
        <v>6</v>
      </c>
      <c r="E48">
        <f ca="1">IF(AND($A48&lt;=2,$A48&lt;&gt;0),0,IF($A48=3,OFFSET(E48,-1,0)+1,OFFSET(E48,-1,0)))</f>
        <v>0</v>
      </c>
      <c r="F48">
        <f ca="1">IF(AND($A48&lt;=3,$A48&lt;&gt;0),0,IF($A48=4,OFFSET(F48,-1,0)+1,OFFSET(F48,-1,0)))</f>
        <v>0</v>
      </c>
      <c r="G48">
        <f ca="1">IF(AND($A48&lt;=4,$A48&lt;&gt;0),0,IF($A48="S",OFFSET(G48,-1,0)+1,OFFSET(G48,-1,0)))</f>
        <v>0</v>
      </c>
      <c r="H48">
        <f t="shared" ca="1" si="7"/>
        <v>6</v>
      </c>
      <c r="I48" t="e">
        <f t="shared" ca="1" si="8"/>
        <v>#N/A</v>
      </c>
      <c r="J48" s="201" t="s">
        <v>100</v>
      </c>
      <c r="K48" s="138" t="str">
        <f ca="1">IF($A48=0,"-",CONCATENATE(C48&amp;".",IF(AND($A$5&gt;=2,$A48&gt;=2),D48&amp;".",""),IF(AND($A$5&gt;=3,$A48&gt;=3),E48&amp;".",""),IF(AND($A$5&gt;=4,$A48&gt;=4),F48&amp;".",""),IF($A48="S",G48&amp;".","")))</f>
        <v>1.6.</v>
      </c>
      <c r="L48" s="202"/>
      <c r="M48" s="202"/>
      <c r="N48" s="203" t="s">
        <v>298</v>
      </c>
      <c r="O48" s="204" t="s">
        <v>106</v>
      </c>
      <c r="P48" s="205"/>
      <c r="Q48" s="195"/>
      <c r="R48" s="198" t="s">
        <v>7</v>
      </c>
      <c r="S48" s="103">
        <f>IF($A48="S",IF($Q$10="Preço Unitário (R$)",PO.CustoUnitario,ROUND(PO.CustoUnitario*(1+$Z48),15-13*$X$6)),0)</f>
        <v>0</v>
      </c>
      <c r="T48" s="83">
        <f ca="1">IF($A48="S",VTOTAL1,IF($A48=0,0,ROUND(SomaAgrup,15-13*$X$7)))</f>
        <v>0</v>
      </c>
      <c r="U48" s="9" t="str">
        <f ca="1">IF($J48="","",IF($N48="","DESCRIÇÃO",IF(AND($J48="Serviço",$O48=""),"UNIDADE",IF($T48&lt;=0,"SEM VALOR",IF(AND($Y48&lt;&gt;"",$Q48&gt;$Y48),"ACIMA REF.","")))))</f>
        <v>SEM VALOR</v>
      </c>
      <c r="V48" s="1">
        <f ca="1">IF(OR($A48=0,$A48="S",$A48&gt;CFF!$A$9),"",MAX(V$12:OFFSET(V48,-1,0))+1)</f>
        <v>7</v>
      </c>
      <c r="W48" s="4" t="b">
        <f>IF(AND($J48="Serviço",$M48&lt;&gt;""),IF($L48="",$M48,CONCATENATE($L48,"-",$M48)))</f>
        <v>0</v>
      </c>
      <c r="X48" s="1" t="str">
        <f ca="1">IF(AND(Fonte&lt;&gt;"",Código&lt;&gt;""),MATCH(Fonte&amp;" "&amp;IF(Fonte="sinapi",SUBSTITUTE(SUBSTITUTE(Código,"/00","/"),"/0","/"),Código),INDIRECT("'[Referência "&amp;_xlnm.Database&amp;".xls]Banco'!$a:$a"),0),"X")</f>
        <v>X</v>
      </c>
      <c r="Y48" s="103">
        <v>0</v>
      </c>
      <c r="Z48" s="113">
        <f ca="1">ROUND(IF(ISNUMBER(R48),R48,IF(LEFT(R48,3)="BDI",HLOOKUP(R48,DADOS!$T$37:$X$38,2,FALSE),0)),15-11*$X$5)</f>
        <v>0</v>
      </c>
      <c r="AA48" s="1"/>
    </row>
    <row r="49" spans="1:27" x14ac:dyDescent="0.2">
      <c r="A49" t="str">
        <f t="shared" si="0"/>
        <v>S</v>
      </c>
      <c r="B49">
        <f t="shared" si="1"/>
        <v>0</v>
      </c>
      <c r="C49">
        <f t="shared" ca="1" si="2"/>
        <v>1</v>
      </c>
      <c r="D49">
        <f t="shared" ca="1" si="3"/>
        <v>6</v>
      </c>
      <c r="E49">
        <f t="shared" ca="1" si="4"/>
        <v>0</v>
      </c>
      <c r="F49">
        <f t="shared" ca="1" si="5"/>
        <v>0</v>
      </c>
      <c r="G49">
        <f t="shared" ca="1" si="6"/>
        <v>1</v>
      </c>
      <c r="H49">
        <f t="shared" ca="1" si="7"/>
        <v>0</v>
      </c>
      <c r="I49">
        <f t="shared" ca="1" si="8"/>
        <v>0</v>
      </c>
      <c r="J49" s="201" t="s">
        <v>103</v>
      </c>
      <c r="K49" s="138" t="str">
        <f t="shared" ca="1" si="9"/>
        <v>1.6.1.</v>
      </c>
      <c r="L49" s="202" t="s">
        <v>270</v>
      </c>
      <c r="M49" s="202" t="s">
        <v>265</v>
      </c>
      <c r="N49" s="203" t="s">
        <v>293</v>
      </c>
      <c r="O49" s="204" t="s">
        <v>239</v>
      </c>
      <c r="P49" s="205">
        <f>3100*1.2</f>
        <v>3720</v>
      </c>
      <c r="Q49" s="195"/>
      <c r="R49" s="198" t="s">
        <v>7</v>
      </c>
      <c r="S49" s="103">
        <f t="shared" si="10"/>
        <v>0</v>
      </c>
      <c r="T49" s="83">
        <f t="shared" si="11"/>
        <v>0</v>
      </c>
      <c r="U49" s="9" t="str">
        <f t="shared" si="12"/>
        <v>SEM VALOR</v>
      </c>
      <c r="V49" s="1" t="str">
        <f ca="1">IF(OR($A49=0,$A49="S",$A49&gt;CFF!$A$9),"",MAX(V$12:OFFSET(V49,-1,0))+1)</f>
        <v/>
      </c>
      <c r="W49" s="4" t="str">
        <f t="shared" si="13"/>
        <v>PM BENTO-30</v>
      </c>
      <c r="X49" s="1" t="e">
        <f t="shared" ca="1" si="14"/>
        <v>#REF!</v>
      </c>
      <c r="Y49" s="103">
        <v>119.56</v>
      </c>
      <c r="Z49" s="113">
        <f ca="1">ROUND(IF(ISNUMBER(R49),R49,IF(LEFT(R49,3)="BDI",HLOOKUP(R49,DADOS!$T$37:$X$38,2,FALSE),0)),15-11*$X$5)</f>
        <v>0</v>
      </c>
      <c r="AA49" s="1"/>
    </row>
    <row r="50" spans="1:27" x14ac:dyDescent="0.2">
      <c r="A50" t="str">
        <f t="shared" si="0"/>
        <v>S</v>
      </c>
      <c r="B50">
        <f t="shared" si="1"/>
        <v>0</v>
      </c>
      <c r="C50">
        <f t="shared" ca="1" si="2"/>
        <v>1</v>
      </c>
      <c r="D50">
        <f t="shared" ca="1" si="3"/>
        <v>6</v>
      </c>
      <c r="E50">
        <f t="shared" ca="1" si="4"/>
        <v>0</v>
      </c>
      <c r="F50">
        <f t="shared" ca="1" si="5"/>
        <v>0</v>
      </c>
      <c r="G50">
        <f t="shared" ca="1" si="6"/>
        <v>2</v>
      </c>
      <c r="H50">
        <f t="shared" ca="1" si="7"/>
        <v>0</v>
      </c>
      <c r="I50">
        <f t="shared" ca="1" si="8"/>
        <v>0</v>
      </c>
      <c r="J50" s="201" t="s">
        <v>103</v>
      </c>
      <c r="K50" s="138" t="str">
        <f t="shared" ca="1" si="9"/>
        <v>1.6.2.</v>
      </c>
      <c r="L50" s="202" t="s">
        <v>270</v>
      </c>
      <c r="M50" s="202" t="s">
        <v>266</v>
      </c>
      <c r="N50" s="203" t="s">
        <v>289</v>
      </c>
      <c r="O50" s="204" t="s">
        <v>239</v>
      </c>
      <c r="P50" s="205">
        <f>1000*1.2</f>
        <v>1200</v>
      </c>
      <c r="Q50" s="195"/>
      <c r="R50" s="198" t="s">
        <v>7</v>
      </c>
      <c r="S50" s="103">
        <f t="shared" si="10"/>
        <v>0</v>
      </c>
      <c r="T50" s="83">
        <f t="shared" si="11"/>
        <v>0</v>
      </c>
      <c r="U50" s="9" t="str">
        <f t="shared" si="12"/>
        <v>SEM VALOR</v>
      </c>
      <c r="V50" s="1" t="str">
        <f ca="1">IF(OR($A50=0,$A50="S",$A50&gt;CFF!$A$9),"",MAX(V$12:OFFSET(V50,-1,0))+1)</f>
        <v/>
      </c>
      <c r="W50" s="4" t="str">
        <f t="shared" si="13"/>
        <v>PM BENTO-31</v>
      </c>
      <c r="X50" s="1" t="e">
        <f t="shared" ca="1" si="14"/>
        <v>#REF!</v>
      </c>
      <c r="Y50" s="103">
        <v>122.37</v>
      </c>
      <c r="Z50" s="113">
        <f ca="1">ROUND(IF(ISNUMBER(R50),R50,IF(LEFT(R50,3)="BDI",HLOOKUP(R50,DADOS!$T$37:$X$38,2,FALSE),0)),15-11*$X$5)</f>
        <v>0</v>
      </c>
      <c r="AA50" s="1"/>
    </row>
    <row r="51" spans="1:27" x14ac:dyDescent="0.2">
      <c r="A51" t="str">
        <f t="shared" si="0"/>
        <v>S</v>
      </c>
      <c r="B51">
        <f t="shared" si="1"/>
        <v>0</v>
      </c>
      <c r="C51">
        <f t="shared" ca="1" si="2"/>
        <v>1</v>
      </c>
      <c r="D51">
        <f t="shared" ca="1" si="3"/>
        <v>6</v>
      </c>
      <c r="E51">
        <f t="shared" ca="1" si="4"/>
        <v>0</v>
      </c>
      <c r="F51">
        <f t="shared" ca="1" si="5"/>
        <v>0</v>
      </c>
      <c r="G51">
        <f t="shared" ca="1" si="6"/>
        <v>3</v>
      </c>
      <c r="H51">
        <f t="shared" ca="1" si="7"/>
        <v>0</v>
      </c>
      <c r="I51">
        <f t="shared" ca="1" si="8"/>
        <v>0</v>
      </c>
      <c r="J51" s="201" t="s">
        <v>103</v>
      </c>
      <c r="K51" s="138" t="str">
        <f t="shared" ca="1" si="9"/>
        <v>1.6.3.</v>
      </c>
      <c r="L51" s="202" t="s">
        <v>270</v>
      </c>
      <c r="M51" s="202" t="s">
        <v>267</v>
      </c>
      <c r="N51" s="203" t="s">
        <v>290</v>
      </c>
      <c r="O51" s="204" t="s">
        <v>239</v>
      </c>
      <c r="P51" s="205">
        <v>500</v>
      </c>
      <c r="Q51" s="195"/>
      <c r="R51" s="198" t="s">
        <v>7</v>
      </c>
      <c r="S51" s="103">
        <f t="shared" si="10"/>
        <v>0</v>
      </c>
      <c r="T51" s="83">
        <f t="shared" si="11"/>
        <v>0</v>
      </c>
      <c r="U51" s="9" t="str">
        <f t="shared" si="12"/>
        <v>SEM VALOR</v>
      </c>
      <c r="V51" s="1" t="str">
        <f ca="1">IF(OR($A51=0,$A51="S",$A51&gt;CFF!$A$9),"",MAX(V$12:OFFSET(V51,-1,0))+1)</f>
        <v/>
      </c>
      <c r="W51" s="4" t="str">
        <f t="shared" si="13"/>
        <v>PM BENTO-32</v>
      </c>
      <c r="X51" s="1" t="e">
        <f t="shared" ca="1" si="14"/>
        <v>#REF!</v>
      </c>
      <c r="Y51" s="103">
        <v>116.5</v>
      </c>
      <c r="Z51" s="113">
        <f ca="1">ROUND(IF(ISNUMBER(R51),R51,IF(LEFT(R51,3)="BDI",HLOOKUP(R51,DADOS!$T$37:$X$38,2,FALSE),0)),15-11*$X$5)</f>
        <v>0</v>
      </c>
      <c r="AA51" s="1"/>
    </row>
    <row r="52" spans="1:27" x14ac:dyDescent="0.2">
      <c r="A52" t="str">
        <f t="shared" si="0"/>
        <v>S</v>
      </c>
      <c r="B52">
        <f t="shared" si="1"/>
        <v>0</v>
      </c>
      <c r="C52">
        <f t="shared" ca="1" si="2"/>
        <v>1</v>
      </c>
      <c r="D52">
        <f t="shared" ca="1" si="3"/>
        <v>6</v>
      </c>
      <c r="E52">
        <f t="shared" ca="1" si="4"/>
        <v>0</v>
      </c>
      <c r="F52">
        <f t="shared" ca="1" si="5"/>
        <v>0</v>
      </c>
      <c r="G52">
        <f t="shared" ca="1" si="6"/>
        <v>4</v>
      </c>
      <c r="H52">
        <f t="shared" ca="1" si="7"/>
        <v>0</v>
      </c>
      <c r="I52">
        <f t="shared" ca="1" si="8"/>
        <v>0</v>
      </c>
      <c r="J52" s="201" t="s">
        <v>103</v>
      </c>
      <c r="K52" s="138" t="str">
        <f t="shared" ca="1" si="9"/>
        <v>1.6.4.</v>
      </c>
      <c r="L52" s="202" t="s">
        <v>270</v>
      </c>
      <c r="M52" s="202" t="s">
        <v>268</v>
      </c>
      <c r="N52" s="203" t="s">
        <v>291</v>
      </c>
      <c r="O52" s="204" t="s">
        <v>239</v>
      </c>
      <c r="P52" s="205">
        <v>700</v>
      </c>
      <c r="Q52" s="195"/>
      <c r="R52" s="198" t="s">
        <v>7</v>
      </c>
      <c r="S52" s="103">
        <f t="shared" si="10"/>
        <v>0</v>
      </c>
      <c r="T52" s="83">
        <f t="shared" si="11"/>
        <v>0</v>
      </c>
      <c r="U52" s="9" t="str">
        <f t="shared" si="12"/>
        <v>SEM VALOR</v>
      </c>
      <c r="V52" s="1" t="str">
        <f ca="1">IF(OR($A52=0,$A52="S",$A52&gt;CFF!$A$9),"",MAX(V$12:OFFSET(V52,-1,0))+1)</f>
        <v/>
      </c>
      <c r="W52" s="4" t="str">
        <f t="shared" si="13"/>
        <v>PM BENTO-33</v>
      </c>
      <c r="X52" s="1" t="e">
        <f t="shared" ca="1" si="14"/>
        <v>#REF!</v>
      </c>
      <c r="Y52" s="103">
        <v>130.69999999999999</v>
      </c>
      <c r="Z52" s="113">
        <f ca="1">ROUND(IF(ISNUMBER(R52),R52,IF(LEFT(R52,3)="BDI",HLOOKUP(R52,DADOS!$T$37:$X$38,2,FALSE),0)),15-11*$X$5)</f>
        <v>0</v>
      </c>
      <c r="AA52" s="1"/>
    </row>
    <row r="53" spans="1:27" x14ac:dyDescent="0.2">
      <c r="A53" t="str">
        <f>CHOOSE(1+LOG(1+2*(J53="Meta")+4*(J53="Nível 2")+8*(J53="Nível 3")+16*(J53="Nível 4")+32*(J53="Serviço"),2),0,1,2,3,4,"S")</f>
        <v>S</v>
      </c>
      <c r="B53">
        <f>IF(OR(A53="S",A53=0),0,IF(ISERROR(I53),H53,SMALL(H53:I53,1)))</f>
        <v>0</v>
      </c>
      <c r="C53">
        <f ca="1">IF($A53=1,OFFSET(C53,-1,0)+1,OFFSET(C53,-1,0))</f>
        <v>1</v>
      </c>
      <c r="D53">
        <f ca="1">IF($A53=1,0,IF($A53=2,OFFSET(D53,-1,0)+1,OFFSET(D53,-1,0)))</f>
        <v>6</v>
      </c>
      <c r="E53">
        <f ca="1">IF(AND($A53&lt;=2,$A53&lt;&gt;0),0,IF($A53=3,OFFSET(E53,-1,0)+1,OFFSET(E53,-1,0)))</f>
        <v>0</v>
      </c>
      <c r="F53">
        <f ca="1">IF(AND($A53&lt;=3,$A53&lt;&gt;0),0,IF($A53=4,OFFSET(F53,-1,0)+1,OFFSET(F53,-1,0)))</f>
        <v>0</v>
      </c>
      <c r="G53">
        <f ca="1">IF(AND($A53&lt;=4,$A53&lt;&gt;0),0,IF($A53="S",OFFSET(G53,-1,0)+1,OFFSET(G53,-1,0)))</f>
        <v>5</v>
      </c>
      <c r="H53">
        <f t="shared" ca="1" si="7"/>
        <v>0</v>
      </c>
      <c r="I53">
        <f t="shared" ca="1" si="8"/>
        <v>0</v>
      </c>
      <c r="J53" s="201" t="s">
        <v>103</v>
      </c>
      <c r="K53" s="138" t="str">
        <f ca="1">IF($A53=0,"-",CONCATENATE(C53&amp;".",IF(AND($A$5&gt;=2,$A53&gt;=2),D53&amp;".",""),IF(AND($A$5&gt;=3,$A53&gt;=3),E53&amp;".",""),IF(AND($A$5&gt;=4,$A53&gt;=4),F53&amp;".",""),IF($A53="S",G53&amp;".","")))</f>
        <v>1.6.5.</v>
      </c>
      <c r="L53" s="202" t="s">
        <v>270</v>
      </c>
      <c r="M53" s="202" t="s">
        <v>269</v>
      </c>
      <c r="N53" s="203" t="s">
        <v>292</v>
      </c>
      <c r="O53" s="204" t="s">
        <v>239</v>
      </c>
      <c r="P53" s="205">
        <v>700</v>
      </c>
      <c r="Q53" s="195"/>
      <c r="R53" s="198" t="s">
        <v>7</v>
      </c>
      <c r="S53" s="103">
        <f>IF($A53="S",IF($Q$10="Preço Unitário (R$)",PO.CustoUnitario,ROUND(PO.CustoUnitario*(1+$Z53),15-13*$X$6)),0)</f>
        <v>0</v>
      </c>
      <c r="T53" s="83">
        <f>IF($A53="S",VTOTAL1,IF($A53=0,0,ROUND(SomaAgrup,15-13*$X$7)))</f>
        <v>0</v>
      </c>
      <c r="U53" s="9" t="str">
        <f>IF($J53="","",IF($N53="","DESCRIÇÃO",IF(AND($J53="Serviço",$O53=""),"UNIDADE",IF($T53&lt;=0,"SEM VALOR",IF(AND($Y53&lt;&gt;"",$Q53&gt;$Y53),"ACIMA REF.","")))))</f>
        <v>SEM VALOR</v>
      </c>
      <c r="V53" s="1" t="str">
        <f ca="1">IF(OR($A53=0,$A53="S",$A53&gt;CFF!$A$9),"",MAX(V$12:OFFSET(V53,-1,0))+1)</f>
        <v/>
      </c>
      <c r="W53" s="4" t="str">
        <f>IF(AND($J53="Serviço",$M53&lt;&gt;""),IF($L53="",$M53,CONCATENATE($L53,"-",$M53)))</f>
        <v>PM BENTO-34</v>
      </c>
      <c r="X53" s="1" t="e">
        <f ca="1">IF(AND(Fonte&lt;&gt;"",Código&lt;&gt;""),MATCH(Fonte&amp;" "&amp;IF(Fonte="sinapi",SUBSTITUTE(SUBSTITUTE(Código,"/00","/"),"/0","/"),Código),INDIRECT("'[Referência "&amp;_xlnm.Database&amp;".xls]Banco'!$a:$a"),0),"X")</f>
        <v>#REF!</v>
      </c>
      <c r="Y53" s="103">
        <v>117.34</v>
      </c>
      <c r="Z53" s="113">
        <f ca="1">ROUND(IF(ISNUMBER(R53),R53,IF(LEFT(R53,3)="BDI",HLOOKUP(R53,DADOS!$T$37:$X$38,2,FALSE),0)),15-11*$X$5)</f>
        <v>0</v>
      </c>
      <c r="AA53" s="1"/>
    </row>
    <row r="54" spans="1:27" x14ac:dyDescent="0.2">
      <c r="A54">
        <v>-1</v>
      </c>
      <c r="C54">
        <v>0</v>
      </c>
      <c r="D54">
        <v>0</v>
      </c>
      <c r="E54">
        <v>0</v>
      </c>
      <c r="F54">
        <v>0</v>
      </c>
      <c r="G54">
        <v>0</v>
      </c>
      <c r="J54" s="69"/>
      <c r="K54" s="69"/>
      <c r="L54" s="69"/>
      <c r="M54" s="69"/>
      <c r="N54" s="69"/>
      <c r="O54" s="69"/>
      <c r="P54" s="69"/>
      <c r="Q54" s="69"/>
      <c r="R54" s="69"/>
      <c r="S54" s="69"/>
      <c r="T54" s="69"/>
      <c r="U54" s="1"/>
      <c r="V54" s="1"/>
      <c r="W54" s="1"/>
      <c r="X54" s="1"/>
      <c r="Y54" s="1"/>
      <c r="Z54" s="1"/>
      <c r="AA54" s="1"/>
    </row>
    <row r="55" spans="1:27" ht="14.25" customHeight="1" x14ac:dyDescent="0.2">
      <c r="A55" s="1"/>
      <c r="B55" s="1"/>
      <c r="C55" s="1"/>
      <c r="D55" s="1"/>
      <c r="E55" s="1"/>
      <c r="F55" s="1"/>
      <c r="G55" s="1"/>
      <c r="H55" s="1"/>
      <c r="I55" s="1"/>
      <c r="J55" s="1"/>
      <c r="K55" s="70" t="s">
        <v>62</v>
      </c>
      <c r="L55" s="1"/>
      <c r="M55" s="333" t="s">
        <v>141</v>
      </c>
      <c r="N55" s="334"/>
      <c r="O55" s="334"/>
      <c r="P55" s="334"/>
      <c r="Q55" s="334"/>
      <c r="R55" s="334"/>
      <c r="S55" s="334"/>
      <c r="T55" s="335"/>
      <c r="U55" s="1"/>
      <c r="V55" s="1"/>
      <c r="W55" s="1"/>
      <c r="X55" s="1"/>
      <c r="Y55" s="1"/>
      <c r="Z55" s="1"/>
      <c r="AA55" s="1"/>
    </row>
    <row r="56" spans="1:27" x14ac:dyDescent="0.2">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4.25" x14ac:dyDescent="0.2">
      <c r="A57" s="1"/>
      <c r="B57" s="1"/>
      <c r="C57" s="1"/>
      <c r="D57" s="1"/>
      <c r="E57" s="1"/>
      <c r="F57" s="1"/>
      <c r="G57" s="1"/>
      <c r="H57" s="1"/>
      <c r="I57" s="1"/>
      <c r="J57" s="1"/>
      <c r="K57" s="76" t="s">
        <v>21</v>
      </c>
      <c r="L57" s="1"/>
      <c r="M57" s="1"/>
      <c r="N57" s="1"/>
      <c r="O57" s="1"/>
      <c r="P57" s="1"/>
      <c r="Q57" s="1"/>
      <c r="R57" s="1"/>
      <c r="S57" s="1"/>
      <c r="T57" s="75"/>
      <c r="U57" s="1"/>
      <c r="V57" s="1"/>
      <c r="W57" s="1"/>
      <c r="X57" s="1"/>
      <c r="Y57" s="1"/>
      <c r="Z57" s="1"/>
      <c r="AA57" s="1"/>
    </row>
    <row r="58" spans="1:27" ht="12.75" customHeight="1" x14ac:dyDescent="0.2">
      <c r="A58" s="1"/>
      <c r="B58" s="1"/>
      <c r="C58" s="1"/>
      <c r="D58" s="1"/>
      <c r="E58" s="1"/>
      <c r="F58" s="1"/>
      <c r="G58" s="1"/>
      <c r="H58" s="1"/>
      <c r="I58" s="1"/>
      <c r="J58" s="1"/>
      <c r="K58" s="327" t="s">
        <v>317</v>
      </c>
      <c r="L58" s="328"/>
      <c r="M58" s="328"/>
      <c r="N58" s="328"/>
      <c r="O58" s="328"/>
      <c r="P58" s="328"/>
      <c r="Q58" s="328"/>
      <c r="R58" s="328"/>
      <c r="S58" s="328"/>
      <c r="T58" s="329"/>
      <c r="U58" s="1"/>
      <c r="V58" s="1"/>
      <c r="W58" s="1"/>
      <c r="X58" s="1"/>
      <c r="Y58" s="1"/>
      <c r="Z58" s="1"/>
      <c r="AA58" s="1"/>
    </row>
    <row r="59" spans="1:27" x14ac:dyDescent="0.2">
      <c r="A59" s="1"/>
      <c r="B59" s="1"/>
      <c r="C59" s="1"/>
      <c r="D59" s="1"/>
      <c r="E59" s="1"/>
      <c r="F59" s="1"/>
      <c r="G59" s="1"/>
      <c r="H59" s="1"/>
      <c r="I59" s="1"/>
      <c r="J59" s="1"/>
      <c r="K59" s="327"/>
      <c r="L59" s="328"/>
      <c r="M59" s="328"/>
      <c r="N59" s="328"/>
      <c r="O59" s="328"/>
      <c r="P59" s="328"/>
      <c r="Q59" s="328"/>
      <c r="R59" s="328"/>
      <c r="S59" s="328"/>
      <c r="T59" s="329"/>
      <c r="U59" s="1"/>
      <c r="V59" s="1"/>
      <c r="W59" s="1"/>
      <c r="X59" s="1"/>
      <c r="Y59" s="1"/>
      <c r="Z59" s="1"/>
      <c r="AA59" s="1"/>
    </row>
    <row r="60" spans="1:27" x14ac:dyDescent="0.2">
      <c r="A60" s="1"/>
      <c r="B60" s="1"/>
      <c r="C60" s="1"/>
      <c r="D60" s="1"/>
      <c r="E60" s="1"/>
      <c r="F60" s="1"/>
      <c r="G60" s="1"/>
      <c r="H60" s="1"/>
      <c r="I60" s="1"/>
      <c r="J60" s="1"/>
      <c r="K60" s="330"/>
      <c r="L60" s="331"/>
      <c r="M60" s="331"/>
      <c r="N60" s="331"/>
      <c r="O60" s="331"/>
      <c r="P60" s="331"/>
      <c r="Q60" s="331"/>
      <c r="R60" s="331"/>
      <c r="S60" s="331"/>
      <c r="T60" s="332"/>
      <c r="U60" s="1"/>
      <c r="V60" s="1"/>
      <c r="W60" s="1"/>
      <c r="X60" s="1"/>
      <c r="Y60" s="1"/>
      <c r="Z60" s="1"/>
      <c r="AA60" s="1"/>
    </row>
    <row r="61" spans="1:27" ht="14.25" x14ac:dyDescent="0.2">
      <c r="A61" s="1"/>
      <c r="B61" s="1"/>
      <c r="C61" s="1"/>
      <c r="D61" s="1"/>
      <c r="E61" s="1"/>
      <c r="F61" s="1"/>
      <c r="G61" s="1"/>
      <c r="H61" s="1"/>
      <c r="I61" s="1"/>
      <c r="J61" s="1"/>
      <c r="K61" s="180"/>
      <c r="L61" s="180"/>
      <c r="M61" s="180"/>
      <c r="N61" s="180"/>
      <c r="O61" s="180"/>
      <c r="P61" s="180"/>
      <c r="Q61" s="180"/>
      <c r="R61" s="180"/>
      <c r="S61" s="180"/>
      <c r="T61" s="180"/>
      <c r="U61" s="1"/>
      <c r="V61" s="1"/>
      <c r="W61" s="1"/>
      <c r="X61" s="1"/>
      <c r="Y61" s="1"/>
      <c r="Z61" s="1"/>
      <c r="AA61" s="1"/>
    </row>
    <row r="62" spans="1:27" ht="15" x14ac:dyDescent="0.25">
      <c r="A62" s="1"/>
      <c r="B62" s="1"/>
      <c r="C62" s="1"/>
      <c r="D62" s="1"/>
      <c r="E62" s="1"/>
      <c r="F62" s="1"/>
      <c r="G62" s="1"/>
      <c r="H62" s="1"/>
      <c r="I62" s="1"/>
      <c r="J62" s="1"/>
      <c r="K62" s="324"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62" s="325"/>
      <c r="M62" s="325"/>
      <c r="N62" s="325"/>
      <c r="O62" s="325"/>
      <c r="P62" s="325"/>
      <c r="Q62" s="325"/>
      <c r="R62" s="325"/>
      <c r="S62" s="325"/>
      <c r="T62" s="326"/>
      <c r="U62" s="1"/>
      <c r="V62" s="1"/>
      <c r="W62" s="1"/>
      <c r="X62" s="1"/>
      <c r="Y62" s="1"/>
      <c r="Z62" s="1"/>
      <c r="AA62" s="1"/>
    </row>
    <row r="63" spans="1:27" x14ac:dyDescent="0.2">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21"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x14ac:dyDescent="0.2">
      <c r="A65" s="1"/>
      <c r="B65" s="1"/>
      <c r="C65" s="1"/>
      <c r="D65" s="1"/>
      <c r="E65" s="1"/>
      <c r="F65" s="1"/>
      <c r="G65" s="1"/>
      <c r="H65" s="1"/>
      <c r="I65" s="1"/>
      <c r="J65" s="1"/>
      <c r="K65" s="337" t="str">
        <f>Import.Município</f>
        <v>BENTO GONÇALVES/RS</v>
      </c>
      <c r="L65" s="337"/>
      <c r="M65" s="337"/>
      <c r="N65" s="1"/>
      <c r="O65" s="1"/>
      <c r="P65" s="1"/>
      <c r="Q65" s="1"/>
      <c r="R65" s="1"/>
      <c r="S65" s="1"/>
      <c r="T65" s="1"/>
      <c r="U65" s="1"/>
      <c r="V65" s="1"/>
      <c r="W65" s="1"/>
      <c r="X65" s="1"/>
      <c r="Y65" s="1"/>
      <c r="Z65" s="1"/>
      <c r="AA65" s="1"/>
    </row>
    <row r="66" spans="1:27" x14ac:dyDescent="0.2">
      <c r="A66" s="1"/>
      <c r="B66" s="1"/>
      <c r="C66" s="1"/>
      <c r="D66" s="1"/>
      <c r="E66" s="1"/>
      <c r="F66" s="1"/>
      <c r="G66" s="1"/>
      <c r="H66" s="1"/>
      <c r="I66" s="1"/>
      <c r="J66" s="1"/>
      <c r="K66" s="97" t="s">
        <v>120</v>
      </c>
      <c r="L66" s="1"/>
      <c r="M66" s="1"/>
      <c r="N66" s="1"/>
      <c r="O66" s="1"/>
      <c r="P66" s="1"/>
      <c r="Q66" s="1"/>
      <c r="R66" s="1"/>
      <c r="S66" s="1"/>
      <c r="T66" s="1"/>
      <c r="U66" s="1"/>
      <c r="V66" s="1"/>
      <c r="W66" s="1"/>
      <c r="X66" s="1"/>
      <c r="Y66" s="1"/>
      <c r="Z66" s="1"/>
      <c r="AA66" s="1"/>
    </row>
    <row r="67" spans="1:27"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x14ac:dyDescent="0.2">
      <c r="A68" s="1"/>
      <c r="B68" s="1"/>
      <c r="C68" s="1"/>
      <c r="D68" s="1"/>
      <c r="E68" s="1"/>
      <c r="F68" s="1"/>
      <c r="G68" s="1"/>
      <c r="H68" s="1"/>
      <c r="I68" s="1"/>
      <c r="J68" s="1"/>
      <c r="K68" s="336" t="s">
        <v>319</v>
      </c>
      <c r="L68" s="336"/>
      <c r="M68" s="336"/>
      <c r="N68" s="1"/>
      <c r="O68" s="1"/>
      <c r="P68" s="1"/>
      <c r="Q68" s="1"/>
      <c r="R68" s="1"/>
      <c r="S68" s="1"/>
      <c r="T68" s="1"/>
      <c r="U68" s="1"/>
      <c r="V68" s="1"/>
      <c r="W68" s="1"/>
      <c r="X68" s="1"/>
      <c r="Y68" s="1"/>
      <c r="Z68" s="1"/>
      <c r="AA68" s="1"/>
    </row>
    <row r="69" spans="1:27" x14ac:dyDescent="0.2">
      <c r="A69" s="1"/>
      <c r="B69" s="1"/>
      <c r="C69" s="1"/>
      <c r="D69" s="1"/>
      <c r="E69" s="1"/>
      <c r="F69" s="1"/>
      <c r="G69" s="1"/>
      <c r="H69" s="1"/>
      <c r="I69" s="1"/>
      <c r="J69" s="1"/>
      <c r="K69" s="119" t="s">
        <v>121</v>
      </c>
      <c r="L69" s="69"/>
      <c r="M69" s="69"/>
      <c r="N69" s="1"/>
      <c r="O69" s="1"/>
      <c r="P69" s="1"/>
      <c r="Q69" s="1"/>
      <c r="R69" s="1"/>
      <c r="S69" s="1"/>
      <c r="T69" s="1"/>
      <c r="U69" s="1"/>
      <c r="V69" s="1"/>
      <c r="W69" s="1"/>
      <c r="X69" s="1"/>
      <c r="Y69" s="1"/>
      <c r="Z69" s="1"/>
      <c r="AA69" s="1"/>
    </row>
  </sheetData>
  <sheetProtection algorithmName="SHA-512" hashValue="XSK4TfhsTvUYumWnt+YOJfaauzW9qB1Ie5KLA5obbsSBO96yI2khQ/W91r9wqcKiGDQG+8lMQgvPJU78JpAkiw==" saltValue="PHAwG0ul8p351eaS+I4Lug==" spinCount="100000" sheet="1" objects="1" scenarios="1"/>
  <mergeCells count="6">
    <mergeCell ref="W2:X2"/>
    <mergeCell ref="K62:T62"/>
    <mergeCell ref="K58:T60"/>
    <mergeCell ref="M55:T55"/>
    <mergeCell ref="K68:M68"/>
    <mergeCell ref="K65:M65"/>
  </mergeCells>
  <phoneticPr fontId="25" type="noConversion"/>
  <conditionalFormatting sqref="O12:R12 L12:M12">
    <cfRule type="expression" dxfId="423" priority="5033" stopIfTrue="1">
      <formula>$J12=$C$2</formula>
    </cfRule>
    <cfRule type="expression" dxfId="422" priority="5034" stopIfTrue="1">
      <formula>UPPER(LEFT($J12,5))="NÍVEL"</formula>
    </cfRule>
    <cfRule type="expression" dxfId="421" priority="5035" stopIfTrue="1">
      <formula>$J12=$C$8</formula>
    </cfRule>
  </conditionalFormatting>
  <conditionalFormatting sqref="Y12:Z12 S12:T12 K12">
    <cfRule type="expression" dxfId="420" priority="5036" stopIfTrue="1">
      <formula>$J12=$C$2</formula>
    </cfRule>
    <cfRule type="expression" dxfId="419" priority="5037" stopIfTrue="1">
      <formula>UPPER(LEFT($J12,5))="NÍVEL"</formula>
    </cfRule>
  </conditionalFormatting>
  <conditionalFormatting sqref="K11 K13:K14">
    <cfRule type="expression" dxfId="418" priority="5049" stopIfTrue="1">
      <formula>$J11=$C$2</formula>
    </cfRule>
    <cfRule type="expression" dxfId="417" priority="5050" stopIfTrue="1">
      <formula>AND($J11&lt;&gt;"",$J11&lt;&gt;"Serviço")</formula>
    </cfRule>
    <cfRule type="expression" dxfId="416" priority="5051" stopIfTrue="1">
      <formula>$J11=""</formula>
    </cfRule>
  </conditionalFormatting>
  <conditionalFormatting sqref="P11 P13:P14">
    <cfRule type="expression" dxfId="415" priority="3376" stopIfTrue="1">
      <formula>$J11=$C$2</formula>
    </cfRule>
    <cfRule type="expression" dxfId="414" priority="5055" stopIfTrue="1">
      <formula>AND($J11&lt;&gt;"Serviço")</formula>
    </cfRule>
    <cfRule type="expression" dxfId="413" priority="5056" stopIfTrue="1">
      <formula>CELL("proteger",P11)</formula>
    </cfRule>
  </conditionalFormatting>
  <conditionalFormatting sqref="Q11:R11 Q13:R14">
    <cfRule type="expression" dxfId="412" priority="5057" stopIfTrue="1">
      <formula>$J11=$C$2</formula>
    </cfRule>
    <cfRule type="expression" dxfId="411" priority="5058" stopIfTrue="1">
      <formula>$J11&lt;&gt;"Serviço"</formula>
    </cfRule>
    <cfRule type="expression" dxfId="410" priority="5059" stopIfTrue="1">
      <formula>CELL("proteger",Q11)</formula>
    </cfRule>
  </conditionalFormatting>
  <conditionalFormatting sqref="S11:T11 Y11:Z11 S13:T14 Y13:Z14">
    <cfRule type="expression" dxfId="409" priority="5060" stopIfTrue="1">
      <formula>$J11=$C$2</formula>
    </cfRule>
    <cfRule type="expression" dxfId="408" priority="5061" stopIfTrue="1">
      <formula>$J11&lt;&gt;"Serviço"</formula>
    </cfRule>
  </conditionalFormatting>
  <conditionalFormatting sqref="L11:M11 L13:M14">
    <cfRule type="expression" dxfId="407" priority="5081" stopIfTrue="1">
      <formula>$J11=$C$2</formula>
    </cfRule>
    <cfRule type="expression" dxfId="406" priority="5082" stopIfTrue="1">
      <formula>$J11&lt;&gt;"Serviço"</formula>
    </cfRule>
    <cfRule type="expression" dxfId="405" priority="5083" stopIfTrue="1">
      <formula>OR(CELL("proteger",L11),$J11="",TipoOrçamento="Licitado")</formula>
    </cfRule>
  </conditionalFormatting>
  <conditionalFormatting sqref="K55:T55">
    <cfRule type="expression" dxfId="404" priority="5062" stopIfTrue="1">
      <formula>OR(Tipo.Orçamento="LICITADO",Tipo.Orçamento="REPROGRAMADOAC")</formula>
    </cfRule>
    <cfRule type="expression" dxfId="403" priority="5063" stopIfTrue="1">
      <formula>$M$55=""</formula>
    </cfRule>
  </conditionalFormatting>
  <conditionalFormatting sqref="J11 J13:J14">
    <cfRule type="expression" dxfId="402" priority="5090" stopIfTrue="1">
      <formula>TipoOrçamento="Licitado"</formula>
    </cfRule>
  </conditionalFormatting>
  <conditionalFormatting sqref="O11 O13:O14">
    <cfRule type="expression" dxfId="401" priority="3396" stopIfTrue="1">
      <formula>$J11=$C$2</formula>
    </cfRule>
    <cfRule type="expression" dxfId="400" priority="3397" stopIfTrue="1">
      <formula>AND($J11&lt;&gt;"Serviço")</formula>
    </cfRule>
    <cfRule type="expression" dxfId="399" priority="3398" stopIfTrue="1">
      <formula>CELL("proteger",O11)</formula>
    </cfRule>
  </conditionalFormatting>
  <conditionalFormatting sqref="N11">
    <cfRule type="expression" dxfId="398" priority="3399" stopIfTrue="1">
      <formula>$J11=$C$2</formula>
    </cfRule>
    <cfRule type="expression" dxfId="397" priority="3400" stopIfTrue="1">
      <formula>$J11&lt;&gt;"Serviço"</formula>
    </cfRule>
    <cfRule type="expression" dxfId="396" priority="3401" stopIfTrue="1">
      <formula>CELL("proteger",N11)</formula>
    </cfRule>
  </conditionalFormatting>
  <conditionalFormatting sqref="N13">
    <cfRule type="expression" dxfId="395" priority="3265" stopIfTrue="1">
      <formula>$J13=$C$2</formula>
    </cfRule>
    <cfRule type="expression" dxfId="394" priority="3266" stopIfTrue="1">
      <formula>$J13&lt;&gt;"Serviço"</formula>
    </cfRule>
    <cfRule type="expression" dxfId="393" priority="3267" stopIfTrue="1">
      <formula>CELL("proteger",N13)</formula>
    </cfRule>
  </conditionalFormatting>
  <conditionalFormatting sqref="K15:K19">
    <cfRule type="expression" dxfId="392" priority="206" stopIfTrue="1">
      <formula>$J15=$C$2</formula>
    </cfRule>
    <cfRule type="expression" dxfId="391" priority="207" stopIfTrue="1">
      <formula>AND($J15&lt;&gt;"",$J15&lt;&gt;"Serviço")</formula>
    </cfRule>
    <cfRule type="expression" dxfId="390" priority="208" stopIfTrue="1">
      <formula>$J15=""</formula>
    </cfRule>
  </conditionalFormatting>
  <conditionalFormatting sqref="P15:P19">
    <cfRule type="expression" dxfId="389" priority="199" stopIfTrue="1">
      <formula>$J15=$C$2</formula>
    </cfRule>
    <cfRule type="expression" dxfId="388" priority="209" stopIfTrue="1">
      <formula>AND($J15&lt;&gt;"Serviço")</formula>
    </cfRule>
    <cfRule type="expression" dxfId="387" priority="210" stopIfTrue="1">
      <formula>CELL("proteger",P15)</formula>
    </cfRule>
  </conditionalFormatting>
  <conditionalFormatting sqref="Q15:R15 R16:R19 Q16:Q21">
    <cfRule type="expression" dxfId="386" priority="211" stopIfTrue="1">
      <formula>$J15=$C$2</formula>
    </cfRule>
    <cfRule type="expression" dxfId="385" priority="212" stopIfTrue="1">
      <formula>$J15&lt;&gt;"Serviço"</formula>
    </cfRule>
    <cfRule type="expression" dxfId="384" priority="213" stopIfTrue="1">
      <formula>CELL("proteger",Q15)</formula>
    </cfRule>
  </conditionalFormatting>
  <conditionalFormatting sqref="S15:T19 Y15:Z19">
    <cfRule type="expression" dxfId="383" priority="214" stopIfTrue="1">
      <formula>$J15=$C$2</formula>
    </cfRule>
    <cfRule type="expression" dxfId="382" priority="215" stopIfTrue="1">
      <formula>$J15&lt;&gt;"Serviço"</formula>
    </cfRule>
  </conditionalFormatting>
  <conditionalFormatting sqref="L15:M19">
    <cfRule type="expression" dxfId="381" priority="216" stopIfTrue="1">
      <formula>$J15=$C$2</formula>
    </cfRule>
    <cfRule type="expression" dxfId="380" priority="217" stopIfTrue="1">
      <formula>$J15&lt;&gt;"Serviço"</formula>
    </cfRule>
    <cfRule type="expression" dxfId="379" priority="218" stopIfTrue="1">
      <formula>OR(CELL("proteger",L15),$J15="",TipoOrçamento="Licitado")</formula>
    </cfRule>
  </conditionalFormatting>
  <conditionalFormatting sqref="J15:J19">
    <cfRule type="expression" dxfId="378" priority="219" stopIfTrue="1">
      <formula>TipoOrçamento="Licitado"</formula>
    </cfRule>
  </conditionalFormatting>
  <conditionalFormatting sqref="O15:O19">
    <cfRule type="expression" dxfId="377" priority="200" stopIfTrue="1">
      <formula>$J15=$C$2</formula>
    </cfRule>
    <cfRule type="expression" dxfId="376" priority="201" stopIfTrue="1">
      <formula>AND($J15&lt;&gt;"Serviço")</formula>
    </cfRule>
    <cfRule type="expression" dxfId="375" priority="202" stopIfTrue="1">
      <formula>CELL("proteger",O15)</formula>
    </cfRule>
  </conditionalFormatting>
  <conditionalFormatting sqref="N15:N19">
    <cfRule type="expression" dxfId="374" priority="203" stopIfTrue="1">
      <formula>$J15=$C$2</formula>
    </cfRule>
    <cfRule type="expression" dxfId="373" priority="204" stopIfTrue="1">
      <formula>$J15&lt;&gt;"Serviço"</formula>
    </cfRule>
    <cfRule type="expression" dxfId="372" priority="205" stopIfTrue="1">
      <formula>CELL("proteger",N15)</formula>
    </cfRule>
  </conditionalFormatting>
  <conditionalFormatting sqref="K20:K21 K52 K23:K29">
    <cfRule type="expression" dxfId="371" priority="185" stopIfTrue="1">
      <formula>$J20=$C$2</formula>
    </cfRule>
    <cfRule type="expression" dxfId="370" priority="186" stopIfTrue="1">
      <formula>AND($J20&lt;&gt;"",$J20&lt;&gt;"Serviço")</formula>
    </cfRule>
    <cfRule type="expression" dxfId="369" priority="187" stopIfTrue="1">
      <formula>$J20=""</formula>
    </cfRule>
  </conditionalFormatting>
  <conditionalFormatting sqref="P20:P21 P52 P23:P29">
    <cfRule type="expression" dxfId="368" priority="178" stopIfTrue="1">
      <formula>$J20=$C$2</formula>
    </cfRule>
    <cfRule type="expression" dxfId="367" priority="188" stopIfTrue="1">
      <formula>AND($J20&lt;&gt;"Serviço")</formula>
    </cfRule>
    <cfRule type="expression" dxfId="366" priority="189" stopIfTrue="1">
      <formula>CELL("proteger",P20)</formula>
    </cfRule>
  </conditionalFormatting>
  <conditionalFormatting sqref="Q23:R29 Q52:R52 R20:R21">
    <cfRule type="expression" dxfId="365" priority="190" stopIfTrue="1">
      <formula>$J20=$C$2</formula>
    </cfRule>
    <cfRule type="expression" dxfId="364" priority="191" stopIfTrue="1">
      <formula>$J20&lt;&gt;"Serviço"</formula>
    </cfRule>
    <cfRule type="expression" dxfId="363" priority="192" stopIfTrue="1">
      <formula>CELL("proteger",Q20)</formula>
    </cfRule>
  </conditionalFormatting>
  <conditionalFormatting sqref="S20:T21 Y20:Z21 Y52:Z52 S52:T52 Y23:Z29 S23:T29">
    <cfRule type="expression" dxfId="362" priority="193" stopIfTrue="1">
      <formula>$J20=$C$2</formula>
    </cfRule>
    <cfRule type="expression" dxfId="361" priority="194" stopIfTrue="1">
      <formula>$J20&lt;&gt;"Serviço"</formula>
    </cfRule>
  </conditionalFormatting>
  <conditionalFormatting sqref="L20:M21 L52:M52 L23:M29">
    <cfRule type="expression" dxfId="360" priority="195" stopIfTrue="1">
      <formula>$J20=$C$2</formula>
    </cfRule>
    <cfRule type="expression" dxfId="359" priority="196" stopIfTrue="1">
      <formula>$J20&lt;&gt;"Serviço"</formula>
    </cfRule>
    <cfRule type="expression" dxfId="358" priority="197" stopIfTrue="1">
      <formula>OR(CELL("proteger",L20),$J20="",TipoOrçamento="Licitado")</formula>
    </cfRule>
  </conditionalFormatting>
  <conditionalFormatting sqref="J20:J21 J52 J23:J29">
    <cfRule type="expression" dxfId="357" priority="198" stopIfTrue="1">
      <formula>TipoOrçamento="Licitado"</formula>
    </cfRule>
  </conditionalFormatting>
  <conditionalFormatting sqref="O20:O21 O52 O23:O29">
    <cfRule type="expression" dxfId="356" priority="179" stopIfTrue="1">
      <formula>$J20=$C$2</formula>
    </cfRule>
    <cfRule type="expression" dxfId="355" priority="180" stopIfTrue="1">
      <formula>AND($J20&lt;&gt;"Serviço")</formula>
    </cfRule>
    <cfRule type="expression" dxfId="354" priority="181" stopIfTrue="1">
      <formula>CELL("proteger",O20)</formula>
    </cfRule>
  </conditionalFormatting>
  <conditionalFormatting sqref="N20:N21 N52 N23:N29">
    <cfRule type="expression" dxfId="353" priority="182" stopIfTrue="1">
      <formula>$J20=$C$2</formula>
    </cfRule>
    <cfRule type="expression" dxfId="352" priority="183" stopIfTrue="1">
      <formula>$J20&lt;&gt;"Serviço"</formula>
    </cfRule>
    <cfRule type="expression" dxfId="351" priority="184" stopIfTrue="1">
      <formula>CELL("proteger",N20)</formula>
    </cfRule>
  </conditionalFormatting>
  <conditionalFormatting sqref="K31:K35 K37:K41 K43:K47 K49:K51">
    <cfRule type="expression" dxfId="350" priority="164" stopIfTrue="1">
      <formula>$J31=$C$2</formula>
    </cfRule>
    <cfRule type="expression" dxfId="349" priority="165" stopIfTrue="1">
      <formula>AND($J31&lt;&gt;"",$J31&lt;&gt;"Serviço")</formula>
    </cfRule>
    <cfRule type="expression" dxfId="348" priority="166" stopIfTrue="1">
      <formula>$J31=""</formula>
    </cfRule>
  </conditionalFormatting>
  <conditionalFormatting sqref="P31:P35 P37:P41 P43:P47 P49:P51">
    <cfRule type="expression" dxfId="347" priority="157" stopIfTrue="1">
      <formula>$J31=$C$2</formula>
    </cfRule>
    <cfRule type="expression" dxfId="346" priority="167" stopIfTrue="1">
      <formula>AND($J31&lt;&gt;"Serviço")</formula>
    </cfRule>
    <cfRule type="expression" dxfId="345" priority="168" stopIfTrue="1">
      <formula>CELL("proteger",P31)</formula>
    </cfRule>
  </conditionalFormatting>
  <conditionalFormatting sqref="Q31:R35 Q37:R41 Q43:R47 Q49:R51">
    <cfRule type="expression" dxfId="344" priority="169" stopIfTrue="1">
      <formula>$J31=$C$2</formula>
    </cfRule>
    <cfRule type="expression" dxfId="343" priority="170" stopIfTrue="1">
      <formula>$J31&lt;&gt;"Serviço"</formula>
    </cfRule>
    <cfRule type="expression" dxfId="342" priority="171" stopIfTrue="1">
      <formula>CELL("proteger",Q31)</formula>
    </cfRule>
  </conditionalFormatting>
  <conditionalFormatting sqref="S31:T35 Y31:Z35 Y37:Z41 S37:T41 S43:T47 Y43:Z47 Y49:Z51 S49:T51">
    <cfRule type="expression" dxfId="341" priority="172" stopIfTrue="1">
      <formula>$J31=$C$2</formula>
    </cfRule>
    <cfRule type="expression" dxfId="340" priority="173" stopIfTrue="1">
      <formula>$J31&lt;&gt;"Serviço"</formula>
    </cfRule>
  </conditionalFormatting>
  <conditionalFormatting sqref="L31:M35 L37:M41 L43:M47 L49:M51">
    <cfRule type="expression" dxfId="339" priority="174" stopIfTrue="1">
      <formula>$J31=$C$2</formula>
    </cfRule>
    <cfRule type="expression" dxfId="338" priority="175" stopIfTrue="1">
      <formula>$J31&lt;&gt;"Serviço"</formula>
    </cfRule>
    <cfRule type="expression" dxfId="337" priority="176" stopIfTrue="1">
      <formula>OR(CELL("proteger",L31),$J31="",TipoOrçamento="Licitado")</formula>
    </cfRule>
  </conditionalFormatting>
  <conditionalFormatting sqref="J31:J35 J37:J41 J43:J47 J49:J51">
    <cfRule type="expression" dxfId="336" priority="177" stopIfTrue="1">
      <formula>TipoOrçamento="Licitado"</formula>
    </cfRule>
  </conditionalFormatting>
  <conditionalFormatting sqref="O31:O35 O37:O41 O43:O47 O49:O51">
    <cfRule type="expression" dxfId="335" priority="158" stopIfTrue="1">
      <formula>$J31=$C$2</formula>
    </cfRule>
    <cfRule type="expression" dxfId="334" priority="159" stopIfTrue="1">
      <formula>AND($J31&lt;&gt;"Serviço")</formula>
    </cfRule>
    <cfRule type="expression" dxfId="333" priority="160" stopIfTrue="1">
      <formula>CELL("proteger",O31)</formula>
    </cfRule>
  </conditionalFormatting>
  <conditionalFormatting sqref="N31:N35 N37:N41 N43:N47 N49:N51">
    <cfRule type="expression" dxfId="332" priority="161" stopIfTrue="1">
      <formula>$J31=$C$2</formula>
    </cfRule>
    <cfRule type="expression" dxfId="331" priority="162" stopIfTrue="1">
      <formula>$J31&lt;&gt;"Serviço"</formula>
    </cfRule>
    <cfRule type="expression" dxfId="330" priority="163" stopIfTrue="1">
      <formula>CELL("proteger",N31)</formula>
    </cfRule>
  </conditionalFormatting>
  <conditionalFormatting sqref="K53">
    <cfRule type="expression" dxfId="329" priority="143" stopIfTrue="1">
      <formula>$J53=$C$2</formula>
    </cfRule>
    <cfRule type="expression" dxfId="328" priority="144" stopIfTrue="1">
      <formula>AND($J53&lt;&gt;"",$J53&lt;&gt;"Serviço")</formula>
    </cfRule>
    <cfRule type="expression" dxfId="327" priority="145" stopIfTrue="1">
      <formula>$J53=""</formula>
    </cfRule>
  </conditionalFormatting>
  <conditionalFormatting sqref="P53">
    <cfRule type="expression" dxfId="326" priority="136" stopIfTrue="1">
      <formula>$J53=$C$2</formula>
    </cfRule>
    <cfRule type="expression" dxfId="325" priority="146" stopIfTrue="1">
      <formula>AND($J53&lt;&gt;"Serviço")</formula>
    </cfRule>
    <cfRule type="expression" dxfId="324" priority="147" stopIfTrue="1">
      <formula>CELL("proteger",P53)</formula>
    </cfRule>
  </conditionalFormatting>
  <conditionalFormatting sqref="Q53:R53">
    <cfRule type="expression" dxfId="323" priority="148" stopIfTrue="1">
      <formula>$J53=$C$2</formula>
    </cfRule>
    <cfRule type="expression" dxfId="322" priority="149" stopIfTrue="1">
      <formula>$J53&lt;&gt;"Serviço"</formula>
    </cfRule>
    <cfRule type="expression" dxfId="321" priority="150" stopIfTrue="1">
      <formula>CELL("proteger",Q53)</formula>
    </cfRule>
  </conditionalFormatting>
  <conditionalFormatting sqref="S53:T53 Y53:Z53">
    <cfRule type="expression" dxfId="320" priority="151" stopIfTrue="1">
      <formula>$J53=$C$2</formula>
    </cfRule>
    <cfRule type="expression" dxfId="319" priority="152" stopIfTrue="1">
      <formula>$J53&lt;&gt;"Serviço"</formula>
    </cfRule>
  </conditionalFormatting>
  <conditionalFormatting sqref="L53:M53">
    <cfRule type="expression" dxfId="318" priority="153" stopIfTrue="1">
      <formula>$J53=$C$2</formula>
    </cfRule>
    <cfRule type="expression" dxfId="317" priority="154" stopIfTrue="1">
      <formula>$J53&lt;&gt;"Serviço"</formula>
    </cfRule>
    <cfRule type="expression" dxfId="316" priority="155" stopIfTrue="1">
      <formula>OR(CELL("proteger",L53),$J53="",TipoOrçamento="Licitado")</formula>
    </cfRule>
  </conditionalFormatting>
  <conditionalFormatting sqref="J53">
    <cfRule type="expression" dxfId="315" priority="156" stopIfTrue="1">
      <formula>TipoOrçamento="Licitado"</formula>
    </cfRule>
  </conditionalFormatting>
  <conditionalFormatting sqref="O53">
    <cfRule type="expression" dxfId="314" priority="137" stopIfTrue="1">
      <formula>$J53=$C$2</formula>
    </cfRule>
    <cfRule type="expression" dxfId="313" priority="138" stopIfTrue="1">
      <formula>AND($J53&lt;&gt;"Serviço")</formula>
    </cfRule>
    <cfRule type="expression" dxfId="312" priority="139" stopIfTrue="1">
      <formula>CELL("proteger",O53)</formula>
    </cfRule>
  </conditionalFormatting>
  <conditionalFormatting sqref="N53">
    <cfRule type="expression" dxfId="311" priority="140" stopIfTrue="1">
      <formula>$J53=$C$2</formula>
    </cfRule>
    <cfRule type="expression" dxfId="310" priority="141" stopIfTrue="1">
      <formula>$J53&lt;&gt;"Serviço"</formula>
    </cfRule>
    <cfRule type="expression" dxfId="309" priority="142" stopIfTrue="1">
      <formula>CELL("proteger",N53)</formula>
    </cfRule>
  </conditionalFormatting>
  <conditionalFormatting sqref="K30">
    <cfRule type="expression" dxfId="308" priority="122" stopIfTrue="1">
      <formula>$J30=$C$2</formula>
    </cfRule>
    <cfRule type="expression" dxfId="307" priority="123" stopIfTrue="1">
      <formula>AND($J30&lt;&gt;"",$J30&lt;&gt;"Serviço")</formula>
    </cfRule>
    <cfRule type="expression" dxfId="306" priority="124" stopIfTrue="1">
      <formula>$J30=""</formula>
    </cfRule>
  </conditionalFormatting>
  <conditionalFormatting sqref="P30">
    <cfRule type="expression" dxfId="305" priority="115" stopIfTrue="1">
      <formula>$J30=$C$2</formula>
    </cfRule>
    <cfRule type="expression" dxfId="304" priority="125" stopIfTrue="1">
      <formula>AND($J30&lt;&gt;"Serviço")</formula>
    </cfRule>
    <cfRule type="expression" dxfId="303" priority="126" stopIfTrue="1">
      <formula>CELL("proteger",P30)</formula>
    </cfRule>
  </conditionalFormatting>
  <conditionalFormatting sqref="Q30:R30">
    <cfRule type="expression" dxfId="302" priority="127" stopIfTrue="1">
      <formula>$J30=$C$2</formula>
    </cfRule>
    <cfRule type="expression" dxfId="301" priority="128" stopIfTrue="1">
      <formula>$J30&lt;&gt;"Serviço"</formula>
    </cfRule>
    <cfRule type="expression" dxfId="300" priority="129" stopIfTrue="1">
      <formula>CELL("proteger",Q30)</formula>
    </cfRule>
  </conditionalFormatting>
  <conditionalFormatting sqref="S30:T30 Y30:Z30">
    <cfRule type="expression" dxfId="299" priority="130" stopIfTrue="1">
      <formula>$J30=$C$2</formula>
    </cfRule>
    <cfRule type="expression" dxfId="298" priority="131" stopIfTrue="1">
      <formula>$J30&lt;&gt;"Serviço"</formula>
    </cfRule>
  </conditionalFormatting>
  <conditionalFormatting sqref="L30:M30">
    <cfRule type="expression" dxfId="297" priority="132" stopIfTrue="1">
      <formula>$J30=$C$2</formula>
    </cfRule>
    <cfRule type="expression" dxfId="296" priority="133" stopIfTrue="1">
      <formula>$J30&lt;&gt;"Serviço"</formula>
    </cfRule>
    <cfRule type="expression" dxfId="295" priority="134" stopIfTrue="1">
      <formula>OR(CELL("proteger",L30),$J30="",TipoOrçamento="Licitado")</formula>
    </cfRule>
  </conditionalFormatting>
  <conditionalFormatting sqref="J30">
    <cfRule type="expression" dxfId="294" priority="135" stopIfTrue="1">
      <formula>TipoOrçamento="Licitado"</formula>
    </cfRule>
  </conditionalFormatting>
  <conditionalFormatting sqref="O30">
    <cfRule type="expression" dxfId="293" priority="116" stopIfTrue="1">
      <formula>$J30=$C$2</formula>
    </cfRule>
    <cfRule type="expression" dxfId="292" priority="117" stopIfTrue="1">
      <formula>AND($J30&lt;&gt;"Serviço")</formula>
    </cfRule>
    <cfRule type="expression" dxfId="291" priority="118" stopIfTrue="1">
      <formula>CELL("proteger",O30)</formula>
    </cfRule>
  </conditionalFormatting>
  <conditionalFormatting sqref="N30">
    <cfRule type="expression" dxfId="290" priority="119" stopIfTrue="1">
      <formula>$J30=$C$2</formula>
    </cfRule>
    <cfRule type="expression" dxfId="289" priority="120" stopIfTrue="1">
      <formula>$J30&lt;&gt;"Serviço"</formula>
    </cfRule>
    <cfRule type="expression" dxfId="288" priority="121" stopIfTrue="1">
      <formula>CELL("proteger",N30)</formula>
    </cfRule>
  </conditionalFormatting>
  <conditionalFormatting sqref="N14">
    <cfRule type="expression" dxfId="287" priority="91" stopIfTrue="1">
      <formula>$J14=$C$2</formula>
    </cfRule>
    <cfRule type="expression" dxfId="286" priority="92" stopIfTrue="1">
      <formula>$J14&lt;&gt;"Serviço"</formula>
    </cfRule>
    <cfRule type="expression" dxfId="285" priority="93" stopIfTrue="1">
      <formula>CELL("proteger",N14)</formula>
    </cfRule>
  </conditionalFormatting>
  <conditionalFormatting sqref="K22">
    <cfRule type="expression" dxfId="284" priority="77" stopIfTrue="1">
      <formula>$J22=$C$2</formula>
    </cfRule>
    <cfRule type="expression" dxfId="283" priority="78" stopIfTrue="1">
      <formula>AND($J22&lt;&gt;"",$J22&lt;&gt;"Serviço")</formula>
    </cfRule>
    <cfRule type="expression" dxfId="282" priority="79" stopIfTrue="1">
      <formula>$J22=""</formula>
    </cfRule>
  </conditionalFormatting>
  <conditionalFormatting sqref="P22">
    <cfRule type="expression" dxfId="281" priority="70" stopIfTrue="1">
      <formula>$J22=$C$2</formula>
    </cfRule>
    <cfRule type="expression" dxfId="280" priority="80" stopIfTrue="1">
      <formula>AND($J22&lt;&gt;"Serviço")</formula>
    </cfRule>
    <cfRule type="expression" dxfId="279" priority="81" stopIfTrue="1">
      <formula>CELL("proteger",P22)</formula>
    </cfRule>
  </conditionalFormatting>
  <conditionalFormatting sqref="Q22:R22">
    <cfRule type="expression" dxfId="278" priority="82" stopIfTrue="1">
      <formula>$J22=$C$2</formula>
    </cfRule>
    <cfRule type="expression" dxfId="277" priority="83" stopIfTrue="1">
      <formula>$J22&lt;&gt;"Serviço"</formula>
    </cfRule>
    <cfRule type="expression" dxfId="276" priority="84" stopIfTrue="1">
      <formula>CELL("proteger",Q22)</formula>
    </cfRule>
  </conditionalFormatting>
  <conditionalFormatting sqref="S22:T22 Y22:Z22">
    <cfRule type="expression" dxfId="275" priority="85" stopIfTrue="1">
      <formula>$J22=$C$2</formula>
    </cfRule>
    <cfRule type="expression" dxfId="274" priority="86" stopIfTrue="1">
      <formula>$J22&lt;&gt;"Serviço"</formula>
    </cfRule>
  </conditionalFormatting>
  <conditionalFormatting sqref="L22:M22">
    <cfRule type="expression" dxfId="273" priority="87" stopIfTrue="1">
      <formula>$J22=$C$2</formula>
    </cfRule>
    <cfRule type="expression" dxfId="272" priority="88" stopIfTrue="1">
      <formula>$J22&lt;&gt;"Serviço"</formula>
    </cfRule>
    <cfRule type="expression" dxfId="271" priority="89" stopIfTrue="1">
      <formula>OR(CELL("proteger",L22),$J22="",TipoOrçamento="Licitado")</formula>
    </cfRule>
  </conditionalFormatting>
  <conditionalFormatting sqref="J22">
    <cfRule type="expression" dxfId="270" priority="90" stopIfTrue="1">
      <formula>TipoOrçamento="Licitado"</formula>
    </cfRule>
  </conditionalFormatting>
  <conditionalFormatting sqref="O22">
    <cfRule type="expression" dxfId="269" priority="71" stopIfTrue="1">
      <formula>$J22=$C$2</formula>
    </cfRule>
    <cfRule type="expression" dxfId="268" priority="72" stopIfTrue="1">
      <formula>AND($J22&lt;&gt;"Serviço")</formula>
    </cfRule>
    <cfRule type="expression" dxfId="267" priority="73" stopIfTrue="1">
      <formula>CELL("proteger",O22)</formula>
    </cfRule>
  </conditionalFormatting>
  <conditionalFormatting sqref="N22">
    <cfRule type="expression" dxfId="266" priority="74" stopIfTrue="1">
      <formula>$J22=$C$2</formula>
    </cfRule>
    <cfRule type="expression" dxfId="265" priority="75" stopIfTrue="1">
      <formula>$J22&lt;&gt;"Serviço"</formula>
    </cfRule>
    <cfRule type="expression" dxfId="264" priority="76" stopIfTrue="1">
      <formula>CELL("proteger",N22)</formula>
    </cfRule>
  </conditionalFormatting>
  <conditionalFormatting sqref="K36">
    <cfRule type="expression" dxfId="263" priority="56" stopIfTrue="1">
      <formula>$J36=$C$2</formula>
    </cfRule>
    <cfRule type="expression" dxfId="262" priority="57" stopIfTrue="1">
      <formula>AND($J36&lt;&gt;"",$J36&lt;&gt;"Serviço")</formula>
    </cfRule>
    <cfRule type="expression" dxfId="261" priority="58" stopIfTrue="1">
      <formula>$J36=""</formula>
    </cfRule>
  </conditionalFormatting>
  <conditionalFormatting sqref="P36">
    <cfRule type="expression" dxfId="260" priority="49" stopIfTrue="1">
      <formula>$J36=$C$2</formula>
    </cfRule>
    <cfRule type="expression" dxfId="259" priority="59" stopIfTrue="1">
      <formula>AND($J36&lt;&gt;"Serviço")</formula>
    </cfRule>
    <cfRule type="expression" dxfId="258" priority="60" stopIfTrue="1">
      <formula>CELL("proteger",P36)</formula>
    </cfRule>
  </conditionalFormatting>
  <conditionalFormatting sqref="Q36:R36">
    <cfRule type="expression" dxfId="257" priority="61" stopIfTrue="1">
      <formula>$J36=$C$2</formula>
    </cfRule>
    <cfRule type="expression" dxfId="256" priority="62" stopIfTrue="1">
      <formula>$J36&lt;&gt;"Serviço"</formula>
    </cfRule>
    <cfRule type="expression" dxfId="255" priority="63" stopIfTrue="1">
      <formula>CELL("proteger",Q36)</formula>
    </cfRule>
  </conditionalFormatting>
  <conditionalFormatting sqref="S36:T36 Y36:Z36">
    <cfRule type="expression" dxfId="254" priority="64" stopIfTrue="1">
      <formula>$J36=$C$2</formula>
    </cfRule>
    <cfRule type="expression" dxfId="253" priority="65" stopIfTrue="1">
      <formula>$J36&lt;&gt;"Serviço"</formula>
    </cfRule>
  </conditionalFormatting>
  <conditionalFormatting sqref="L36:M36">
    <cfRule type="expression" dxfId="252" priority="66" stopIfTrue="1">
      <formula>$J36=$C$2</formula>
    </cfRule>
    <cfRule type="expression" dxfId="251" priority="67" stopIfTrue="1">
      <formula>$J36&lt;&gt;"Serviço"</formula>
    </cfRule>
    <cfRule type="expression" dxfId="250" priority="68" stopIfTrue="1">
      <formula>OR(CELL("proteger",L36),$J36="",TipoOrçamento="Licitado")</formula>
    </cfRule>
  </conditionalFormatting>
  <conditionalFormatting sqref="J36">
    <cfRule type="expression" dxfId="249" priority="69" stopIfTrue="1">
      <formula>TipoOrçamento="Licitado"</formula>
    </cfRule>
  </conditionalFormatting>
  <conditionalFormatting sqref="O36">
    <cfRule type="expression" dxfId="248" priority="50" stopIfTrue="1">
      <formula>$J36=$C$2</formula>
    </cfRule>
    <cfRule type="expression" dxfId="247" priority="51" stopIfTrue="1">
      <formula>AND($J36&lt;&gt;"Serviço")</formula>
    </cfRule>
    <cfRule type="expression" dxfId="246" priority="52" stopIfTrue="1">
      <formula>CELL("proteger",O36)</formula>
    </cfRule>
  </conditionalFormatting>
  <conditionalFormatting sqref="N36">
    <cfRule type="expression" dxfId="245" priority="53" stopIfTrue="1">
      <formula>$J36=$C$2</formula>
    </cfRule>
    <cfRule type="expression" dxfId="244" priority="54" stopIfTrue="1">
      <formula>$J36&lt;&gt;"Serviço"</formula>
    </cfRule>
    <cfRule type="expression" dxfId="243" priority="55" stopIfTrue="1">
      <formula>CELL("proteger",N36)</formula>
    </cfRule>
  </conditionalFormatting>
  <conditionalFormatting sqref="K42">
    <cfRule type="expression" dxfId="242" priority="35" stopIfTrue="1">
      <formula>$J42=$C$2</formula>
    </cfRule>
    <cfRule type="expression" dxfId="241" priority="36" stopIfTrue="1">
      <formula>AND($J42&lt;&gt;"",$J42&lt;&gt;"Serviço")</formula>
    </cfRule>
    <cfRule type="expression" dxfId="240" priority="37" stopIfTrue="1">
      <formula>$J42=""</formula>
    </cfRule>
  </conditionalFormatting>
  <conditionalFormatting sqref="P42">
    <cfRule type="expression" dxfId="239" priority="28" stopIfTrue="1">
      <formula>$J42=$C$2</formula>
    </cfRule>
    <cfRule type="expression" dxfId="238" priority="38" stopIfTrue="1">
      <formula>AND($J42&lt;&gt;"Serviço")</formula>
    </cfRule>
    <cfRule type="expression" dxfId="237" priority="39" stopIfTrue="1">
      <formula>CELL("proteger",P42)</formula>
    </cfRule>
  </conditionalFormatting>
  <conditionalFormatting sqref="Q42:R42">
    <cfRule type="expression" dxfId="236" priority="40" stopIfTrue="1">
      <formula>$J42=$C$2</formula>
    </cfRule>
    <cfRule type="expression" dxfId="235" priority="41" stopIfTrue="1">
      <formula>$J42&lt;&gt;"Serviço"</formula>
    </cfRule>
    <cfRule type="expression" dxfId="234" priority="42" stopIfTrue="1">
      <formula>CELL("proteger",Q42)</formula>
    </cfRule>
  </conditionalFormatting>
  <conditionalFormatting sqref="S42:T42 Y42:Z42">
    <cfRule type="expression" dxfId="233" priority="43" stopIfTrue="1">
      <formula>$J42=$C$2</formula>
    </cfRule>
    <cfRule type="expression" dxfId="232" priority="44" stopIfTrue="1">
      <formula>$J42&lt;&gt;"Serviço"</formula>
    </cfRule>
  </conditionalFormatting>
  <conditionalFormatting sqref="L42:M42">
    <cfRule type="expression" dxfId="231" priority="45" stopIfTrue="1">
      <formula>$J42=$C$2</formula>
    </cfRule>
    <cfRule type="expression" dxfId="230" priority="46" stopIfTrue="1">
      <formula>$J42&lt;&gt;"Serviço"</formula>
    </cfRule>
    <cfRule type="expression" dxfId="229" priority="47" stopIfTrue="1">
      <formula>OR(CELL("proteger",L42),$J42="",TipoOrçamento="Licitado")</formula>
    </cfRule>
  </conditionalFormatting>
  <conditionalFormatting sqref="J42">
    <cfRule type="expression" dxfId="228" priority="48" stopIfTrue="1">
      <formula>TipoOrçamento="Licitado"</formula>
    </cfRule>
  </conditionalFormatting>
  <conditionalFormatting sqref="O42">
    <cfRule type="expression" dxfId="227" priority="29" stopIfTrue="1">
      <formula>$J42=$C$2</formula>
    </cfRule>
    <cfRule type="expression" dxfId="226" priority="30" stopIfTrue="1">
      <formula>AND($J42&lt;&gt;"Serviço")</formula>
    </cfRule>
    <cfRule type="expression" dxfId="225" priority="31" stopIfTrue="1">
      <formula>CELL("proteger",O42)</formula>
    </cfRule>
  </conditionalFormatting>
  <conditionalFormatting sqref="N42">
    <cfRule type="expression" dxfId="224" priority="25" stopIfTrue="1">
      <formula>$J42=$C$2</formula>
    </cfRule>
    <cfRule type="expression" dxfId="223" priority="26" stopIfTrue="1">
      <formula>$J42&lt;&gt;"Serviço"</formula>
    </cfRule>
    <cfRule type="expression" dxfId="222" priority="27" stopIfTrue="1">
      <formula>CELL("proteger",N42)</formula>
    </cfRule>
  </conditionalFormatting>
  <conditionalFormatting sqref="K48">
    <cfRule type="expression" dxfId="221" priority="11" stopIfTrue="1">
      <formula>$J48=$C$2</formula>
    </cfRule>
    <cfRule type="expression" dxfId="220" priority="12" stopIfTrue="1">
      <formula>AND($J48&lt;&gt;"",$J48&lt;&gt;"Serviço")</formula>
    </cfRule>
    <cfRule type="expression" dxfId="219" priority="13" stopIfTrue="1">
      <formula>$J48=""</formula>
    </cfRule>
  </conditionalFormatting>
  <conditionalFormatting sqref="P48">
    <cfRule type="expression" dxfId="218" priority="4" stopIfTrue="1">
      <formula>$J48=$C$2</formula>
    </cfRule>
    <cfRule type="expression" dxfId="217" priority="14" stopIfTrue="1">
      <formula>AND($J48&lt;&gt;"Serviço")</formula>
    </cfRule>
    <cfRule type="expression" dxfId="216" priority="15" stopIfTrue="1">
      <formula>CELL("proteger",P48)</formula>
    </cfRule>
  </conditionalFormatting>
  <conditionalFormatting sqref="Q48:R48">
    <cfRule type="expression" dxfId="215" priority="16" stopIfTrue="1">
      <formula>$J48=$C$2</formula>
    </cfRule>
    <cfRule type="expression" dxfId="214" priority="17" stopIfTrue="1">
      <formula>$J48&lt;&gt;"Serviço"</formula>
    </cfRule>
    <cfRule type="expression" dxfId="213" priority="18" stopIfTrue="1">
      <formula>CELL("proteger",Q48)</formula>
    </cfRule>
  </conditionalFormatting>
  <conditionalFormatting sqref="S48:T48 Y48:Z48">
    <cfRule type="expression" dxfId="212" priority="19" stopIfTrue="1">
      <formula>$J48=$C$2</formula>
    </cfRule>
    <cfRule type="expression" dxfId="211" priority="20" stopIfTrue="1">
      <formula>$J48&lt;&gt;"Serviço"</formula>
    </cfRule>
  </conditionalFormatting>
  <conditionalFormatting sqref="L48:M48">
    <cfRule type="expression" dxfId="210" priority="21" stopIfTrue="1">
      <formula>$J48=$C$2</formula>
    </cfRule>
    <cfRule type="expression" dxfId="209" priority="22" stopIfTrue="1">
      <formula>$J48&lt;&gt;"Serviço"</formula>
    </cfRule>
    <cfRule type="expression" dxfId="208" priority="23" stopIfTrue="1">
      <formula>OR(CELL("proteger",L48),$J48="",TipoOrçamento="Licitado")</formula>
    </cfRule>
  </conditionalFormatting>
  <conditionalFormatting sqref="J48">
    <cfRule type="expression" dxfId="207" priority="24" stopIfTrue="1">
      <formula>TipoOrçamento="Licitado"</formula>
    </cfRule>
  </conditionalFormatting>
  <conditionalFormatting sqref="O48">
    <cfRule type="expression" dxfId="206" priority="5" stopIfTrue="1">
      <formula>$J48=$C$2</formula>
    </cfRule>
    <cfRule type="expression" dxfId="205" priority="6" stopIfTrue="1">
      <formula>AND($J48&lt;&gt;"Serviço")</formula>
    </cfRule>
    <cfRule type="expression" dxfId="204" priority="7" stopIfTrue="1">
      <formula>CELL("proteger",O48)</formula>
    </cfRule>
  </conditionalFormatting>
  <conditionalFormatting sqref="N48">
    <cfRule type="expression" dxfId="203" priority="1" stopIfTrue="1">
      <formula>$J48=$C$2</formula>
    </cfRule>
    <cfRule type="expression" dxfId="202" priority="2" stopIfTrue="1">
      <formula>$J48&lt;&gt;"Serviço"</formula>
    </cfRule>
    <cfRule type="expression" dxfId="201" priority="3" stopIfTrue="1">
      <formula>CELL("proteger",N48)</formula>
    </cfRule>
  </conditionalFormatting>
  <dataValidations count="3">
    <dataValidation type="decimal" operator="greaterThan" allowBlank="1" showInputMessage="1" showErrorMessage="1" error="Apenas números decimais maiores que zero." sqref="Q11 Q13:Q53"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53"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53"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65"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60"/>
  <sheetViews>
    <sheetView showGridLines="0" zoomScale="70" zoomScaleNormal="70" workbookViewId="0">
      <selection activeCell="K48" sqref="K48"/>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207" t="s">
        <v>233</v>
      </c>
      <c r="G9" s="207"/>
      <c r="H9" s="207"/>
      <c r="I9" s="207"/>
      <c r="J9" s="207"/>
      <c r="K9" s="207"/>
      <c r="L9" s="207"/>
      <c r="M9" s="207"/>
      <c r="N9" s="207"/>
      <c r="O9" s="207"/>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x14ac:dyDescent="0.2">
      <c r="A13" s="108" t="str">
        <f ca="1">OFFSET(PO!J$12,ROW(A13)-ROW($A$12),0)</f>
        <v>Meta</v>
      </c>
      <c r="B13" s="112" t="str">
        <f ca="1">IF($A13=0,"",OFFSET(PO!K$12,ROW(B13)-ROW(B$12),0))</f>
        <v>1.</v>
      </c>
      <c r="C13" s="109" t="str">
        <f ca="1">IF(OFFSET(PO!N$12,ROW(C13)-ROW(C$12),0)=0,"",OFFSET(PO!N$12,ROW(C13)-ROW(C$12),0))</f>
        <v>AGREGADOS BASÁLTICOS</v>
      </c>
      <c r="D13" s="111" t="str">
        <f ca="1">IF(OFFSET(PO!O$12,ROW(D13)-ROW(D$12),0)=0,"",OFFSET(PO!O$12,ROW(D13)-ROW(D$12),0))</f>
        <v/>
      </c>
      <c r="E13" s="140">
        <f ca="1">IF($A13&lt;&gt;"Serviço",0,ROUND(SUMIF($F$9:$P$9,"&lt;&gt;",$F13:$P13),15-13*PO!$X$3))</f>
        <v>0</v>
      </c>
      <c r="F13" s="206">
        <f ca="1">OFFSET(PO!$P$12,ROW($E13)-ROW(F$12),0)</f>
        <v>0</v>
      </c>
      <c r="G13" s="206"/>
      <c r="H13" s="206"/>
      <c r="I13" s="206"/>
      <c r="J13" s="206"/>
      <c r="K13" s="206"/>
      <c r="L13" s="206"/>
      <c r="M13" s="206"/>
      <c r="N13" s="206"/>
      <c r="O13" s="206"/>
      <c r="U13" s="182"/>
    </row>
    <row r="14" spans="1:21" s="1" customFormat="1" ht="25.5" x14ac:dyDescent="0.2">
      <c r="A14" s="110" t="str">
        <f ca="1">OFFSET(PO!J$12,ROW(A14)-ROW($A$12),0)</f>
        <v>Nível 2</v>
      </c>
      <c r="B14" s="112" t="str">
        <f ca="1">IF($A14=0,"",OFFSET(PO!K$12,ROW(B14)-ROW(B$12),0))</f>
        <v>1.1.</v>
      </c>
      <c r="C14" s="109" t="str">
        <f ca="1">IF(OFFSET(PO!N$12,ROW(C14)-ROW(C$12),0)=0,"",OFFSET(PO!N$12,ROW(C14)-ROW(C$12),0))</f>
        <v>ENTREGUE NA SECRETARIA MUNICIPAL DE VIAÇÃO E OBRAS PÚBLICAS (SMVOP)</v>
      </c>
      <c r="D14" s="111" t="str">
        <f ca="1">IF(OFFSET(PO!O$12,ROW(D14)-ROW(D$12),0)=0,"",OFFSET(PO!O$12,ROW(D14)-ROW(D$12),0))</f>
        <v/>
      </c>
      <c r="E14" s="140">
        <f ca="1">IF($A14&lt;&gt;"Serviço",0,ROUND(SUMIF($F$9:$P$9,"&lt;&gt;",$F14:$P14),15-13*PO!$X$3))</f>
        <v>0</v>
      </c>
      <c r="F14" s="206">
        <f ca="1">OFFSET(PO!$P$12,ROW($E14)-ROW(F$12),0)</f>
        <v>0</v>
      </c>
      <c r="G14" s="206"/>
      <c r="H14" s="206"/>
      <c r="I14" s="206"/>
      <c r="J14" s="206"/>
      <c r="K14" s="206"/>
      <c r="L14" s="206"/>
      <c r="M14" s="206"/>
      <c r="N14" s="206"/>
      <c r="O14" s="206"/>
      <c r="U14" s="182"/>
    </row>
    <row r="15" spans="1:21" s="1" customFormat="1" ht="25.5" x14ac:dyDescent="0.2">
      <c r="A15" s="110" t="str">
        <f ca="1">OFFSET(PO!J$12,ROW(A15)-ROW($A$12),0)</f>
        <v>Serviço</v>
      </c>
      <c r="B15" s="112" t="str">
        <f ca="1">IF($A15=0,"",OFFSET(PO!K$12,ROW(B15)-ROW(B$12),0))</f>
        <v>1.1.1.</v>
      </c>
      <c r="C15" s="109" t="str">
        <f ca="1">IF(OFFSET(PO!N$12,ROW(C15)-ROW(C$12),0)=0,"",OFFSET(PO!N$12,ROW(C15)-ROW(C$12),0))</f>
        <v xml:space="preserve">PEDRA BRITADA N. 1 (9,5 A 19 MM) - ENTREGA SECRETARIA MUNICIPAL DE VIAÇÃO E OBRAS PÚBLICAS </v>
      </c>
      <c r="D15" s="111" t="str">
        <f ca="1">IF(OFFSET(PO!O$12,ROW(D15)-ROW(D$12),0)=0,"",OFFSET(PO!O$12,ROW(D15)-ROW(D$12),0))</f>
        <v>T</v>
      </c>
      <c r="E15" s="140">
        <f ca="1">IF($A15&lt;&gt;"Serviço",0,ROUND(SUMIF($F$9:$P$9,"&lt;&gt;",$F15:$P15),15-13*PO!$X$3))</f>
        <v>2100</v>
      </c>
      <c r="F15" s="206">
        <f ca="1">OFFSET(PO!$P$12,ROW($E15)-ROW(F$12),0)</f>
        <v>2100</v>
      </c>
      <c r="G15" s="206"/>
      <c r="H15" s="206"/>
      <c r="I15" s="206"/>
      <c r="J15" s="206"/>
      <c r="K15" s="206"/>
      <c r="L15" s="206"/>
      <c r="M15" s="206"/>
      <c r="N15" s="206"/>
      <c r="O15" s="206"/>
      <c r="U15" s="182"/>
    </row>
    <row r="16" spans="1:21" s="1" customFormat="1" ht="25.5" x14ac:dyDescent="0.2">
      <c r="A16" s="110" t="str">
        <f ca="1">OFFSET(PO!J$12,ROW(A16)-ROW($A$12),0)</f>
        <v>Serviço</v>
      </c>
      <c r="B16" s="112" t="str">
        <f ca="1">IF($A16=0,"",OFFSET(PO!K$12,ROW(B16)-ROW(B$12),0))</f>
        <v>1.1.2.</v>
      </c>
      <c r="C16" s="109" t="str">
        <f ca="1">IF(OFFSET(PO!N$12,ROW(C16)-ROW(C$12),0)=0,"",OFFSET(PO!N$12,ROW(C16)-ROW(C$12),0))</f>
        <v>PEDRA BRITADA N. 2 (19 A 38 MM) - ENTREGA SECRETARIA MUNICIPAL DE VIAÇÃO E OBRAS PÚBLICAS</v>
      </c>
      <c r="D16" s="111" t="str">
        <f ca="1">IF(OFFSET(PO!O$12,ROW(D16)-ROW(D$12),0)=0,"",OFFSET(PO!O$12,ROW(D16)-ROW(D$12),0))</f>
        <v>T</v>
      </c>
      <c r="E16" s="140">
        <f ca="1">IF($A16&lt;&gt;"Serviço",0,ROUND(SUMIF($F$9:$P$9,"&lt;&gt;",$F16:$P16),15-13*PO!$X$3))</f>
        <v>800</v>
      </c>
      <c r="F16" s="206">
        <f ca="1">OFFSET(PO!$P$12,ROW($E16)-ROW(F$12),0)</f>
        <v>800</v>
      </c>
      <c r="G16" s="206"/>
      <c r="H16" s="206"/>
      <c r="I16" s="206"/>
      <c r="J16" s="206"/>
      <c r="K16" s="206"/>
      <c r="L16" s="206"/>
      <c r="M16" s="206"/>
      <c r="N16" s="206"/>
      <c r="O16" s="206"/>
      <c r="U16" s="182"/>
    </row>
    <row r="17" spans="1:21" s="1" customFormat="1" ht="25.5" x14ac:dyDescent="0.2">
      <c r="A17" s="110" t="str">
        <f ca="1">OFFSET(PO!J$12,ROW(A17)-ROW($A$12),0)</f>
        <v>Serviço</v>
      </c>
      <c r="B17" s="112" t="str">
        <f ca="1">IF($A17=0,"",OFFSET(PO!K$12,ROW(B17)-ROW(B$12),0))</f>
        <v>1.1.3.</v>
      </c>
      <c r="C17" s="109" t="str">
        <f ca="1">IF(OFFSET(PO!N$12,ROW(C17)-ROW(C$12),0)=0,"",OFFSET(PO!N$12,ROW(C17)-ROW(C$12),0))</f>
        <v xml:space="preserve">PEDRA BRITADA N. 3 (38 A 50 MM) - ENTREGA NA SECRETARIA MUNICIPAL DE VIAÇÃO E OBRAS PÚBLICAS </v>
      </c>
      <c r="D17" s="111" t="str">
        <f ca="1">IF(OFFSET(PO!O$12,ROW(D17)-ROW(D$12),0)=0,"",OFFSET(PO!O$12,ROW(D17)-ROW(D$12),0))</f>
        <v>T</v>
      </c>
      <c r="E17" s="140">
        <f ca="1">IF($A17&lt;&gt;"Serviço",0,ROUND(SUMIF($F$9:$P$9,"&lt;&gt;",$F17:$P17),15-13*PO!$X$3))</f>
        <v>600</v>
      </c>
      <c r="F17" s="206">
        <f ca="1">OFFSET(PO!$P$12,ROW($E17)-ROW(F$12),0)</f>
        <v>600</v>
      </c>
      <c r="G17" s="206"/>
      <c r="H17" s="206"/>
      <c r="I17" s="206"/>
      <c r="J17" s="206"/>
      <c r="K17" s="206"/>
      <c r="L17" s="206"/>
      <c r="M17" s="206"/>
      <c r="N17" s="206"/>
      <c r="O17" s="206"/>
      <c r="U17" s="182"/>
    </row>
    <row r="18" spans="1:21" s="1" customFormat="1" ht="25.5" x14ac:dyDescent="0.2">
      <c r="A18" s="110" t="str">
        <f ca="1">OFFSET(PO!J$12,ROW(A18)-ROW($A$12),0)</f>
        <v>Serviço</v>
      </c>
      <c r="B18" s="112" t="str">
        <f ca="1">IF($A18=0,"",OFFSET(PO!K$12,ROW(B18)-ROW(B$12),0))</f>
        <v>1.1.4.</v>
      </c>
      <c r="C18" s="109" t="str">
        <f ca="1">IF(OFFSET(PO!N$12,ROW(C18)-ROW(C$12),0)=0,"",OFFSET(PO!N$12,ROW(C18)-ROW(C$12),0))</f>
        <v>PEDRA BRITADA N. 0 OU PEDRISCO (4,8 A 9,5 MM) - ENTREGA SECRETARIA MUNICIPAL DE VIAÇÃO E OBRAS PÚBLICAS</v>
      </c>
      <c r="D18" s="111" t="str">
        <f ca="1">IF(OFFSET(PO!O$12,ROW(D18)-ROW(D$12),0)=0,"",OFFSET(PO!O$12,ROW(D18)-ROW(D$12),0))</f>
        <v>T</v>
      </c>
      <c r="E18" s="140">
        <f ca="1">IF($A18&lt;&gt;"Serviço",0,ROUND(SUMIF($F$9:$P$9,"&lt;&gt;",$F18:$P18),15-13*PO!$X$3))</f>
        <v>1500</v>
      </c>
      <c r="F18" s="206">
        <f ca="1">OFFSET(PO!$P$12,ROW($E18)-ROW(F$12),0)</f>
        <v>1500</v>
      </c>
      <c r="G18" s="206"/>
      <c r="H18" s="206"/>
      <c r="I18" s="206"/>
      <c r="J18" s="206"/>
      <c r="K18" s="206"/>
      <c r="L18" s="206"/>
      <c r="M18" s="206"/>
      <c r="N18" s="206"/>
      <c r="O18" s="206"/>
      <c r="U18" s="182"/>
    </row>
    <row r="19" spans="1:21" s="1" customFormat="1" ht="25.5" x14ac:dyDescent="0.2">
      <c r="A19" s="110" t="str">
        <f ca="1">OFFSET(PO!J$12,ROW(A19)-ROW($A$12),0)</f>
        <v>Serviço</v>
      </c>
      <c r="B19" s="112" t="str">
        <f ca="1">IF($A19=0,"",OFFSET(PO!K$12,ROW(B19)-ROW(B$12),0))</f>
        <v>1.1.5.</v>
      </c>
      <c r="C19" s="109" t="str">
        <f ca="1">IF(OFFSET(PO!N$12,ROW(C19)-ROW(C$12),0)=0,"",OFFSET(PO!N$12,ROW(C19)-ROW(C$12),0))</f>
        <v xml:space="preserve">PÓ DE BRITA - ENTREGA SECRETARIA MUNICIPAL DE VIAÇÃO E OBRAS PÚBLICAS </v>
      </c>
      <c r="D19" s="111" t="str">
        <f ca="1">IF(OFFSET(PO!O$12,ROW(D19)-ROW(D$12),0)=0,"",OFFSET(PO!O$12,ROW(D19)-ROW(D$12),0))</f>
        <v>T</v>
      </c>
      <c r="E19" s="140">
        <f ca="1">IF($A19&lt;&gt;"Serviço",0,ROUND(SUMIF($F$9:$P$9,"&lt;&gt;",$F19:$P19),15-13*PO!$X$3))</f>
        <v>3000</v>
      </c>
      <c r="F19" s="206">
        <f ca="1">OFFSET(PO!$P$12,ROW($E19)-ROW(F$12),0)</f>
        <v>3000</v>
      </c>
      <c r="G19" s="206"/>
      <c r="H19" s="206"/>
      <c r="I19" s="206"/>
      <c r="J19" s="206"/>
      <c r="K19" s="206"/>
      <c r="L19" s="206"/>
      <c r="M19" s="206"/>
      <c r="N19" s="206"/>
      <c r="O19" s="206"/>
      <c r="U19" s="182"/>
    </row>
    <row r="20" spans="1:21" s="1" customFormat="1" ht="38.25" x14ac:dyDescent="0.2">
      <c r="A20" s="110" t="str">
        <f ca="1">OFFSET(PO!J$12,ROW(A20)-ROW($A$12),0)</f>
        <v>Serviço</v>
      </c>
      <c r="B20" s="112" t="str">
        <f ca="1">IF($A20=0,"",OFFSET(PO!K$12,ROW(B20)-ROW(B$12),0))</f>
        <v>1.1.6.</v>
      </c>
      <c r="C20" s="109" t="str">
        <f ca="1">IF(OFFSET(PO!N$12,ROW(C20)-ROW(C$12),0)=0,"",OFFSET(PO!N$12,ROW(C20)-ROW(C$12),0))</f>
        <v xml:space="preserve">BRITA GRADUADA CLASSE A, CONFORME DAER -ES-P 08/91 PARA BASE OU SUB BASE - ENTREGA SECRETARIA MUNICIPAL DE VIAÇÃO E OBRAS PÚBLICAS </v>
      </c>
      <c r="D20" s="111" t="str">
        <f ca="1">IF(OFFSET(PO!O$12,ROW(D20)-ROW(D$12),0)=0,"",OFFSET(PO!O$12,ROW(D20)-ROW(D$12),0))</f>
        <v>T</v>
      </c>
      <c r="E20" s="140">
        <f ca="1">IF($A20&lt;&gt;"Serviço",0,ROUND(SUMIF($F$9:$P$9,"&lt;&gt;",$F20:$P20),15-13*PO!$X$3))</f>
        <v>1000</v>
      </c>
      <c r="F20" s="206">
        <f ca="1">OFFSET(PO!$P$12,ROW($E20)-ROW(F$12),0)</f>
        <v>1000</v>
      </c>
      <c r="G20" s="206"/>
      <c r="H20" s="206"/>
      <c r="I20" s="206"/>
      <c r="J20" s="206"/>
      <c r="K20" s="206"/>
      <c r="L20" s="206"/>
      <c r="M20" s="206"/>
      <c r="N20" s="206"/>
      <c r="O20" s="206"/>
      <c r="U20" s="182"/>
    </row>
    <row r="21" spans="1:21" s="1" customFormat="1" ht="51" x14ac:dyDescent="0.2">
      <c r="A21" s="110" t="str">
        <f ca="1">OFFSET(PO!J$12,ROW(A21)-ROW($A$12),0)</f>
        <v>Serviço</v>
      </c>
      <c r="B21" s="112" t="str">
        <f ca="1">IF($A21=0,"",OFFSET(PO!K$12,ROW(B21)-ROW(B$12),0))</f>
        <v>1.1.7.</v>
      </c>
      <c r="C21" s="109" t="str">
        <f ca="1">IF(OFFSET(PO!N$12,ROW(C21)-ROW(C$12),0)=0,"",OFFSET(PO!N$12,ROW(C21)-ROW(C$12),0))</f>
        <v xml:space="preserve">MACADAME SECO COM BRITA COMERCIAL - BRITA 4, PEDRISCO E PÓ DE BRITA - MATERIAL DE ENCHIMENTO FAIXA V - CONFORME DAER-ES-P 07/91 - ENTREGA SECRETARIA MUNICIPAL DE VIAÇÃO E OBRAS PÚBLICAS </v>
      </c>
      <c r="D21" s="111" t="str">
        <f ca="1">IF(OFFSET(PO!O$12,ROW(D21)-ROW(D$12),0)=0,"",OFFSET(PO!O$12,ROW(D21)-ROW(D$12),0))</f>
        <v>T</v>
      </c>
      <c r="E21" s="140">
        <f ca="1">IF($A21&lt;&gt;"Serviço",0,ROUND(SUMIF($F$9:$P$9,"&lt;&gt;",$F21:$P21),15-13*PO!$X$3))</f>
        <v>1000</v>
      </c>
      <c r="F21" s="206">
        <f ca="1">OFFSET(PO!$P$12,ROW($E21)-ROW(F$12),0)</f>
        <v>1000</v>
      </c>
      <c r="G21" s="206"/>
      <c r="H21" s="206"/>
      <c r="I21" s="206"/>
      <c r="J21" s="206"/>
      <c r="K21" s="206"/>
      <c r="L21" s="206"/>
      <c r="M21" s="206"/>
      <c r="N21" s="206"/>
      <c r="O21" s="206"/>
      <c r="U21" s="182"/>
    </row>
    <row r="22" spans="1:21" s="1" customFormat="1" x14ac:dyDescent="0.2">
      <c r="A22" s="110" t="str">
        <f ca="1">OFFSET(PO!J$12,ROW(A22)-ROW($A$12),0)</f>
        <v>Nível 2</v>
      </c>
      <c r="B22" s="112" t="str">
        <f ca="1">IF($A22=0,"",OFFSET(PO!K$12,ROW(B22)-ROW(B$12),0))</f>
        <v>1.2.</v>
      </c>
      <c r="C22" s="109" t="str">
        <f ca="1">IF(OFFSET(PO!N$12,ROW(C22)-ROW(C$12),0)=0,"",OFFSET(PO!N$12,ROW(C22)-ROW(C$12),0))</f>
        <v>SEM FRETE  (PARA RETIRAR NA UNIDADE DE BRITAGEM)</v>
      </c>
      <c r="D22" s="111" t="str">
        <f ca="1">IF(OFFSET(PO!O$12,ROW(D22)-ROW(D$12),0)=0,"",OFFSET(PO!O$12,ROW(D22)-ROW(D$12),0))</f>
        <v/>
      </c>
      <c r="E22" s="140">
        <f ca="1">IF($A22&lt;&gt;"Serviço",0,ROUND(SUMIF($F$9:$P$9,"&lt;&gt;",$F22:$P22),15-13*PO!$X$3))</f>
        <v>0</v>
      </c>
      <c r="F22" s="206">
        <f ca="1">OFFSET(PO!$P$12,ROW($E22)-ROW(F$12),0)</f>
        <v>0</v>
      </c>
      <c r="G22" s="206"/>
      <c r="H22" s="206"/>
      <c r="I22" s="206"/>
      <c r="J22" s="206"/>
      <c r="K22" s="206"/>
      <c r="L22" s="206"/>
      <c r="M22" s="206"/>
      <c r="N22" s="206"/>
      <c r="O22" s="206"/>
      <c r="U22" s="182"/>
    </row>
    <row r="23" spans="1:21" s="1" customFormat="1" ht="25.5" x14ac:dyDescent="0.2">
      <c r="A23" s="110" t="str">
        <f ca="1">OFFSET(PO!J$12,ROW(A23)-ROW($A$12),0)</f>
        <v>Serviço</v>
      </c>
      <c r="B23" s="112" t="str">
        <f ca="1">IF($A23=0,"",OFFSET(PO!K$12,ROW(B23)-ROW(B$12),0))</f>
        <v>1.2.1.</v>
      </c>
      <c r="C23" s="109" t="str">
        <f ca="1">IF(OFFSET(PO!N$12,ROW(C23)-ROW(C$12),0)=0,"",OFFSET(PO!N$12,ROW(C23)-ROW(C$12),0))</f>
        <v>PEDRA BRITADA N. 1 (9,5 A 19 MM) - POSTO PEDREIRA/FORNECEDOR, SEM FRETE</v>
      </c>
      <c r="D23" s="111" t="str">
        <f ca="1">IF(OFFSET(PO!O$12,ROW(D23)-ROW(D$12),0)=0,"",OFFSET(PO!O$12,ROW(D23)-ROW(D$12),0))</f>
        <v>T</v>
      </c>
      <c r="E23" s="140">
        <f ca="1">IF($A23&lt;&gt;"Serviço",0,ROUND(SUMIF($F$9:$P$9,"&lt;&gt;",$F23:$P23),15-13*PO!$X$3))</f>
        <v>11500</v>
      </c>
      <c r="F23" s="206">
        <f ca="1">OFFSET(PO!$P$12,ROW($E23)-ROW(F$12),0)</f>
        <v>11500</v>
      </c>
      <c r="G23" s="206"/>
      <c r="H23" s="206"/>
      <c r="I23" s="206"/>
      <c r="J23" s="206"/>
      <c r="K23" s="206"/>
      <c r="L23" s="206"/>
      <c r="M23" s="206"/>
      <c r="N23" s="206"/>
      <c r="O23" s="206"/>
      <c r="U23" s="182"/>
    </row>
    <row r="24" spans="1:21" s="1" customFormat="1" ht="25.5" x14ac:dyDescent="0.2">
      <c r="A24" s="110" t="str">
        <f ca="1">OFFSET(PO!J$12,ROW(A24)-ROW($A$12),0)</f>
        <v>Serviço</v>
      </c>
      <c r="B24" s="112" t="str">
        <f ca="1">IF($A24=0,"",OFFSET(PO!K$12,ROW(B24)-ROW(B$12),0))</f>
        <v>1.2.2.</v>
      </c>
      <c r="C24" s="109" t="str">
        <f ca="1">IF(OFFSET(PO!N$12,ROW(C24)-ROW(C$12),0)=0,"",OFFSET(PO!N$12,ROW(C24)-ROW(C$12),0))</f>
        <v>PEDRA BRITADA N. 2 (19 A 38 MM) POSTO PEDREIRA/FORNECEDOR, SEM FRETE</v>
      </c>
      <c r="D24" s="111" t="str">
        <f ca="1">IF(OFFSET(PO!O$12,ROW(D24)-ROW(D$12),0)=0,"",OFFSET(PO!O$12,ROW(D24)-ROW(D$12),0))</f>
        <v>T</v>
      </c>
      <c r="E24" s="140">
        <f ca="1">IF($A24&lt;&gt;"Serviço",0,ROUND(SUMIF($F$9:$P$9,"&lt;&gt;",$F24:$P24),15-13*PO!$X$3))</f>
        <v>1500</v>
      </c>
      <c r="F24" s="206">
        <f ca="1">OFFSET(PO!$P$12,ROW($E24)-ROW(F$12),0)</f>
        <v>1500</v>
      </c>
      <c r="G24" s="206"/>
      <c r="H24" s="206"/>
      <c r="I24" s="206"/>
      <c r="J24" s="206"/>
      <c r="K24" s="206"/>
      <c r="L24" s="206"/>
      <c r="M24" s="206"/>
      <c r="N24" s="206"/>
      <c r="O24" s="206"/>
      <c r="U24" s="182"/>
    </row>
    <row r="25" spans="1:21" s="1" customFormat="1" ht="25.5" x14ac:dyDescent="0.2">
      <c r="A25" s="110" t="str">
        <f ca="1">OFFSET(PO!J$12,ROW(A25)-ROW($A$12),0)</f>
        <v>Serviço</v>
      </c>
      <c r="B25" s="112" t="str">
        <f ca="1">IF($A25=0,"",OFFSET(PO!K$12,ROW(B25)-ROW(B$12),0))</f>
        <v>1.2.3.</v>
      </c>
      <c r="C25" s="109" t="str">
        <f ca="1">IF(OFFSET(PO!N$12,ROW(C25)-ROW(C$12),0)=0,"",OFFSET(PO!N$12,ROW(C25)-ROW(C$12),0))</f>
        <v xml:space="preserve">PEDRA BRITADA N. 3 (38 A 50 MM) - POSTO PEDREIRA/FORNECEDOR, SEM FRETE </v>
      </c>
      <c r="D25" s="111" t="str">
        <f ca="1">IF(OFFSET(PO!O$12,ROW(D25)-ROW(D$12),0)=0,"",OFFSET(PO!O$12,ROW(D25)-ROW(D$12),0))</f>
        <v>T</v>
      </c>
      <c r="E25" s="140">
        <f ca="1">IF($A25&lt;&gt;"Serviço",0,ROUND(SUMIF($F$9:$P$9,"&lt;&gt;",$F25:$P25),15-13*PO!$X$3))</f>
        <v>1000</v>
      </c>
      <c r="F25" s="206">
        <f ca="1">OFFSET(PO!$P$12,ROW($E25)-ROW(F$12),0)</f>
        <v>1000</v>
      </c>
      <c r="G25" s="206"/>
      <c r="H25" s="206"/>
      <c r="I25" s="206"/>
      <c r="J25" s="206"/>
      <c r="K25" s="206"/>
      <c r="L25" s="206"/>
      <c r="M25" s="206"/>
      <c r="N25" s="206"/>
      <c r="O25" s="206"/>
      <c r="U25" s="182"/>
    </row>
    <row r="26" spans="1:21" s="1" customFormat="1" ht="25.5" x14ac:dyDescent="0.2">
      <c r="A26" s="110" t="str">
        <f ca="1">OFFSET(PO!J$12,ROW(A26)-ROW($A$12),0)</f>
        <v>Serviço</v>
      </c>
      <c r="B26" s="112" t="str">
        <f ca="1">IF($A26=0,"",OFFSET(PO!K$12,ROW(B26)-ROW(B$12),0))</f>
        <v>1.2.4.</v>
      </c>
      <c r="C26" s="109" t="str">
        <f ca="1">IF(OFFSET(PO!N$12,ROW(C26)-ROW(C$12),0)=0,"",OFFSET(PO!N$12,ROW(C26)-ROW(C$12),0))</f>
        <v>PEDRA BRITADA N. 0 OU PEDRISCO (4,8 A 9,5 MM) - POSTO PEDREIRA/FORNECEDOR, SEM FRETE</v>
      </c>
      <c r="D26" s="111" t="str">
        <f ca="1">IF(OFFSET(PO!O$12,ROW(D26)-ROW(D$12),0)=0,"",OFFSET(PO!O$12,ROW(D26)-ROW(D$12),0))</f>
        <v>T</v>
      </c>
      <c r="E26" s="140">
        <f ca="1">IF($A26&lt;&gt;"Serviço",0,ROUND(SUMIF($F$9:$P$9,"&lt;&gt;",$F26:$P26),15-13*PO!$X$3))</f>
        <v>1500</v>
      </c>
      <c r="F26" s="206">
        <f ca="1">OFFSET(PO!$P$12,ROW($E26)-ROW(F$12),0)</f>
        <v>1500</v>
      </c>
      <c r="G26" s="206"/>
      <c r="H26" s="206"/>
      <c r="I26" s="206"/>
      <c r="J26" s="206"/>
      <c r="K26" s="206"/>
      <c r="L26" s="206"/>
      <c r="M26" s="206"/>
      <c r="N26" s="206"/>
      <c r="O26" s="206"/>
      <c r="U26" s="182"/>
    </row>
    <row r="27" spans="1:21" s="1" customFormat="1" x14ac:dyDescent="0.2">
      <c r="A27" s="110" t="str">
        <f ca="1">OFFSET(PO!J$12,ROW(A27)-ROW($A$12),0)</f>
        <v>Serviço</v>
      </c>
      <c r="B27" s="112" t="str">
        <f ca="1">IF($A27=0,"",OFFSET(PO!K$12,ROW(B27)-ROW(B$12),0))</f>
        <v>1.2.5.</v>
      </c>
      <c r="C27" s="109" t="str">
        <f ca="1">IF(OFFSET(PO!N$12,ROW(C27)-ROW(C$12),0)=0,"",OFFSET(PO!N$12,ROW(C27)-ROW(C$12),0))</f>
        <v>PÓ DE BRITA - POSTO PEDREIRA/FORNECEDOR, SEM FRETE</v>
      </c>
      <c r="D27" s="111" t="str">
        <f ca="1">IF(OFFSET(PO!O$12,ROW(D27)-ROW(D$12),0)=0,"",OFFSET(PO!O$12,ROW(D27)-ROW(D$12),0))</f>
        <v>T</v>
      </c>
      <c r="E27" s="140">
        <f ca="1">IF($A27&lt;&gt;"Serviço",0,ROUND(SUMIF($F$9:$P$9,"&lt;&gt;",$F27:$P27),15-13*PO!$X$3))</f>
        <v>1500</v>
      </c>
      <c r="F27" s="206">
        <f ca="1">OFFSET(PO!$P$12,ROW($E27)-ROW(F$12),0)</f>
        <v>1500</v>
      </c>
      <c r="G27" s="206"/>
      <c r="H27" s="206"/>
      <c r="I27" s="206"/>
      <c r="J27" s="206"/>
      <c r="K27" s="206"/>
      <c r="L27" s="206"/>
      <c r="M27" s="206"/>
      <c r="N27" s="206"/>
      <c r="O27" s="206"/>
      <c r="U27" s="182"/>
    </row>
    <row r="28" spans="1:21" s="1" customFormat="1" ht="38.25" x14ac:dyDescent="0.2">
      <c r="A28" s="110" t="str">
        <f ca="1">OFFSET(PO!J$12,ROW(A28)-ROW($A$12),0)</f>
        <v>Serviço</v>
      </c>
      <c r="B28" s="112" t="str">
        <f ca="1">IF($A28=0,"",OFFSET(PO!K$12,ROW(B28)-ROW(B$12),0))</f>
        <v>1.2.6.</v>
      </c>
      <c r="C28" s="109" t="str">
        <f ca="1">IF(OFFSET(PO!N$12,ROW(C28)-ROW(C$12),0)=0,"",OFFSET(PO!N$12,ROW(C28)-ROW(C$12),0))</f>
        <v xml:space="preserve">BRITA GRADUADA CLASSE A, CONFORME DAER-ES-P 08/91 PARA BASE OU SUB BASE - POSTO PEDREIRA/FORNECEDOR, SEM FRETE </v>
      </c>
      <c r="D28" s="111" t="str">
        <f ca="1">IF(OFFSET(PO!O$12,ROW(D28)-ROW(D$12),0)=0,"",OFFSET(PO!O$12,ROW(D28)-ROW(D$12),0))</f>
        <v>T</v>
      </c>
      <c r="E28" s="140">
        <f ca="1">IF($A28&lt;&gt;"Serviço",0,ROUND(SUMIF($F$9:$P$9,"&lt;&gt;",$F28:$P28),15-13*PO!$X$3))</f>
        <v>500</v>
      </c>
      <c r="F28" s="206">
        <f ca="1">OFFSET(PO!$P$12,ROW($E28)-ROW(F$12),0)</f>
        <v>500</v>
      </c>
      <c r="G28" s="206"/>
      <c r="H28" s="206"/>
      <c r="I28" s="206"/>
      <c r="J28" s="206"/>
      <c r="K28" s="206"/>
      <c r="L28" s="206"/>
      <c r="M28" s="206"/>
      <c r="N28" s="206"/>
      <c r="O28" s="206"/>
      <c r="U28" s="182"/>
    </row>
    <row r="29" spans="1:21" s="1" customFormat="1" ht="51" x14ac:dyDescent="0.2">
      <c r="A29" s="110" t="str">
        <f ca="1">OFFSET(PO!J$12,ROW(A29)-ROW($A$12),0)</f>
        <v>Serviço</v>
      </c>
      <c r="B29" s="112" t="str">
        <f ca="1">IF($A29=0,"",OFFSET(PO!K$12,ROW(B29)-ROW(B$12),0))</f>
        <v>1.2.7.</v>
      </c>
      <c r="C29" s="109" t="str">
        <f ca="1">IF(OFFSET(PO!N$12,ROW(C29)-ROW(C$12),0)=0,"",OFFSET(PO!N$12,ROW(C29)-ROW(C$12),0))</f>
        <v>MACADAME SECO COM BRITA COMERCIAL - BRITA 4, PEDRISCO E PÓ DE PEDRA - MATERIAL DE ENCHIMENTO FAIXA V - CONFORME DAER-ES-P 07/91 - POSTO PEDREIRA/FORNECEDOR, SEM FRETE</v>
      </c>
      <c r="D29" s="111" t="str">
        <f ca="1">IF(OFFSET(PO!O$12,ROW(D29)-ROW(D$12),0)=0,"",OFFSET(PO!O$12,ROW(D29)-ROW(D$12),0))</f>
        <v>T</v>
      </c>
      <c r="E29" s="140">
        <f ca="1">IF($A29&lt;&gt;"Serviço",0,ROUND(SUMIF($F$9:$P$9,"&lt;&gt;",$F29:$P29),15-13*PO!$X$3))</f>
        <v>500</v>
      </c>
      <c r="F29" s="206">
        <f ca="1">OFFSET(PO!$P$12,ROW($E29)-ROW(F$12),0)</f>
        <v>500</v>
      </c>
      <c r="G29" s="206"/>
      <c r="H29" s="206"/>
      <c r="I29" s="206"/>
      <c r="J29" s="206"/>
      <c r="K29" s="206"/>
      <c r="L29" s="206"/>
      <c r="M29" s="206"/>
      <c r="N29" s="206"/>
      <c r="O29" s="206"/>
      <c r="U29" s="182"/>
    </row>
    <row r="30" spans="1:21" s="1" customFormat="1" x14ac:dyDescent="0.2">
      <c r="A30" s="110" t="str">
        <f ca="1">OFFSET(PO!J$12,ROW(A30)-ROW($A$12),0)</f>
        <v>Nível 2</v>
      </c>
      <c r="B30" s="112" t="str">
        <f ca="1">IF($A30=0,"",OFFSET(PO!K$12,ROW(B30)-ROW(B$12),0))</f>
        <v>1.3.</v>
      </c>
      <c r="C30" s="109" t="str">
        <f ca="1">IF(OFFSET(PO!N$12,ROW(C30)-ROW(C$12),0)=0,"",OFFSET(PO!N$12,ROW(C30)-ROW(C$12),0))</f>
        <v>ENTREGUE NO DISTRITO DE VALE DOS VINHEDOS</v>
      </c>
      <c r="D30" s="111" t="str">
        <f ca="1">IF(OFFSET(PO!O$12,ROW(D30)-ROW(D$12),0)=0,"",OFFSET(PO!O$12,ROW(D30)-ROW(D$12),0))</f>
        <v/>
      </c>
      <c r="E30" s="140">
        <f ca="1">IF($A30&lt;&gt;"Serviço",0,ROUND(SUMIF($F$9:$P$9,"&lt;&gt;",$F30:$P30),15-13*PO!$X$3))</f>
        <v>0</v>
      </c>
      <c r="F30" s="206">
        <f ca="1">OFFSET(PO!$P$12,ROW($E30)-ROW(F$12),0)</f>
        <v>0</v>
      </c>
      <c r="G30" s="206"/>
      <c r="H30" s="206"/>
      <c r="I30" s="206"/>
      <c r="J30" s="206"/>
      <c r="K30" s="206"/>
      <c r="L30" s="206"/>
      <c r="M30" s="206"/>
      <c r="N30" s="206"/>
      <c r="O30" s="206"/>
      <c r="U30" s="182"/>
    </row>
    <row r="31" spans="1:21" s="1" customFormat="1" ht="25.5" x14ac:dyDescent="0.2">
      <c r="A31" s="110" t="str">
        <f ca="1">OFFSET(PO!J$12,ROW(A31)-ROW($A$12),0)</f>
        <v>Serviço</v>
      </c>
      <c r="B31" s="112" t="str">
        <f ca="1">IF($A31=0,"",OFFSET(PO!K$12,ROW(B31)-ROW(B$12),0))</f>
        <v>1.3.1.</v>
      </c>
      <c r="C31" s="109" t="str">
        <f ca="1">IF(OFFSET(PO!N$12,ROW(C31)-ROW(C$12),0)=0,"",OFFSET(PO!N$12,ROW(C31)-ROW(C$12),0))</f>
        <v>PEDRA BRITADA N.1 (9,5 A 19MM) - ENTREGA DISTRITO VALE DOS VINHEDOS</v>
      </c>
      <c r="D31" s="111" t="str">
        <f ca="1">IF(OFFSET(PO!O$12,ROW(D31)-ROW(D$12),0)=0,"",OFFSET(PO!O$12,ROW(D31)-ROW(D$12),0))</f>
        <v>T</v>
      </c>
      <c r="E31" s="140">
        <f ca="1">IF($A31&lt;&gt;"Serviço",0,ROUND(SUMIF($F$9:$P$9,"&lt;&gt;",$F31:$P31),15-13*PO!$X$3))</f>
        <v>1980</v>
      </c>
      <c r="F31" s="206">
        <f ca="1">OFFSET(PO!$P$12,ROW($E31)-ROW(F$12),0)</f>
        <v>1980</v>
      </c>
      <c r="G31" s="206"/>
      <c r="H31" s="206"/>
      <c r="I31" s="206"/>
      <c r="J31" s="206"/>
      <c r="K31" s="206"/>
      <c r="L31" s="206"/>
      <c r="M31" s="206"/>
      <c r="N31" s="206"/>
      <c r="O31" s="206"/>
      <c r="U31" s="182"/>
    </row>
    <row r="32" spans="1:21" s="1" customFormat="1" ht="25.5" x14ac:dyDescent="0.2">
      <c r="A32" s="110" t="str">
        <f ca="1">OFFSET(PO!J$12,ROW(A32)-ROW($A$12),0)</f>
        <v>Serviço</v>
      </c>
      <c r="B32" s="112" t="str">
        <f ca="1">IF($A32=0,"",OFFSET(PO!K$12,ROW(B32)-ROW(B$12),0))</f>
        <v>1.3.2.</v>
      </c>
      <c r="C32" s="109" t="str">
        <f ca="1">IF(OFFSET(PO!N$12,ROW(C32)-ROW(C$12),0)=0,"",OFFSET(PO!N$12,ROW(C32)-ROW(C$12),0))</f>
        <v>PEDRA BRITADA N. 2 (19 A 38 MM)- ENTREGA DISTRITO VALE DOS VINHEDOS</v>
      </c>
      <c r="D32" s="111" t="str">
        <f ca="1">IF(OFFSET(PO!O$12,ROW(D32)-ROW(D$12),0)=0,"",OFFSET(PO!O$12,ROW(D32)-ROW(D$12),0))</f>
        <v>T</v>
      </c>
      <c r="E32" s="140">
        <f ca="1">IF($A32&lt;&gt;"Serviço",0,ROUND(SUMIF($F$9:$P$9,"&lt;&gt;",$F32:$P32),15-13*PO!$X$3))</f>
        <v>700</v>
      </c>
      <c r="F32" s="206">
        <f ca="1">OFFSET(PO!$P$12,ROW($E32)-ROW(F$12),0)</f>
        <v>700</v>
      </c>
      <c r="G32" s="206"/>
      <c r="H32" s="206"/>
      <c r="I32" s="206"/>
      <c r="J32" s="206"/>
      <c r="K32" s="206"/>
      <c r="L32" s="206"/>
      <c r="M32" s="206"/>
      <c r="N32" s="206"/>
      <c r="O32" s="206"/>
      <c r="U32" s="182"/>
    </row>
    <row r="33" spans="1:21" s="1" customFormat="1" ht="25.5" x14ac:dyDescent="0.2">
      <c r="A33" s="110" t="str">
        <f ca="1">OFFSET(PO!J$12,ROW(A33)-ROW($A$12),0)</f>
        <v>Serviço</v>
      </c>
      <c r="B33" s="112" t="str">
        <f ca="1">IF($A33=0,"",OFFSET(PO!K$12,ROW(B33)-ROW(B$12),0))</f>
        <v>1.3.3.</v>
      </c>
      <c r="C33" s="109" t="str">
        <f ca="1">IF(OFFSET(PO!N$12,ROW(C33)-ROW(C$12),0)=0,"",OFFSET(PO!N$12,ROW(C33)-ROW(C$12),0))</f>
        <v xml:space="preserve">PEDRA BRITADA N. 3 (38 A 50 MM) - ENTREGA DISTRITO VALE DOS VINHEDOS </v>
      </c>
      <c r="D33" s="111" t="str">
        <f ca="1">IF(OFFSET(PO!O$12,ROW(D33)-ROW(D$12),0)=0,"",OFFSET(PO!O$12,ROW(D33)-ROW(D$12),0))</f>
        <v>T</v>
      </c>
      <c r="E33" s="140">
        <f ca="1">IF($A33&lt;&gt;"Serviço",0,ROUND(SUMIF($F$9:$P$9,"&lt;&gt;",$F33:$P33),15-13*PO!$X$3))</f>
        <v>500</v>
      </c>
      <c r="F33" s="206">
        <f ca="1">OFFSET(PO!$P$12,ROW($E33)-ROW(F$12),0)</f>
        <v>500</v>
      </c>
      <c r="G33" s="206"/>
      <c r="H33" s="206"/>
      <c r="I33" s="206"/>
      <c r="J33" s="206"/>
      <c r="K33" s="206"/>
      <c r="L33" s="206"/>
      <c r="M33" s="206"/>
      <c r="N33" s="206"/>
      <c r="O33" s="206"/>
      <c r="U33" s="182"/>
    </row>
    <row r="34" spans="1:21" s="1" customFormat="1" ht="25.5" x14ac:dyDescent="0.2">
      <c r="A34" s="110" t="str">
        <f ca="1">OFFSET(PO!J$12,ROW(A34)-ROW($A$12),0)</f>
        <v>Serviço</v>
      </c>
      <c r="B34" s="112" t="str">
        <f ca="1">IF($A34=0,"",OFFSET(PO!K$12,ROW(B34)-ROW(B$12),0))</f>
        <v>1.3.4.</v>
      </c>
      <c r="C34" s="109" t="str">
        <f ca="1">IF(OFFSET(PO!N$12,ROW(C34)-ROW(C$12),0)=0,"",OFFSET(PO!N$12,ROW(C34)-ROW(C$12),0))</f>
        <v>PEDRA BRITADA N. 0 OU PEDRISCO (4,8 A 9,5 MM) - ENTREGA DISTRITO VALE DOS VINHEDOS</v>
      </c>
      <c r="D34" s="111" t="str">
        <f ca="1">IF(OFFSET(PO!O$12,ROW(D34)-ROW(D$12),0)=0,"",OFFSET(PO!O$12,ROW(D34)-ROW(D$12),0))</f>
        <v>T</v>
      </c>
      <c r="E34" s="140">
        <f ca="1">IF($A34&lt;&gt;"Serviço",0,ROUND(SUMIF($F$9:$P$9,"&lt;&gt;",$F34:$P34),15-13*PO!$X$3))</f>
        <v>700</v>
      </c>
      <c r="F34" s="206">
        <f ca="1">OFFSET(PO!$P$12,ROW($E34)-ROW(F$12),0)</f>
        <v>700</v>
      </c>
      <c r="G34" s="206"/>
      <c r="H34" s="206"/>
      <c r="I34" s="206"/>
      <c r="J34" s="206"/>
      <c r="K34" s="206"/>
      <c r="L34" s="206"/>
      <c r="M34" s="206"/>
      <c r="N34" s="206"/>
      <c r="O34" s="206"/>
      <c r="U34" s="182"/>
    </row>
    <row r="35" spans="1:21" s="1" customFormat="1" x14ac:dyDescent="0.2">
      <c r="A35" s="110" t="str">
        <f ca="1">OFFSET(PO!J$12,ROW(A35)-ROW($A$12),0)</f>
        <v>Serviço</v>
      </c>
      <c r="B35" s="112" t="str">
        <f ca="1">IF($A35=0,"",OFFSET(PO!K$12,ROW(B35)-ROW(B$12),0))</f>
        <v>1.3.5.</v>
      </c>
      <c r="C35" s="109" t="str">
        <f ca="1">IF(OFFSET(PO!N$12,ROW(C35)-ROW(C$12),0)=0,"",OFFSET(PO!N$12,ROW(C35)-ROW(C$12),0))</f>
        <v xml:space="preserve">PÓ DE BRITA - ENTREGA DISTRITO VALE DOS VINHEDOS </v>
      </c>
      <c r="D35" s="111" t="str">
        <f ca="1">IF(OFFSET(PO!O$12,ROW(D35)-ROW(D$12),0)=0,"",OFFSET(PO!O$12,ROW(D35)-ROW(D$12),0))</f>
        <v>T</v>
      </c>
      <c r="E35" s="140">
        <f ca="1">IF($A35&lt;&gt;"Serviço",0,ROUND(SUMIF($F$9:$P$9,"&lt;&gt;",$F35:$P35),15-13*PO!$X$3))</f>
        <v>700</v>
      </c>
      <c r="F35" s="206">
        <f ca="1">OFFSET(PO!$P$12,ROW($E35)-ROW(F$12),0)</f>
        <v>700</v>
      </c>
      <c r="G35" s="206"/>
      <c r="H35" s="206"/>
      <c r="I35" s="206"/>
      <c r="J35" s="206"/>
      <c r="K35" s="206"/>
      <c r="L35" s="206"/>
      <c r="M35" s="206"/>
      <c r="N35" s="206"/>
      <c r="O35" s="206"/>
      <c r="U35" s="182"/>
    </row>
    <row r="36" spans="1:21" s="1" customFormat="1" x14ac:dyDescent="0.2">
      <c r="A36" s="110" t="str">
        <f ca="1">OFFSET(PO!J$12,ROW(A36)-ROW($A$12),0)</f>
        <v>Nível 2</v>
      </c>
      <c r="B36" s="112" t="str">
        <f ca="1">IF($A36=0,"",OFFSET(PO!K$12,ROW(B36)-ROW(B$12),0))</f>
        <v>1.4.</v>
      </c>
      <c r="C36" s="109" t="str">
        <f ca="1">IF(OFFSET(PO!N$12,ROW(C36)-ROW(C$12),0)=0,"",OFFSET(PO!N$12,ROW(C36)-ROW(C$12),0))</f>
        <v>ENTREGUE NO DISTRITO DE SÃO PEDRO</v>
      </c>
      <c r="D36" s="111" t="str">
        <f ca="1">IF(OFFSET(PO!O$12,ROW(D36)-ROW(D$12),0)=0,"",OFFSET(PO!O$12,ROW(D36)-ROW(D$12),0))</f>
        <v/>
      </c>
      <c r="E36" s="140">
        <f ca="1">IF($A36&lt;&gt;"Serviço",0,ROUND(SUMIF($F$9:$P$9,"&lt;&gt;",$F36:$P36),15-13*PO!$X$3))</f>
        <v>0</v>
      </c>
      <c r="F36" s="206">
        <f ca="1">OFFSET(PO!$P$12,ROW($E36)-ROW(F$12),0)</f>
        <v>0</v>
      </c>
      <c r="G36" s="206"/>
      <c r="H36" s="206"/>
      <c r="I36" s="206"/>
      <c r="J36" s="206"/>
      <c r="K36" s="206"/>
      <c r="L36" s="206"/>
      <c r="M36" s="206"/>
      <c r="N36" s="206"/>
      <c r="O36" s="206"/>
      <c r="U36" s="182"/>
    </row>
    <row r="37" spans="1:21" s="1" customFormat="1" ht="25.5" x14ac:dyDescent="0.2">
      <c r="A37" s="110" t="str">
        <f ca="1">OFFSET(PO!J$12,ROW(A37)-ROW($A$12),0)</f>
        <v>Serviço</v>
      </c>
      <c r="B37" s="112" t="str">
        <f ca="1">IF($A37=0,"",OFFSET(PO!K$12,ROW(B37)-ROW(B$12),0))</f>
        <v>1.4.1.</v>
      </c>
      <c r="C37" s="109" t="str">
        <f ca="1">IF(OFFSET(PO!N$12,ROW(C37)-ROW(C$12),0)=0,"",OFFSET(PO!N$12,ROW(C37)-ROW(C$12),0))</f>
        <v>PEDRA BRITADA N. 1 ( 9,5 A 19 MM ) - ENTREGA DISTRITO DE SÃO PEDRO</v>
      </c>
      <c r="D37" s="111" t="str">
        <f ca="1">IF(OFFSET(PO!O$12,ROW(D37)-ROW(D$12),0)=0,"",OFFSET(PO!O$12,ROW(D37)-ROW(D$12),0))</f>
        <v>T</v>
      </c>
      <c r="E37" s="140">
        <f ca="1">IF($A37&lt;&gt;"Serviço",0,ROUND(SUMIF($F$9:$P$9,"&lt;&gt;",$F37:$P37),15-13*PO!$X$3))</f>
        <v>1980</v>
      </c>
      <c r="F37" s="206">
        <f ca="1">OFFSET(PO!$P$12,ROW($E37)-ROW(F$12),0)</f>
        <v>1980</v>
      </c>
      <c r="G37" s="206"/>
      <c r="H37" s="206"/>
      <c r="I37" s="206"/>
      <c r="J37" s="206"/>
      <c r="K37" s="206"/>
      <c r="L37" s="206"/>
      <c r="M37" s="206"/>
      <c r="N37" s="206"/>
      <c r="O37" s="206"/>
      <c r="U37" s="182"/>
    </row>
    <row r="38" spans="1:21" s="1" customFormat="1" ht="25.5" x14ac:dyDescent="0.2">
      <c r="A38" s="110" t="str">
        <f ca="1">OFFSET(PO!J$12,ROW(A38)-ROW($A$12),0)</f>
        <v>Serviço</v>
      </c>
      <c r="B38" s="112" t="str">
        <f ca="1">IF($A38=0,"",OFFSET(PO!K$12,ROW(B38)-ROW(B$12),0))</f>
        <v>1.4.2.</v>
      </c>
      <c r="C38" s="109" t="str">
        <f ca="1">IF(OFFSET(PO!N$12,ROW(C38)-ROW(C$12),0)=0,"",OFFSET(PO!N$12,ROW(C38)-ROW(C$12),0))</f>
        <v xml:space="preserve">PEDRA BRITADA N.2 ( 19 A 38 MM ) - ENTREGA DISTRITO DE SÃO PEDRO </v>
      </c>
      <c r="D38" s="111" t="str">
        <f ca="1">IF(OFFSET(PO!O$12,ROW(D38)-ROW(D$12),0)=0,"",OFFSET(PO!O$12,ROW(D38)-ROW(D$12),0))</f>
        <v>T</v>
      </c>
      <c r="E38" s="140">
        <f ca="1">IF($A38&lt;&gt;"Serviço",0,ROUND(SUMIF($F$9:$P$9,"&lt;&gt;",$F38:$P38),15-13*PO!$X$3))</f>
        <v>700</v>
      </c>
      <c r="F38" s="206">
        <f ca="1">OFFSET(PO!$P$12,ROW($E38)-ROW(F$12),0)</f>
        <v>700</v>
      </c>
      <c r="G38" s="206"/>
      <c r="H38" s="206"/>
      <c r="I38" s="206"/>
      <c r="J38" s="206"/>
      <c r="K38" s="206"/>
      <c r="L38" s="206"/>
      <c r="M38" s="206"/>
      <c r="N38" s="206"/>
      <c r="O38" s="206"/>
      <c r="U38" s="182"/>
    </row>
    <row r="39" spans="1:21" s="1" customFormat="1" ht="25.5" x14ac:dyDescent="0.2">
      <c r="A39" s="110" t="str">
        <f ca="1">OFFSET(PO!J$12,ROW(A39)-ROW($A$12),0)</f>
        <v>Serviço</v>
      </c>
      <c r="B39" s="112" t="str">
        <f ca="1">IF($A39=0,"",OFFSET(PO!K$12,ROW(B39)-ROW(B$12),0))</f>
        <v>1.4.3.</v>
      </c>
      <c r="C39" s="109" t="str">
        <f ca="1">IF(OFFSET(PO!N$12,ROW(C39)-ROW(C$12),0)=0,"",OFFSET(PO!N$12,ROW(C39)-ROW(C$12),0))</f>
        <v xml:space="preserve">PEDRA BRITADA N. 3 ( 38 A 50 MM ) - ENTREGA DISTRITO DE SÃO PEDRO </v>
      </c>
      <c r="D39" s="111" t="str">
        <f ca="1">IF(OFFSET(PO!O$12,ROW(D39)-ROW(D$12),0)=0,"",OFFSET(PO!O$12,ROW(D39)-ROW(D$12),0))</f>
        <v>T</v>
      </c>
      <c r="E39" s="140">
        <f ca="1">IF($A39&lt;&gt;"Serviço",0,ROUND(SUMIF($F$9:$P$9,"&lt;&gt;",$F39:$P39),15-13*PO!$X$3))</f>
        <v>500</v>
      </c>
      <c r="F39" s="206">
        <f ca="1">OFFSET(PO!$P$12,ROW($E39)-ROW(F$12),0)</f>
        <v>500</v>
      </c>
      <c r="G39" s="206"/>
      <c r="H39" s="206"/>
      <c r="I39" s="206"/>
      <c r="J39" s="206"/>
      <c r="K39" s="206"/>
      <c r="L39" s="206"/>
      <c r="M39" s="206"/>
      <c r="N39" s="206"/>
      <c r="O39" s="206"/>
      <c r="U39" s="182"/>
    </row>
    <row r="40" spans="1:21" s="1" customFormat="1" ht="25.5" x14ac:dyDescent="0.2">
      <c r="A40" s="110" t="str">
        <f ca="1">OFFSET(PO!J$12,ROW(A40)-ROW($A$12),0)</f>
        <v>Serviço</v>
      </c>
      <c r="B40" s="112" t="str">
        <f ca="1">IF($A40=0,"",OFFSET(PO!K$12,ROW(B40)-ROW(B$12),0))</f>
        <v>1.4.4.</v>
      </c>
      <c r="C40" s="109" t="str">
        <f ca="1">IF(OFFSET(PO!N$12,ROW(C40)-ROW(C$12),0)=0,"",OFFSET(PO!N$12,ROW(C40)-ROW(C$12),0))</f>
        <v>PEDRA BRITADA  N. 0 OU PEDRISCO ( 4,8 A 9,5 MM ) - ENTREGA DISTRITO SÃO PEDRO</v>
      </c>
      <c r="D40" s="111" t="str">
        <f ca="1">IF(OFFSET(PO!O$12,ROW(D40)-ROW(D$12),0)=0,"",OFFSET(PO!O$12,ROW(D40)-ROW(D$12),0))</f>
        <v>T</v>
      </c>
      <c r="E40" s="140">
        <f ca="1">IF($A40&lt;&gt;"Serviço",0,ROUND(SUMIF($F$9:$P$9,"&lt;&gt;",$F40:$P40),15-13*PO!$X$3))</f>
        <v>700</v>
      </c>
      <c r="F40" s="206">
        <f ca="1">OFFSET(PO!$P$12,ROW($E40)-ROW(F$12),0)</f>
        <v>700</v>
      </c>
      <c r="G40" s="206"/>
      <c r="H40" s="206"/>
      <c r="I40" s="206"/>
      <c r="J40" s="206"/>
      <c r="K40" s="206"/>
      <c r="L40" s="206"/>
      <c r="M40" s="206"/>
      <c r="N40" s="206"/>
      <c r="O40" s="206"/>
      <c r="U40" s="182"/>
    </row>
    <row r="41" spans="1:21" s="1" customFormat="1" x14ac:dyDescent="0.2">
      <c r="A41" s="110" t="str">
        <f ca="1">OFFSET(PO!J$12,ROW(A41)-ROW($A$12),0)</f>
        <v>Serviço</v>
      </c>
      <c r="B41" s="112" t="str">
        <f ca="1">IF($A41=0,"",OFFSET(PO!K$12,ROW(B41)-ROW(B$12),0))</f>
        <v>1.4.5.</v>
      </c>
      <c r="C41" s="109" t="str">
        <f ca="1">IF(OFFSET(PO!N$12,ROW(C41)-ROW(C$12),0)=0,"",OFFSET(PO!N$12,ROW(C41)-ROW(C$12),0))</f>
        <v>PÓ DE BRITA - ENTREGA DISTRITO SÃO PEDRO</v>
      </c>
      <c r="D41" s="111" t="str">
        <f ca="1">IF(OFFSET(PO!O$12,ROW(D41)-ROW(D$12),0)=0,"",OFFSET(PO!O$12,ROW(D41)-ROW(D$12),0))</f>
        <v>T</v>
      </c>
      <c r="E41" s="140">
        <f ca="1">IF($A41&lt;&gt;"Serviço",0,ROUND(SUMIF($F$9:$P$9,"&lt;&gt;",$F41:$P41),15-13*PO!$X$3))</f>
        <v>700</v>
      </c>
      <c r="F41" s="206">
        <f ca="1">OFFSET(PO!$P$12,ROW($E41)-ROW(F$12),0)</f>
        <v>700</v>
      </c>
      <c r="G41" s="206"/>
      <c r="H41" s="206"/>
      <c r="I41" s="206"/>
      <c r="J41" s="206"/>
      <c r="K41" s="206"/>
      <c r="L41" s="206"/>
      <c r="M41" s="206"/>
      <c r="N41" s="206"/>
      <c r="O41" s="206"/>
      <c r="U41" s="182"/>
    </row>
    <row r="42" spans="1:21" s="1" customFormat="1" x14ac:dyDescent="0.2">
      <c r="A42" s="110" t="str">
        <f ca="1">OFFSET(PO!J$12,ROW(A42)-ROW($A$12),0)</f>
        <v>Nível 2</v>
      </c>
      <c r="B42" s="112" t="str">
        <f ca="1">IF($A42=0,"",OFFSET(PO!K$12,ROW(B42)-ROW(B$12),0))</f>
        <v>1.5.</v>
      </c>
      <c r="C42" s="109" t="str">
        <f ca="1">IF(OFFSET(PO!N$12,ROW(C42)-ROW(C$12),0)=0,"",OFFSET(PO!N$12,ROW(C42)-ROW(C$12),0))</f>
        <v>ENTREGUE NO DISTRITO DE TUIUTY</v>
      </c>
      <c r="D42" s="111" t="str">
        <f ca="1">IF(OFFSET(PO!O$12,ROW(D42)-ROW(D$12),0)=0,"",OFFSET(PO!O$12,ROW(D42)-ROW(D$12),0))</f>
        <v/>
      </c>
      <c r="E42" s="140">
        <f ca="1">IF($A42&lt;&gt;"Serviço",0,ROUND(SUMIF($F$9:$P$9,"&lt;&gt;",$F42:$P42),15-13*PO!$X$3))</f>
        <v>0</v>
      </c>
      <c r="F42" s="206">
        <f ca="1">OFFSET(PO!$P$12,ROW($E42)-ROW(F$12),0)</f>
        <v>0</v>
      </c>
      <c r="G42" s="206"/>
      <c r="H42" s="206"/>
      <c r="I42" s="206"/>
      <c r="J42" s="206"/>
      <c r="K42" s="206"/>
      <c r="L42" s="206"/>
      <c r="M42" s="206"/>
      <c r="N42" s="206"/>
      <c r="O42" s="206"/>
      <c r="U42" s="182"/>
    </row>
    <row r="43" spans="1:21" s="1" customFormat="1" ht="25.5" x14ac:dyDescent="0.2">
      <c r="A43" s="110" t="str">
        <f ca="1">OFFSET(PO!J$12,ROW(A43)-ROW($A$12),0)</f>
        <v>Serviço</v>
      </c>
      <c r="B43" s="112" t="str">
        <f ca="1">IF($A43=0,"",OFFSET(PO!K$12,ROW(B43)-ROW(B$12),0))</f>
        <v>1.5.1.</v>
      </c>
      <c r="C43" s="109" t="str">
        <f ca="1">IF(OFFSET(PO!N$12,ROW(C43)-ROW(C$12),0)=0,"",OFFSET(PO!N$12,ROW(C43)-ROW(C$12),0))</f>
        <v>PEDRA BRITADA N. 1 ( 9,5 A 19 MM ) - ENTREGA DISTRITO TUIUTY</v>
      </c>
      <c r="D43" s="111" t="str">
        <f ca="1">IF(OFFSET(PO!O$12,ROW(D43)-ROW(D$12),0)=0,"",OFFSET(PO!O$12,ROW(D43)-ROW(D$12),0))</f>
        <v>T</v>
      </c>
      <c r="E43" s="140">
        <f ca="1">IF($A43&lt;&gt;"Serviço",0,ROUND(SUMIF($F$9:$P$9,"&lt;&gt;",$F43:$P43),15-13*PO!$X$3))</f>
        <v>3720</v>
      </c>
      <c r="F43" s="206">
        <f ca="1">OFFSET(PO!$P$12,ROW($E43)-ROW(F$12),0)</f>
        <v>3720</v>
      </c>
      <c r="G43" s="206"/>
      <c r="H43" s="206"/>
      <c r="I43" s="206"/>
      <c r="J43" s="206"/>
      <c r="K43" s="206"/>
      <c r="L43" s="206"/>
      <c r="M43" s="206"/>
      <c r="N43" s="206"/>
      <c r="O43" s="206"/>
      <c r="U43" s="182"/>
    </row>
    <row r="44" spans="1:21" s="1" customFormat="1" ht="25.5" x14ac:dyDescent="0.2">
      <c r="A44" s="110" t="str">
        <f ca="1">OFFSET(PO!J$12,ROW(A44)-ROW($A$12),0)</f>
        <v>Serviço</v>
      </c>
      <c r="B44" s="112" t="str">
        <f ca="1">IF($A44=0,"",OFFSET(PO!K$12,ROW(B44)-ROW(B$12),0))</f>
        <v>1.5.2.</v>
      </c>
      <c r="C44" s="109" t="str">
        <f ca="1">IF(OFFSET(PO!N$12,ROW(C44)-ROW(C$12),0)=0,"",OFFSET(PO!N$12,ROW(C44)-ROW(C$12),0))</f>
        <v>PEDRA BRITADA N. 2 ( 19 A 38 MM ) - ENTREGA DISTRITO DE TUIUTY</v>
      </c>
      <c r="D44" s="111" t="str">
        <f ca="1">IF(OFFSET(PO!O$12,ROW(D44)-ROW(D$12),0)=0,"",OFFSET(PO!O$12,ROW(D44)-ROW(D$12),0))</f>
        <v>T</v>
      </c>
      <c r="E44" s="140">
        <f ca="1">IF($A44&lt;&gt;"Serviço",0,ROUND(SUMIF($F$9:$P$9,"&lt;&gt;",$F44:$P44),15-13*PO!$X$3))</f>
        <v>1200</v>
      </c>
      <c r="F44" s="206">
        <f ca="1">OFFSET(PO!$P$12,ROW($E44)-ROW(F$12),0)</f>
        <v>1200</v>
      </c>
      <c r="G44" s="206"/>
      <c r="H44" s="206"/>
      <c r="I44" s="206"/>
      <c r="J44" s="206"/>
      <c r="K44" s="206"/>
      <c r="L44" s="206"/>
      <c r="M44" s="206"/>
      <c r="N44" s="206"/>
      <c r="O44" s="206"/>
      <c r="U44" s="182"/>
    </row>
    <row r="45" spans="1:21" s="1" customFormat="1" ht="25.5" x14ac:dyDescent="0.2">
      <c r="A45" s="110" t="str">
        <f ca="1">OFFSET(PO!J$12,ROW(A45)-ROW($A$12),0)</f>
        <v>Serviço</v>
      </c>
      <c r="B45" s="112" t="str">
        <f ca="1">IF($A45=0,"",OFFSET(PO!K$12,ROW(B45)-ROW(B$12),0))</f>
        <v>1.5.3.</v>
      </c>
      <c r="C45" s="109" t="str">
        <f ca="1">IF(OFFSET(PO!N$12,ROW(C45)-ROW(C$12),0)=0,"",OFFSET(PO!N$12,ROW(C45)-ROW(C$12),0))</f>
        <v>PEDRA BRITADA N. 3 (38 A 50 MM) - ENTREGA DISTRITO DE TUIUTY</v>
      </c>
      <c r="D45" s="111" t="str">
        <f ca="1">IF(OFFSET(PO!O$12,ROW(D45)-ROW(D$12),0)=0,"",OFFSET(PO!O$12,ROW(D45)-ROW(D$12),0))</f>
        <v>T</v>
      </c>
      <c r="E45" s="140">
        <f ca="1">IF($A45&lt;&gt;"Serviço",0,ROUND(SUMIF($F$9:$P$9,"&lt;&gt;",$F45:$P45),15-13*PO!$X$3))</f>
        <v>500</v>
      </c>
      <c r="F45" s="206">
        <f ca="1">OFFSET(PO!$P$12,ROW($E45)-ROW(F$12),0)</f>
        <v>500</v>
      </c>
      <c r="G45" s="206"/>
      <c r="H45" s="206"/>
      <c r="I45" s="206"/>
      <c r="J45" s="206"/>
      <c r="K45" s="206"/>
      <c r="L45" s="206"/>
      <c r="M45" s="206"/>
      <c r="N45" s="206"/>
      <c r="O45" s="206"/>
      <c r="U45" s="182"/>
    </row>
    <row r="46" spans="1:21" s="1" customFormat="1" ht="25.5" x14ac:dyDescent="0.2">
      <c r="A46" s="110" t="str">
        <f ca="1">OFFSET(PO!J$12,ROW(A46)-ROW($A$12),0)</f>
        <v>Serviço</v>
      </c>
      <c r="B46" s="112" t="str">
        <f ca="1">IF($A46=0,"",OFFSET(PO!K$12,ROW(B46)-ROW(B$12),0))</f>
        <v>1.5.4.</v>
      </c>
      <c r="C46" s="109" t="str">
        <f ca="1">IF(OFFSET(PO!N$12,ROW(C46)-ROW(C$12),0)=0,"",OFFSET(PO!N$12,ROW(C46)-ROW(C$12),0))</f>
        <v>PEDRA BRITADA N. 0 OU PEDRISCO ( 4,8 A 9,5 MM ) - ENTREGA DISTRITO DE TUIUTY</v>
      </c>
      <c r="D46" s="111" t="str">
        <f ca="1">IF(OFFSET(PO!O$12,ROW(D46)-ROW(D$12),0)=0,"",OFFSET(PO!O$12,ROW(D46)-ROW(D$12),0))</f>
        <v>T</v>
      </c>
      <c r="E46" s="140">
        <f ca="1">IF($A46&lt;&gt;"Serviço",0,ROUND(SUMIF($F$9:$P$9,"&lt;&gt;",$F46:$P46),15-13*PO!$X$3))</f>
        <v>700</v>
      </c>
      <c r="F46" s="206">
        <f ca="1">OFFSET(PO!$P$12,ROW($E46)-ROW(F$12),0)</f>
        <v>700</v>
      </c>
      <c r="G46" s="206"/>
      <c r="H46" s="206"/>
      <c r="I46" s="206"/>
      <c r="J46" s="206"/>
      <c r="K46" s="206"/>
      <c r="L46" s="206"/>
      <c r="M46" s="206"/>
      <c r="N46" s="206"/>
      <c r="O46" s="206"/>
      <c r="U46" s="182"/>
    </row>
    <row r="47" spans="1:21" s="1" customFormat="1" x14ac:dyDescent="0.2">
      <c r="A47" s="110" t="str">
        <f ca="1">OFFSET(PO!J$12,ROW(A47)-ROW($A$12),0)</f>
        <v>Serviço</v>
      </c>
      <c r="B47" s="112" t="str">
        <f ca="1">IF($A47=0,"",OFFSET(PO!K$12,ROW(B47)-ROW(B$12),0))</f>
        <v>1.5.5.</v>
      </c>
      <c r="C47" s="109" t="str">
        <f ca="1">IF(OFFSET(PO!N$12,ROW(C47)-ROW(C$12),0)=0,"",OFFSET(PO!N$12,ROW(C47)-ROW(C$12),0))</f>
        <v>PÓ DE BRITA - ENTREGA DISTRITO DE TUIUTY</v>
      </c>
      <c r="D47" s="111" t="str">
        <f ca="1">IF(OFFSET(PO!O$12,ROW(D47)-ROW(D$12),0)=0,"",OFFSET(PO!O$12,ROW(D47)-ROW(D$12),0))</f>
        <v>T</v>
      </c>
      <c r="E47" s="140">
        <f ca="1">IF($A47&lt;&gt;"Serviço",0,ROUND(SUMIF($F$9:$P$9,"&lt;&gt;",$F47:$P47),15-13*PO!$X$3))</f>
        <v>700</v>
      </c>
      <c r="F47" s="206">
        <f ca="1">OFFSET(PO!$P$12,ROW($E47)-ROW(F$12),0)</f>
        <v>700</v>
      </c>
      <c r="G47" s="206"/>
      <c r="H47" s="206"/>
      <c r="I47" s="206"/>
      <c r="J47" s="206"/>
      <c r="K47" s="206"/>
      <c r="L47" s="206"/>
      <c r="M47" s="206"/>
      <c r="N47" s="206"/>
      <c r="O47" s="206"/>
      <c r="U47" s="182"/>
    </row>
    <row r="48" spans="1:21" s="1" customFormat="1" x14ac:dyDescent="0.2">
      <c r="A48" s="110" t="str">
        <f ca="1">OFFSET(PO!J$12,ROW(A48)-ROW($A$12),0)</f>
        <v>Nível 2</v>
      </c>
      <c r="B48" s="112" t="str">
        <f ca="1">IF($A48=0,"",OFFSET(PO!K$12,ROW(B48)-ROW(B$12),0))</f>
        <v>1.6.</v>
      </c>
      <c r="C48" s="109" t="str">
        <f ca="1">IF(OFFSET(PO!N$12,ROW(C48)-ROW(C$12),0)=0,"",OFFSET(PO!N$12,ROW(C48)-ROW(C$12),0))</f>
        <v>ENTREGUE NO DISTRITO DE FARIA LEMOS</v>
      </c>
      <c r="D48" s="111" t="str">
        <f ca="1">IF(OFFSET(PO!O$12,ROW(D48)-ROW(D$12),0)=0,"",OFFSET(PO!O$12,ROW(D48)-ROW(D$12),0))</f>
        <v/>
      </c>
      <c r="E48" s="140">
        <f ca="1">IF($A48&lt;&gt;"Serviço",0,ROUND(SUMIF($F$9:$P$9,"&lt;&gt;",$F48:$P48),15-13*PO!$X$3))</f>
        <v>0</v>
      </c>
      <c r="F48" s="206">
        <f ca="1">OFFSET(PO!$P$12,ROW($E48)-ROW(F$12),0)</f>
        <v>0</v>
      </c>
      <c r="G48" s="206"/>
      <c r="H48" s="206"/>
      <c r="I48" s="206"/>
      <c r="J48" s="206"/>
      <c r="K48" s="206"/>
      <c r="L48" s="206"/>
      <c r="M48" s="206"/>
      <c r="N48" s="206"/>
      <c r="O48" s="206"/>
      <c r="U48" s="182"/>
    </row>
    <row r="49" spans="1:21" s="1" customFormat="1" ht="25.5" x14ac:dyDescent="0.2">
      <c r="A49" s="110" t="str">
        <f ca="1">OFFSET(PO!J$12,ROW(A49)-ROW($A$12),0)</f>
        <v>Serviço</v>
      </c>
      <c r="B49" s="112" t="str">
        <f ca="1">IF($A49=0,"",OFFSET(PO!K$12,ROW(B49)-ROW(B$12),0))</f>
        <v>1.6.1.</v>
      </c>
      <c r="C49" s="109" t="str">
        <f ca="1">IF(OFFSET(PO!N$12,ROW(C49)-ROW(C$12),0)=0,"",OFFSET(PO!N$12,ROW(C49)-ROW(C$12),0))</f>
        <v xml:space="preserve">PEDRA BRITADA N. 1 ( 9,5 A 19 MM ) - ENTREGA DISTRITO DE FARIA LEMOS </v>
      </c>
      <c r="D49" s="111" t="str">
        <f ca="1">IF(OFFSET(PO!O$12,ROW(D49)-ROW(D$12),0)=0,"",OFFSET(PO!O$12,ROW(D49)-ROW(D$12),0))</f>
        <v>T</v>
      </c>
      <c r="E49" s="140">
        <f ca="1">IF($A49&lt;&gt;"Serviço",0,ROUND(SUMIF($F$9:$P$9,"&lt;&gt;",$F49:$P49),15-13*PO!$X$3))</f>
        <v>3720</v>
      </c>
      <c r="F49" s="206">
        <f ca="1">OFFSET(PO!$P$12,ROW($E49)-ROW(F$12),0)</f>
        <v>3720</v>
      </c>
      <c r="G49" s="206"/>
      <c r="H49" s="206"/>
      <c r="I49" s="206"/>
      <c r="J49" s="206"/>
      <c r="K49" s="206"/>
      <c r="L49" s="206"/>
      <c r="M49" s="206"/>
      <c r="N49" s="206"/>
      <c r="O49" s="206"/>
      <c r="U49" s="182"/>
    </row>
    <row r="50" spans="1:21" s="1" customFormat="1" ht="25.5" x14ac:dyDescent="0.2">
      <c r="A50" s="110" t="str">
        <f ca="1">OFFSET(PO!J$12,ROW(A50)-ROW($A$12),0)</f>
        <v>Serviço</v>
      </c>
      <c r="B50" s="112" t="str">
        <f ca="1">IF($A50=0,"",OFFSET(PO!K$12,ROW(B50)-ROW(B$12),0))</f>
        <v>1.6.2.</v>
      </c>
      <c r="C50" s="109" t="str">
        <f ca="1">IF(OFFSET(PO!N$12,ROW(C50)-ROW(C$12),0)=0,"",OFFSET(PO!N$12,ROW(C50)-ROW(C$12),0))</f>
        <v>PEDRA BRITADA N. 2 (19 A 38 MM ) - ENTREGA DISTRITO DE FARIA LEMOS</v>
      </c>
      <c r="D50" s="111" t="str">
        <f ca="1">IF(OFFSET(PO!O$12,ROW(D50)-ROW(D$12),0)=0,"",OFFSET(PO!O$12,ROW(D50)-ROW(D$12),0))</f>
        <v>T</v>
      </c>
      <c r="E50" s="140">
        <f ca="1">IF($A50&lt;&gt;"Serviço",0,ROUND(SUMIF($F$9:$P$9,"&lt;&gt;",$F50:$P50),15-13*PO!$X$3))</f>
        <v>1200</v>
      </c>
      <c r="F50" s="206">
        <f ca="1">OFFSET(PO!$P$12,ROW($E50)-ROW(F$12),0)</f>
        <v>1200</v>
      </c>
      <c r="G50" s="206"/>
      <c r="H50" s="206"/>
      <c r="I50" s="206"/>
      <c r="J50" s="206"/>
      <c r="K50" s="206"/>
      <c r="L50" s="206"/>
      <c r="M50" s="206"/>
      <c r="N50" s="206"/>
      <c r="O50" s="206"/>
      <c r="U50" s="182"/>
    </row>
    <row r="51" spans="1:21" s="1" customFormat="1" ht="25.5" x14ac:dyDescent="0.2">
      <c r="A51" s="110" t="str">
        <f ca="1">OFFSET(PO!J$12,ROW(A51)-ROW($A$12),0)</f>
        <v>Serviço</v>
      </c>
      <c r="B51" s="112" t="str">
        <f ca="1">IF($A51=0,"",OFFSET(PO!K$12,ROW(B51)-ROW(B$12),0))</f>
        <v>1.6.3.</v>
      </c>
      <c r="C51" s="109" t="str">
        <f ca="1">IF(OFFSET(PO!N$12,ROW(C51)-ROW(C$12),0)=0,"",OFFSET(PO!N$12,ROW(C51)-ROW(C$12),0))</f>
        <v xml:space="preserve">PEDRA BRITADA N. 3 ( 38 A 50 MM ) - ENTREGA DISTRITO FARIA LEMOS </v>
      </c>
      <c r="D51" s="111" t="str">
        <f ca="1">IF(OFFSET(PO!O$12,ROW(D51)-ROW(D$12),0)=0,"",OFFSET(PO!O$12,ROW(D51)-ROW(D$12),0))</f>
        <v>T</v>
      </c>
      <c r="E51" s="140">
        <f ca="1">IF($A51&lt;&gt;"Serviço",0,ROUND(SUMIF($F$9:$P$9,"&lt;&gt;",$F51:$P51),15-13*PO!$X$3))</f>
        <v>500</v>
      </c>
      <c r="F51" s="206">
        <f ca="1">OFFSET(PO!$P$12,ROW($E51)-ROW(F$12),0)</f>
        <v>500</v>
      </c>
      <c r="G51" s="206"/>
      <c r="H51" s="206"/>
      <c r="I51" s="206"/>
      <c r="J51" s="206"/>
      <c r="K51" s="206"/>
      <c r="L51" s="206"/>
      <c r="M51" s="206"/>
      <c r="N51" s="206"/>
      <c r="O51" s="206"/>
      <c r="U51" s="182"/>
    </row>
    <row r="52" spans="1:21" s="1" customFormat="1" ht="25.5" x14ac:dyDescent="0.2">
      <c r="A52" s="110" t="str">
        <f ca="1">OFFSET(PO!J$12,ROW(A52)-ROW($A$12),0)</f>
        <v>Serviço</v>
      </c>
      <c r="B52" s="112" t="str">
        <f ca="1">IF($A52=0,"",OFFSET(PO!K$12,ROW(B52)-ROW(B$12),0))</f>
        <v>1.6.4.</v>
      </c>
      <c r="C52" s="109" t="str">
        <f ca="1">IF(OFFSET(PO!N$12,ROW(C52)-ROW(C$12),0)=0,"",OFFSET(PO!N$12,ROW(C52)-ROW(C$12),0))</f>
        <v>PEDRA BRITADA N. 0 OU PEDRISCO ( 4,8 A 9,5 MM) - ENTREGA DISTRITO DE FARIA LEMOS</v>
      </c>
      <c r="D52" s="111" t="str">
        <f ca="1">IF(OFFSET(PO!O$12,ROW(D52)-ROW(D$12),0)=0,"",OFFSET(PO!O$12,ROW(D52)-ROW(D$12),0))</f>
        <v>T</v>
      </c>
      <c r="E52" s="140">
        <f ca="1">IF($A52&lt;&gt;"Serviço",0,ROUND(SUMIF($F$9:$P$9,"&lt;&gt;",$F52:$P52),15-13*PO!$X$3))</f>
        <v>700</v>
      </c>
      <c r="F52" s="206">
        <f ca="1">OFFSET(PO!$P$12,ROW($E52)-ROW(F$12),0)</f>
        <v>700</v>
      </c>
      <c r="G52" s="206"/>
      <c r="H52" s="206"/>
      <c r="I52" s="206"/>
      <c r="J52" s="206"/>
      <c r="K52" s="206"/>
      <c r="L52" s="206"/>
      <c r="M52" s="206"/>
      <c r="N52" s="206"/>
      <c r="O52" s="206"/>
      <c r="U52" s="182"/>
    </row>
    <row r="53" spans="1:21" s="1" customFormat="1" x14ac:dyDescent="0.2">
      <c r="A53" s="110" t="str">
        <f ca="1">OFFSET(PO!J$12,ROW(A53)-ROW($A$12),0)</f>
        <v>Serviço</v>
      </c>
      <c r="B53" s="112" t="str">
        <f ca="1">IF($A53=0,"",OFFSET(PO!K$12,ROW(B53)-ROW(B$12),0))</f>
        <v>1.6.5.</v>
      </c>
      <c r="C53" s="109" t="str">
        <f ca="1">IF(OFFSET(PO!N$12,ROW(C53)-ROW(C$12),0)=0,"",OFFSET(PO!N$12,ROW(C53)-ROW(C$12),0))</f>
        <v>PÓ DE BRITA - ENTREGA DISTRITO FARIA LEMOS</v>
      </c>
      <c r="D53" s="111" t="str">
        <f ca="1">IF(OFFSET(PO!O$12,ROW(D53)-ROW(D$12),0)=0,"",OFFSET(PO!O$12,ROW(D53)-ROW(D$12),0))</f>
        <v>T</v>
      </c>
      <c r="E53" s="140">
        <f ca="1">IF($A53&lt;&gt;"Serviço",0,ROUND(SUMIF($F$9:$P$9,"&lt;&gt;",$F53:$P53),15-13*PO!$X$3))</f>
        <v>700</v>
      </c>
      <c r="F53" s="206">
        <f ca="1">OFFSET(PO!$P$12,ROW($E53)-ROW(F$12),0)</f>
        <v>700</v>
      </c>
      <c r="G53" s="206"/>
      <c r="H53" s="206"/>
      <c r="I53" s="206"/>
      <c r="J53" s="206"/>
      <c r="K53" s="206"/>
      <c r="L53" s="206"/>
      <c r="M53" s="206"/>
      <c r="N53" s="206"/>
      <c r="O53" s="206"/>
      <c r="U53" s="182"/>
    </row>
    <row r="54" spans="1:21" s="1" customFormat="1" x14ac:dyDescent="0.2">
      <c r="A54" s="69"/>
      <c r="B54" s="69"/>
      <c r="C54" s="69"/>
      <c r="D54" s="69"/>
      <c r="E54" s="69"/>
      <c r="F54" s="69"/>
      <c r="G54" s="69"/>
      <c r="H54" s="69"/>
      <c r="I54" s="69"/>
      <c r="J54" s="69"/>
      <c r="K54" s="69"/>
      <c r="L54" s="69"/>
      <c r="M54" s="69"/>
      <c r="N54" s="69"/>
      <c r="O54" s="69"/>
      <c r="U54" s="69"/>
    </row>
    <row r="55" spans="1:21" s="1" customFormat="1" x14ac:dyDescent="0.2">
      <c r="B55" s="4"/>
      <c r="C55" s="10"/>
      <c r="D55" s="4"/>
      <c r="E55" s="12"/>
      <c r="F55" s="12"/>
      <c r="G55" s="12"/>
      <c r="H55" s="12"/>
      <c r="I55" s="12"/>
      <c r="J55" s="12"/>
      <c r="K55" s="12"/>
      <c r="L55" s="12"/>
      <c r="M55" s="12"/>
      <c r="N55" s="12"/>
      <c r="O55" s="12"/>
      <c r="U55" s="12"/>
    </row>
    <row r="56" spans="1:21" s="1" customFormat="1" x14ac:dyDescent="0.2">
      <c r="B56" s="338" t="str">
        <f>PO!$K$65</f>
        <v>BENTO GONÇALVES/RS</v>
      </c>
      <c r="C56" s="338"/>
      <c r="D56" s="4"/>
      <c r="E56" s="12"/>
      <c r="F56" s="12"/>
      <c r="G56" s="12"/>
      <c r="H56" s="12"/>
      <c r="I56" s="12"/>
      <c r="J56" s="12"/>
      <c r="K56" s="12"/>
      <c r="L56" s="12"/>
      <c r="M56" s="12"/>
      <c r="N56" s="12"/>
      <c r="O56" s="12"/>
      <c r="U56" s="12"/>
    </row>
    <row r="57" spans="1:21" s="1" customFormat="1" x14ac:dyDescent="0.2">
      <c r="B57" s="98" t="s">
        <v>120</v>
      </c>
      <c r="C57" s="10"/>
      <c r="D57" s="4"/>
      <c r="E57" s="12"/>
      <c r="F57" s="12"/>
      <c r="G57" s="12"/>
      <c r="H57" s="12"/>
      <c r="I57" s="12"/>
      <c r="J57" s="12"/>
      <c r="K57" s="12"/>
      <c r="L57" s="12"/>
      <c r="M57" s="12"/>
      <c r="N57" s="12"/>
      <c r="O57" s="12"/>
      <c r="U57" s="12"/>
    </row>
    <row r="58" spans="1:21" s="1" customFormat="1" x14ac:dyDescent="0.2">
      <c r="B58" s="10"/>
      <c r="C58" s="10"/>
      <c r="D58" s="4"/>
      <c r="E58" s="12"/>
      <c r="F58" s="12"/>
      <c r="G58" s="12"/>
      <c r="H58" s="12"/>
      <c r="I58" s="12"/>
      <c r="J58" s="12"/>
      <c r="K58" s="12"/>
      <c r="L58" s="12"/>
      <c r="M58" s="12"/>
      <c r="N58" s="12"/>
      <c r="O58" s="12"/>
      <c r="U58" s="12"/>
    </row>
    <row r="59" spans="1:21" s="1" customFormat="1" x14ac:dyDescent="0.2">
      <c r="B59" s="339" t="str">
        <f>PO!$K$68</f>
        <v>27 de janeiro de 2025</v>
      </c>
      <c r="C59" s="339"/>
      <c r="D59" s="4"/>
      <c r="E59" s="12"/>
      <c r="F59" s="12"/>
      <c r="G59" s="12"/>
      <c r="H59" s="12"/>
      <c r="I59" s="12"/>
      <c r="J59" s="12"/>
      <c r="K59" s="12"/>
      <c r="L59" s="12"/>
      <c r="M59" s="12"/>
      <c r="N59" s="12"/>
      <c r="O59" s="12"/>
      <c r="U59" s="12"/>
    </row>
    <row r="60" spans="1:21" s="1" customFormat="1" x14ac:dyDescent="0.2">
      <c r="B60" s="120" t="s">
        <v>121</v>
      </c>
      <c r="C60" s="121"/>
      <c r="D60" s="4"/>
      <c r="E60" s="12"/>
      <c r="F60" s="12"/>
      <c r="G60" s="12"/>
      <c r="H60" s="12"/>
      <c r="I60" s="12"/>
      <c r="J60" s="12"/>
      <c r="K60" s="12"/>
      <c r="L60" s="12"/>
      <c r="M60" s="12"/>
      <c r="N60" s="12"/>
      <c r="O60" s="12"/>
      <c r="U60" s="12"/>
    </row>
  </sheetData>
  <sheetProtection algorithmName="SHA-512" hashValue="WHb7lvR0z72cI3pKjazklnbenwsAcl03SiK1OZJyzB67c1+aYx7VeWsEkZ5dWN+7mv6CEBYjkMakghlLsYlb1A==" saltValue="EFpWhKHdEMacJHq7uA2agA==" spinCount="100000" sheet="1" objects="1" scenarios="1"/>
  <mergeCells count="2">
    <mergeCell ref="B56:C56"/>
    <mergeCell ref="B59:C59"/>
  </mergeCells>
  <phoneticPr fontId="25" type="noConversion"/>
  <conditionalFormatting sqref="D11:E11 D13:E14">
    <cfRule type="expression" dxfId="200" priority="2695" stopIfTrue="1">
      <formula>$A11="Meta"</formula>
    </cfRule>
    <cfRule type="expression" dxfId="199" priority="2696" stopIfTrue="1">
      <formula>$A11&lt;&gt;"Serviço"</formula>
    </cfRule>
  </conditionalFormatting>
  <conditionalFormatting sqref="C11 C13:C14">
    <cfRule type="expression" dxfId="198" priority="2697" stopIfTrue="1">
      <formula>$A11="Meta"</formula>
    </cfRule>
    <cfRule type="expression" dxfId="197" priority="2698" stopIfTrue="1">
      <formula>$A11&lt;&gt;"Serviço"</formula>
    </cfRule>
  </conditionalFormatting>
  <conditionalFormatting sqref="A11:B11 A13:B14">
    <cfRule type="expression" dxfId="196" priority="2699" stopIfTrue="1">
      <formula>$A11="Meta"</formula>
    </cfRule>
    <cfRule type="expression" dxfId="195" priority="2700" stopIfTrue="1">
      <formula>LEFT($A11,5)="Nível"</formula>
    </cfRule>
    <cfRule type="expression" dxfId="194" priority="2701" stopIfTrue="1">
      <formula>$A11=0</formula>
    </cfRule>
  </conditionalFormatting>
  <conditionalFormatting sqref="U11 F13:O13 U13:U14">
    <cfRule type="expression" dxfId="193" priority="2711" stopIfTrue="1">
      <formula>$A11="Meta"</formula>
    </cfRule>
    <cfRule type="expression" dxfId="192" priority="2712" stopIfTrue="1">
      <formula>OR(F$9=0,$A11&lt;&gt;"Serviço")</formula>
    </cfRule>
    <cfRule type="expression" dxfId="191" priority="2713" stopIfTrue="1">
      <formula>TipoOrçamento="Licitado"</formula>
    </cfRule>
  </conditionalFormatting>
  <conditionalFormatting sqref="U9">
    <cfRule type="expression" dxfId="190" priority="2133" stopIfTrue="1">
      <formula>AND(T9=0,U9=0)</formula>
    </cfRule>
    <cfRule type="expression" dxfId="189" priority="2134" stopIfTrue="1">
      <formula>TipoOrçamento="Licitado"</formula>
    </cfRule>
  </conditionalFormatting>
  <conditionalFormatting sqref="F11:O11">
    <cfRule type="expression" dxfId="188" priority="2093" stopIfTrue="1">
      <formula>$A11="Meta"</formula>
    </cfRule>
    <cfRule type="expression" dxfId="187" priority="2094" stopIfTrue="1">
      <formula>OR(F$9=0,$A11&lt;&gt;"Serviço")</formula>
    </cfRule>
    <cfRule type="expression" dxfId="186" priority="2095" stopIfTrue="1">
      <formula>TipoOrçamento="Licitado"</formula>
    </cfRule>
  </conditionalFormatting>
  <conditionalFormatting sqref="F9:O9">
    <cfRule type="expression" dxfId="185" priority="2091" stopIfTrue="1">
      <formula>AND(E9=0,F9=0)</formula>
    </cfRule>
    <cfRule type="expression" dxfId="184" priority="2092" stopIfTrue="1">
      <formula>TipoOrçamento="Licitado"</formula>
    </cfRule>
  </conditionalFormatting>
  <conditionalFormatting sqref="D15:E19">
    <cfRule type="expression" dxfId="183" priority="124" stopIfTrue="1">
      <formula>$A15="Meta"</formula>
    </cfRule>
    <cfRule type="expression" dxfId="182" priority="125" stopIfTrue="1">
      <formula>$A15&lt;&gt;"Serviço"</formula>
    </cfRule>
  </conditionalFormatting>
  <conditionalFormatting sqref="C15:C19">
    <cfRule type="expression" dxfId="181" priority="126" stopIfTrue="1">
      <formula>$A15="Meta"</formula>
    </cfRule>
    <cfRule type="expression" dxfId="180" priority="127" stopIfTrue="1">
      <formula>$A15&lt;&gt;"Serviço"</formula>
    </cfRule>
  </conditionalFormatting>
  <conditionalFormatting sqref="A15:B19">
    <cfRule type="expression" dxfId="179" priority="128" stopIfTrue="1">
      <formula>$A15="Meta"</formula>
    </cfRule>
    <cfRule type="expression" dxfId="178" priority="129" stopIfTrue="1">
      <formula>LEFT($A15,5)="Nível"</formula>
    </cfRule>
    <cfRule type="expression" dxfId="177" priority="130" stopIfTrue="1">
      <formula>$A15=0</formula>
    </cfRule>
  </conditionalFormatting>
  <conditionalFormatting sqref="U15:U19">
    <cfRule type="expression" dxfId="176" priority="131" stopIfTrue="1">
      <formula>$A15="Meta"</formula>
    </cfRule>
    <cfRule type="expression" dxfId="175" priority="132" stopIfTrue="1">
      <formula>OR(U$9=0,$A15&lt;&gt;"Serviço")</formula>
    </cfRule>
    <cfRule type="expression" dxfId="174" priority="133" stopIfTrue="1">
      <formula>TipoOrçamento="Licitado"</formula>
    </cfRule>
  </conditionalFormatting>
  <conditionalFormatting sqref="F15:O19">
    <cfRule type="expression" dxfId="173" priority="121" stopIfTrue="1">
      <formula>$A15="Meta"</formula>
    </cfRule>
    <cfRule type="expression" dxfId="172" priority="122" stopIfTrue="1">
      <formula>OR(F$9=0,$A15&lt;&gt;"Serviço")</formula>
    </cfRule>
    <cfRule type="expression" dxfId="171" priority="123" stopIfTrue="1">
      <formula>TipoOrçamento="Licitado"</formula>
    </cfRule>
  </conditionalFormatting>
  <conditionalFormatting sqref="D20:E21 D52:E52 D23:E29">
    <cfRule type="expression" dxfId="170" priority="111" stopIfTrue="1">
      <formula>$A20="Meta"</formula>
    </cfRule>
    <cfRule type="expression" dxfId="169" priority="112" stopIfTrue="1">
      <formula>$A20&lt;&gt;"Serviço"</formula>
    </cfRule>
  </conditionalFormatting>
  <conditionalFormatting sqref="C20:C21 C52 C23:C29">
    <cfRule type="expression" dxfId="168" priority="113" stopIfTrue="1">
      <formula>$A20="Meta"</formula>
    </cfRule>
    <cfRule type="expression" dxfId="167" priority="114" stopIfTrue="1">
      <formula>$A20&lt;&gt;"Serviço"</formula>
    </cfRule>
  </conditionalFormatting>
  <conditionalFormatting sqref="A20:B21 A52:B52 A23:B29">
    <cfRule type="expression" dxfId="166" priority="115" stopIfTrue="1">
      <formula>$A20="Meta"</formula>
    </cfRule>
    <cfRule type="expression" dxfId="165" priority="116" stopIfTrue="1">
      <formula>LEFT($A20,5)="Nível"</formula>
    </cfRule>
    <cfRule type="expression" dxfId="164" priority="117" stopIfTrue="1">
      <formula>$A20=0</formula>
    </cfRule>
  </conditionalFormatting>
  <conditionalFormatting sqref="U20:U21 U52 U23:U29">
    <cfRule type="expression" dxfId="163" priority="118" stopIfTrue="1">
      <formula>$A20="Meta"</formula>
    </cfRule>
    <cfRule type="expression" dxfId="162" priority="119" stopIfTrue="1">
      <formula>OR(U$9=0,$A20&lt;&gt;"Serviço")</formula>
    </cfRule>
    <cfRule type="expression" dxfId="161" priority="120" stopIfTrue="1">
      <formula>TipoOrçamento="Licitado"</formula>
    </cfRule>
  </conditionalFormatting>
  <conditionalFormatting sqref="F20:O21 F52:O52 F23:O29">
    <cfRule type="expression" dxfId="160" priority="108" stopIfTrue="1">
      <formula>$A20="Meta"</formula>
    </cfRule>
    <cfRule type="expression" dxfId="159" priority="109" stopIfTrue="1">
      <formula>OR(F$9=0,$A20&lt;&gt;"Serviço")</formula>
    </cfRule>
    <cfRule type="expression" dxfId="158" priority="110" stopIfTrue="1">
      <formula>TipoOrçamento="Licitado"</formula>
    </cfRule>
  </conditionalFormatting>
  <conditionalFormatting sqref="D31:E35 D37:E41 D43:E47 D49:E51">
    <cfRule type="expression" dxfId="157" priority="98" stopIfTrue="1">
      <formula>$A31="Meta"</formula>
    </cfRule>
    <cfRule type="expression" dxfId="156" priority="99" stopIfTrue="1">
      <formula>$A31&lt;&gt;"Serviço"</formula>
    </cfRule>
  </conditionalFormatting>
  <conditionalFormatting sqref="C31:C35 C37:C41 C43:C47 C49:C51">
    <cfRule type="expression" dxfId="155" priority="100" stopIfTrue="1">
      <formula>$A31="Meta"</formula>
    </cfRule>
    <cfRule type="expression" dxfId="154" priority="101" stopIfTrue="1">
      <formula>$A31&lt;&gt;"Serviço"</formula>
    </cfRule>
  </conditionalFormatting>
  <conditionalFormatting sqref="A31:B35 A37:B41 A43:B47 A49:B51">
    <cfRule type="expression" dxfId="153" priority="102" stopIfTrue="1">
      <formula>$A31="Meta"</formula>
    </cfRule>
    <cfRule type="expression" dxfId="152" priority="103" stopIfTrue="1">
      <formula>LEFT($A31,5)="Nível"</formula>
    </cfRule>
    <cfRule type="expression" dxfId="151" priority="104" stopIfTrue="1">
      <formula>$A31=0</formula>
    </cfRule>
  </conditionalFormatting>
  <conditionalFormatting sqref="U31:U35 U37:U41 U43:U47 U49:U51">
    <cfRule type="expression" dxfId="150" priority="105" stopIfTrue="1">
      <formula>$A31="Meta"</formula>
    </cfRule>
    <cfRule type="expression" dxfId="149" priority="106" stopIfTrue="1">
      <formula>OR(U$9=0,$A31&lt;&gt;"Serviço")</formula>
    </cfRule>
    <cfRule type="expression" dxfId="148" priority="107" stopIfTrue="1">
      <formula>TipoOrçamento="Licitado"</formula>
    </cfRule>
  </conditionalFormatting>
  <conditionalFormatting sqref="F31:O35 F37:O41 F43:O47 F49:O51">
    <cfRule type="expression" dxfId="147" priority="95" stopIfTrue="1">
      <formula>$A31="Meta"</formula>
    </cfRule>
    <cfRule type="expression" dxfId="146" priority="96" stopIfTrue="1">
      <formula>OR(F$9=0,$A31&lt;&gt;"Serviço")</formula>
    </cfRule>
    <cfRule type="expression" dxfId="145" priority="97" stopIfTrue="1">
      <formula>TipoOrçamento="Licitado"</formula>
    </cfRule>
  </conditionalFormatting>
  <conditionalFormatting sqref="D53:E53">
    <cfRule type="expression" dxfId="144" priority="85" stopIfTrue="1">
      <formula>$A53="Meta"</formula>
    </cfRule>
    <cfRule type="expression" dxfId="143" priority="86" stopIfTrue="1">
      <formula>$A53&lt;&gt;"Serviço"</formula>
    </cfRule>
  </conditionalFormatting>
  <conditionalFormatting sqref="C53">
    <cfRule type="expression" dxfId="142" priority="87" stopIfTrue="1">
      <formula>$A53="Meta"</formula>
    </cfRule>
    <cfRule type="expression" dxfId="141" priority="88" stopIfTrue="1">
      <formula>$A53&lt;&gt;"Serviço"</formula>
    </cfRule>
  </conditionalFormatting>
  <conditionalFormatting sqref="A53:B53">
    <cfRule type="expression" dxfId="140" priority="89" stopIfTrue="1">
      <formula>$A53="Meta"</formula>
    </cfRule>
    <cfRule type="expression" dxfId="139" priority="90" stopIfTrue="1">
      <formula>LEFT($A53,5)="Nível"</formula>
    </cfRule>
    <cfRule type="expression" dxfId="138" priority="91" stopIfTrue="1">
      <formula>$A53=0</formula>
    </cfRule>
  </conditionalFormatting>
  <conditionalFormatting sqref="U53">
    <cfRule type="expression" dxfId="137" priority="92" stopIfTrue="1">
      <formula>$A53="Meta"</formula>
    </cfRule>
    <cfRule type="expression" dxfId="136" priority="93" stopIfTrue="1">
      <formula>OR(U$9=0,$A53&lt;&gt;"Serviço")</formula>
    </cfRule>
    <cfRule type="expression" dxfId="135" priority="94" stopIfTrue="1">
      <formula>TipoOrçamento="Licitado"</formula>
    </cfRule>
  </conditionalFormatting>
  <conditionalFormatting sqref="F53:O53">
    <cfRule type="expression" dxfId="134" priority="82" stopIfTrue="1">
      <formula>$A53="Meta"</formula>
    </cfRule>
    <cfRule type="expression" dxfId="133" priority="83" stopIfTrue="1">
      <formula>OR(F$9=0,$A53&lt;&gt;"Serviço")</formula>
    </cfRule>
    <cfRule type="expression" dxfId="132" priority="84" stopIfTrue="1">
      <formula>TipoOrçamento="Licitado"</formula>
    </cfRule>
  </conditionalFormatting>
  <conditionalFormatting sqref="D30:E30">
    <cfRule type="expression" dxfId="131" priority="72" stopIfTrue="1">
      <formula>$A30="Meta"</formula>
    </cfRule>
    <cfRule type="expression" dxfId="130" priority="73" stopIfTrue="1">
      <formula>$A30&lt;&gt;"Serviço"</formula>
    </cfRule>
  </conditionalFormatting>
  <conditionalFormatting sqref="C30">
    <cfRule type="expression" dxfId="129" priority="74" stopIfTrue="1">
      <formula>$A30="Meta"</formula>
    </cfRule>
    <cfRule type="expression" dxfId="128" priority="75" stopIfTrue="1">
      <formula>$A30&lt;&gt;"Serviço"</formula>
    </cfRule>
  </conditionalFormatting>
  <conditionalFormatting sqref="A30:B30">
    <cfRule type="expression" dxfId="127" priority="76" stopIfTrue="1">
      <formula>$A30="Meta"</formula>
    </cfRule>
    <cfRule type="expression" dxfId="126" priority="77" stopIfTrue="1">
      <formula>LEFT($A30,5)="Nível"</formula>
    </cfRule>
    <cfRule type="expression" dxfId="125" priority="78" stopIfTrue="1">
      <formula>$A30=0</formula>
    </cfRule>
  </conditionalFormatting>
  <conditionalFormatting sqref="U30">
    <cfRule type="expression" dxfId="124" priority="79" stopIfTrue="1">
      <formula>$A30="Meta"</formula>
    </cfRule>
    <cfRule type="expression" dxfId="123" priority="80" stopIfTrue="1">
      <formula>OR(U$9=0,$A30&lt;&gt;"Serviço")</formula>
    </cfRule>
    <cfRule type="expression" dxfId="122" priority="81" stopIfTrue="1">
      <formula>TipoOrçamento="Licitado"</formula>
    </cfRule>
  </conditionalFormatting>
  <conditionalFormatting sqref="F30:O30">
    <cfRule type="expression" dxfId="121" priority="69" stopIfTrue="1">
      <formula>$A30="Meta"</formula>
    </cfRule>
    <cfRule type="expression" dxfId="120" priority="70" stopIfTrue="1">
      <formula>OR(F$9=0,$A30&lt;&gt;"Serviço")</formula>
    </cfRule>
    <cfRule type="expression" dxfId="119" priority="71" stopIfTrue="1">
      <formula>TipoOrçamento="Licitado"</formula>
    </cfRule>
  </conditionalFormatting>
  <conditionalFormatting sqref="F14:O14">
    <cfRule type="expression" dxfId="118" priority="53" stopIfTrue="1">
      <formula>$A14="Meta"</formula>
    </cfRule>
    <cfRule type="expression" dxfId="117" priority="54" stopIfTrue="1">
      <formula>OR(F$9=0,$A14&lt;&gt;"Serviço")</formula>
    </cfRule>
    <cfRule type="expression" dxfId="116" priority="55" stopIfTrue="1">
      <formula>TipoOrçamento="Licitado"</formula>
    </cfRule>
  </conditionalFormatting>
  <conditionalFormatting sqref="D22:E22">
    <cfRule type="expression" dxfId="115" priority="43" stopIfTrue="1">
      <formula>$A22="Meta"</formula>
    </cfRule>
    <cfRule type="expression" dxfId="114" priority="44" stopIfTrue="1">
      <formula>$A22&lt;&gt;"Serviço"</formula>
    </cfRule>
  </conditionalFormatting>
  <conditionalFormatting sqref="C22">
    <cfRule type="expression" dxfId="113" priority="45" stopIfTrue="1">
      <formula>$A22="Meta"</formula>
    </cfRule>
    <cfRule type="expression" dxfId="112" priority="46" stopIfTrue="1">
      <formula>$A22&lt;&gt;"Serviço"</formula>
    </cfRule>
  </conditionalFormatting>
  <conditionalFormatting sqref="A22:B22">
    <cfRule type="expression" dxfId="111" priority="47" stopIfTrue="1">
      <formula>$A22="Meta"</formula>
    </cfRule>
    <cfRule type="expression" dxfId="110" priority="48" stopIfTrue="1">
      <formula>LEFT($A22,5)="Nível"</formula>
    </cfRule>
    <cfRule type="expression" dxfId="109" priority="49" stopIfTrue="1">
      <formula>$A22=0</formula>
    </cfRule>
  </conditionalFormatting>
  <conditionalFormatting sqref="U22">
    <cfRule type="expression" dxfId="108" priority="50" stopIfTrue="1">
      <formula>$A22="Meta"</formula>
    </cfRule>
    <cfRule type="expression" dxfId="107" priority="51" stopIfTrue="1">
      <formula>OR(U$9=0,$A22&lt;&gt;"Serviço")</formula>
    </cfRule>
    <cfRule type="expression" dxfId="106" priority="52" stopIfTrue="1">
      <formula>TipoOrçamento="Licitado"</formula>
    </cfRule>
  </conditionalFormatting>
  <conditionalFormatting sqref="F22:O22">
    <cfRule type="expression" dxfId="105" priority="40" stopIfTrue="1">
      <formula>$A22="Meta"</formula>
    </cfRule>
    <cfRule type="expression" dxfId="104" priority="41" stopIfTrue="1">
      <formula>OR(F$9=0,$A22&lt;&gt;"Serviço")</formula>
    </cfRule>
    <cfRule type="expression" dxfId="103" priority="42" stopIfTrue="1">
      <formula>TipoOrçamento="Licitado"</formula>
    </cfRule>
  </conditionalFormatting>
  <conditionalFormatting sqref="D36:E36">
    <cfRule type="expression" dxfId="102" priority="30" stopIfTrue="1">
      <formula>$A36="Meta"</formula>
    </cfRule>
    <cfRule type="expression" dxfId="101" priority="31" stopIfTrue="1">
      <formula>$A36&lt;&gt;"Serviço"</formula>
    </cfRule>
  </conditionalFormatting>
  <conditionalFormatting sqref="C36">
    <cfRule type="expression" dxfId="100" priority="32" stopIfTrue="1">
      <formula>$A36="Meta"</formula>
    </cfRule>
    <cfRule type="expression" dxfId="99" priority="33" stopIfTrue="1">
      <formula>$A36&lt;&gt;"Serviço"</formula>
    </cfRule>
  </conditionalFormatting>
  <conditionalFormatting sqref="A36:B36">
    <cfRule type="expression" dxfId="98" priority="34" stopIfTrue="1">
      <formula>$A36="Meta"</formula>
    </cfRule>
    <cfRule type="expression" dxfId="97" priority="35" stopIfTrue="1">
      <formula>LEFT($A36,5)="Nível"</formula>
    </cfRule>
    <cfRule type="expression" dxfId="96" priority="36" stopIfTrue="1">
      <formula>$A36=0</formula>
    </cfRule>
  </conditionalFormatting>
  <conditionalFormatting sqref="U36">
    <cfRule type="expression" dxfId="95" priority="37" stopIfTrue="1">
      <formula>$A36="Meta"</formula>
    </cfRule>
    <cfRule type="expression" dxfId="94" priority="38" stopIfTrue="1">
      <formula>OR(U$9=0,$A36&lt;&gt;"Serviço")</formula>
    </cfRule>
    <cfRule type="expression" dxfId="93" priority="39" stopIfTrue="1">
      <formula>TipoOrçamento="Licitado"</formula>
    </cfRule>
  </conditionalFormatting>
  <conditionalFormatting sqref="F36:O36">
    <cfRule type="expression" dxfId="92" priority="27" stopIfTrue="1">
      <formula>$A36="Meta"</formula>
    </cfRule>
    <cfRule type="expression" dxfId="91" priority="28" stopIfTrue="1">
      <formula>OR(F$9=0,$A36&lt;&gt;"Serviço")</formula>
    </cfRule>
    <cfRule type="expression" dxfId="90" priority="29" stopIfTrue="1">
      <formula>TipoOrçamento="Licitado"</formula>
    </cfRule>
  </conditionalFormatting>
  <conditionalFormatting sqref="D42:E42">
    <cfRule type="expression" dxfId="89" priority="17" stopIfTrue="1">
      <formula>$A42="Meta"</formula>
    </cfRule>
    <cfRule type="expression" dxfId="88" priority="18" stopIfTrue="1">
      <formula>$A42&lt;&gt;"Serviço"</formula>
    </cfRule>
  </conditionalFormatting>
  <conditionalFormatting sqref="C42">
    <cfRule type="expression" dxfId="87" priority="19" stopIfTrue="1">
      <formula>$A42="Meta"</formula>
    </cfRule>
    <cfRule type="expression" dxfId="86" priority="20" stopIfTrue="1">
      <formula>$A42&lt;&gt;"Serviço"</formula>
    </cfRule>
  </conditionalFormatting>
  <conditionalFormatting sqref="A42:B42">
    <cfRule type="expression" dxfId="85" priority="21" stopIfTrue="1">
      <formula>$A42="Meta"</formula>
    </cfRule>
    <cfRule type="expression" dxfId="84" priority="22" stopIfTrue="1">
      <formula>LEFT($A42,5)="Nível"</formula>
    </cfRule>
    <cfRule type="expression" dxfId="83" priority="23" stopIfTrue="1">
      <formula>$A42=0</formula>
    </cfRule>
  </conditionalFormatting>
  <conditionalFormatting sqref="U42">
    <cfRule type="expression" dxfId="82" priority="24" stopIfTrue="1">
      <formula>$A42="Meta"</formula>
    </cfRule>
    <cfRule type="expression" dxfId="81" priority="25" stopIfTrue="1">
      <formula>OR(U$9=0,$A42&lt;&gt;"Serviço")</formula>
    </cfRule>
    <cfRule type="expression" dxfId="80" priority="26" stopIfTrue="1">
      <formula>TipoOrçamento="Licitado"</formula>
    </cfRule>
  </conditionalFormatting>
  <conditionalFormatting sqref="F42:O42">
    <cfRule type="expression" dxfId="79" priority="14" stopIfTrue="1">
      <formula>$A42="Meta"</formula>
    </cfRule>
    <cfRule type="expression" dxfId="78" priority="15" stopIfTrue="1">
      <formula>OR(F$9=0,$A42&lt;&gt;"Serviço")</formula>
    </cfRule>
    <cfRule type="expression" dxfId="77" priority="16" stopIfTrue="1">
      <formula>TipoOrçamento="Licitado"</formula>
    </cfRule>
  </conditionalFormatting>
  <conditionalFormatting sqref="D48:E48">
    <cfRule type="expression" dxfId="76" priority="4" stopIfTrue="1">
      <formula>$A48="Meta"</formula>
    </cfRule>
    <cfRule type="expression" dxfId="75" priority="5" stopIfTrue="1">
      <formula>$A48&lt;&gt;"Serviço"</formula>
    </cfRule>
  </conditionalFormatting>
  <conditionalFormatting sqref="C48">
    <cfRule type="expression" dxfId="74" priority="6" stopIfTrue="1">
      <formula>$A48="Meta"</formula>
    </cfRule>
    <cfRule type="expression" dxfId="73" priority="7" stopIfTrue="1">
      <formula>$A48&lt;&gt;"Serviço"</formula>
    </cfRule>
  </conditionalFormatting>
  <conditionalFormatting sqref="A48:B48">
    <cfRule type="expression" dxfId="72" priority="8" stopIfTrue="1">
      <formula>$A48="Meta"</formula>
    </cfRule>
    <cfRule type="expression" dxfId="71" priority="9" stopIfTrue="1">
      <formula>LEFT($A48,5)="Nível"</formula>
    </cfRule>
    <cfRule type="expression" dxfId="70" priority="10" stopIfTrue="1">
      <formula>$A48=0</formula>
    </cfRule>
  </conditionalFormatting>
  <conditionalFormatting sqref="U48">
    <cfRule type="expression" dxfId="69" priority="11" stopIfTrue="1">
      <formula>$A48="Meta"</formula>
    </cfRule>
    <cfRule type="expression" dxfId="68" priority="12" stopIfTrue="1">
      <formula>OR(U$9=0,$A48&lt;&gt;"Serviço")</formula>
    </cfRule>
    <cfRule type="expression" dxfId="67" priority="13" stopIfTrue="1">
      <formula>TipoOrçamento="Licitado"</formula>
    </cfRule>
  </conditionalFormatting>
  <conditionalFormatting sqref="F48:O48">
    <cfRule type="expression" dxfId="66" priority="1" stopIfTrue="1">
      <formula>$A48="Meta"</formula>
    </cfRule>
    <cfRule type="expression" dxfId="65" priority="2" stopIfTrue="1">
      <formula>OR(F$9=0,$A48&lt;&gt;"Serviço")</formula>
    </cfRule>
    <cfRule type="expression" dxfId="64"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53 U14:U53"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59 B56"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pageSetUpPr fitToPage="1"/>
  </sheetPr>
  <dimension ref="A1:AK49"/>
  <sheetViews>
    <sheetView showGridLines="0" view="pageBreakPreview" topLeftCell="L1" zoomScale="70" zoomScaleSheetLayoutView="70" workbookViewId="0">
      <selection activeCell="AJ35" sqref="AJ35"/>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31" width="15.7109375" style="33" customWidth="1"/>
    <col min="32" max="32" width="0.85546875" style="36" customWidth="1"/>
    <col min="33" max="36" width="9.140625" style="33"/>
    <col min="37" max="37" width="15.7109375" style="33" hidden="1" customWidth="1"/>
    <col min="38" max="16384" width="9.140625" style="33"/>
  </cols>
  <sheetData>
    <row r="1" spans="1:37" s="32" customFormat="1" ht="12.95" customHeight="1" x14ac:dyDescent="0.2">
      <c r="A1"/>
      <c r="B1"/>
      <c r="C1"/>
      <c r="D1"/>
      <c r="E1" s="147"/>
      <c r="F1" s="147"/>
      <c r="G1" s="147"/>
      <c r="H1" s="147"/>
      <c r="I1" s="147"/>
      <c r="J1" s="147"/>
      <c r="K1" s="147"/>
      <c r="L1"/>
      <c r="M1"/>
      <c r="N1"/>
      <c r="O1" s="148" t="s">
        <v>22</v>
      </c>
      <c r="P1" s="84" t="s">
        <v>115</v>
      </c>
      <c r="Q1" s="149"/>
      <c r="R1"/>
      <c r="S1"/>
      <c r="T1"/>
      <c r="U1"/>
      <c r="V1"/>
      <c r="W1"/>
      <c r="X1" s="84" t="s">
        <v>115</v>
      </c>
      <c r="Y1" s="149"/>
      <c r="Z1"/>
      <c r="AA1"/>
      <c r="AB1"/>
      <c r="AC1"/>
      <c r="AD1"/>
      <c r="AE1"/>
      <c r="AF1"/>
      <c r="AK1"/>
    </row>
    <row r="2" spans="1:37"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Y2"/>
      <c r="Z2"/>
      <c r="AA2"/>
      <c r="AB2"/>
      <c r="AC2"/>
      <c r="AD2" s="84"/>
      <c r="AE2"/>
      <c r="AF2"/>
      <c r="AK2"/>
    </row>
    <row r="3" spans="1:37" s="32" customFormat="1" ht="12.75" customHeight="1" x14ac:dyDescent="0.2">
      <c r="A3"/>
      <c r="B3"/>
      <c r="C3"/>
      <c r="D3"/>
      <c r="E3"/>
      <c r="F3"/>
      <c r="G3"/>
      <c r="H3"/>
      <c r="I3"/>
      <c r="J3"/>
      <c r="K3"/>
      <c r="L3"/>
      <c r="M3"/>
      <c r="N3"/>
      <c r="O3"/>
      <c r="P3"/>
      <c r="Q3"/>
      <c r="R3"/>
      <c r="S3" s="1"/>
      <c r="T3"/>
      <c r="U3"/>
      <c r="V3"/>
      <c r="W3"/>
      <c r="X3"/>
      <c r="Y3"/>
      <c r="Z3"/>
      <c r="AA3" s="1"/>
      <c r="AB3"/>
      <c r="AC3"/>
      <c r="AD3"/>
      <c r="AE3"/>
      <c r="AF3"/>
      <c r="AK3"/>
    </row>
    <row r="4" spans="1:37" s="32" customFormat="1" ht="24.95" customHeight="1" x14ac:dyDescent="0.2">
      <c r="A4"/>
      <c r="B4"/>
      <c r="C4"/>
      <c r="D4"/>
      <c r="E4"/>
      <c r="F4"/>
      <c r="G4"/>
      <c r="H4"/>
      <c r="I4"/>
      <c r="J4"/>
      <c r="K4"/>
      <c r="L4"/>
      <c r="M4"/>
      <c r="N4"/>
      <c r="O4"/>
      <c r="P4"/>
      <c r="Q4"/>
      <c r="R4"/>
      <c r="S4"/>
      <c r="T4"/>
      <c r="U4"/>
      <c r="V4"/>
      <c r="W4"/>
      <c r="X4"/>
      <c r="Y4"/>
      <c r="Z4"/>
      <c r="AA4"/>
      <c r="AB4"/>
      <c r="AC4"/>
      <c r="AD4"/>
      <c r="AE4"/>
      <c r="AF4"/>
      <c r="AK4"/>
    </row>
    <row r="5" spans="1:37" s="32" customFormat="1" ht="24.95" customHeight="1" x14ac:dyDescent="0.2">
      <c r="A5"/>
      <c r="B5"/>
      <c r="C5"/>
      <c r="D5"/>
      <c r="E5"/>
      <c r="F5"/>
      <c r="G5"/>
      <c r="H5"/>
      <c r="I5"/>
      <c r="J5"/>
      <c r="K5"/>
      <c r="L5"/>
      <c r="M5"/>
      <c r="N5"/>
      <c r="O5"/>
      <c r="P5"/>
      <c r="Q5"/>
      <c r="R5"/>
      <c r="S5"/>
      <c r="T5"/>
      <c r="U5"/>
      <c r="V5"/>
      <c r="W5"/>
      <c r="X5"/>
      <c r="Y5"/>
      <c r="Z5"/>
      <c r="AA5"/>
      <c r="AB5"/>
      <c r="AC5"/>
      <c r="AD5"/>
      <c r="AE5"/>
      <c r="AF5"/>
      <c r="AK5"/>
    </row>
    <row r="6" spans="1:37" s="32" customFormat="1" ht="24.95" customHeight="1" x14ac:dyDescent="0.2">
      <c r="A6"/>
      <c r="B6"/>
      <c r="C6"/>
      <c r="D6"/>
      <c r="E6"/>
      <c r="F6"/>
      <c r="G6"/>
      <c r="H6"/>
      <c r="I6"/>
      <c r="J6"/>
      <c r="K6"/>
      <c r="L6"/>
      <c r="M6"/>
      <c r="N6"/>
      <c r="O6"/>
      <c r="P6"/>
      <c r="Q6"/>
      <c r="R6"/>
      <c r="S6"/>
      <c r="T6"/>
      <c r="U6"/>
      <c r="V6"/>
      <c r="W6"/>
      <c r="X6"/>
      <c r="Y6"/>
      <c r="Z6"/>
      <c r="AA6"/>
      <c r="AB6"/>
      <c r="AC6"/>
      <c r="AD6"/>
      <c r="AE6"/>
      <c r="AF6"/>
      <c r="AK6"/>
    </row>
    <row r="7" spans="1:37" s="32" customFormat="1" ht="21.75" customHeight="1" x14ac:dyDescent="0.2">
      <c r="A7"/>
      <c r="B7"/>
      <c r="C7"/>
      <c r="D7"/>
      <c r="E7"/>
      <c r="F7"/>
      <c r="G7"/>
      <c r="H7"/>
      <c r="I7"/>
      <c r="J7"/>
      <c r="K7"/>
      <c r="L7"/>
      <c r="M7"/>
      <c r="N7"/>
      <c r="O7"/>
      <c r="P7"/>
      <c r="Q7"/>
      <c r="R7"/>
      <c r="S7"/>
      <c r="T7"/>
      <c r="U7"/>
      <c r="V7"/>
      <c r="W7"/>
      <c r="X7"/>
      <c r="Y7"/>
      <c r="Z7"/>
      <c r="AA7"/>
      <c r="AB7"/>
      <c r="AC7"/>
      <c r="AD7"/>
      <c r="AE7"/>
      <c r="AF7"/>
      <c r="AK7"/>
    </row>
    <row r="8" spans="1:37" s="32" customFormat="1" ht="30" customHeight="1" x14ac:dyDescent="0.2">
      <c r="A8" s="150" t="s">
        <v>176</v>
      </c>
      <c r="B8"/>
      <c r="C8"/>
      <c r="D8"/>
      <c r="E8"/>
      <c r="F8"/>
      <c r="G8"/>
      <c r="H8"/>
      <c r="I8"/>
      <c r="J8"/>
      <c r="K8"/>
      <c r="L8" s="346" t="str">
        <f ca="1">IF(MAX($A$14:$A$40)&lt;&gt;MAX(PO!$V$12:$V$54),"ERRO: CRONOGRAMA DESATUALIZADO",IF(OR(COUNTIF($O$16:$AF$16,"&gt;1")&gt;0,OFFSET($AF$17,0,-1)&lt;&gt;$N$14),"ERRO: CRONOGRAMA NÃO FECHA EM 100%",""))</f>
        <v>ERRO: CRONOGRAMA NÃO FECHA EM 100%</v>
      </c>
      <c r="M8" s="346"/>
      <c r="N8" s="136" t="str">
        <f>IF(TipoOrçamento="REPROGRAMADOAC","Qtde de Medições realizadas","")</f>
        <v/>
      </c>
      <c r="O8" s="151"/>
      <c r="P8"/>
      <c r="Q8"/>
      <c r="R8"/>
      <c r="S8"/>
      <c r="T8"/>
      <c r="U8"/>
      <c r="V8"/>
      <c r="W8"/>
      <c r="X8"/>
      <c r="Y8"/>
      <c r="Z8"/>
      <c r="AA8"/>
      <c r="AB8"/>
      <c r="AC8"/>
      <c r="AD8"/>
      <c r="AE8"/>
      <c r="AF8"/>
      <c r="AK8"/>
    </row>
    <row r="9" spans="1:37" s="32" customFormat="1" ht="14.1" customHeight="1" x14ac:dyDescent="0.2">
      <c r="A9" s="141">
        <v>4</v>
      </c>
      <c r="B9"/>
      <c r="C9"/>
      <c r="D9"/>
      <c r="E9"/>
      <c r="F9"/>
      <c r="G9"/>
      <c r="H9"/>
      <c r="I9"/>
      <c r="J9"/>
      <c r="K9"/>
      <c r="L9" s="1"/>
      <c r="M9" s="1"/>
      <c r="N9" s="135">
        <v>1</v>
      </c>
      <c r="O9" s="26">
        <f>IF(AND(TipoOrçamento="REPROGRAMADOAC",$N$9&gt;0),$N$9-1,0)</f>
        <v>0</v>
      </c>
      <c r="P9" s="126">
        <f t="shared" ref="P9:AE9" ca="1" si="0">OFFSET(P9,0,-1)+1</f>
        <v>1</v>
      </c>
      <c r="Q9" s="126">
        <f t="shared" ca="1" si="0"/>
        <v>2</v>
      </c>
      <c r="R9" s="126">
        <f t="shared" ca="1" si="0"/>
        <v>3</v>
      </c>
      <c r="S9" s="126">
        <f t="shared" ca="1" si="0"/>
        <v>4</v>
      </c>
      <c r="T9" s="126">
        <f t="shared" ca="1" si="0"/>
        <v>5</v>
      </c>
      <c r="U9" s="126">
        <f t="shared" ca="1" si="0"/>
        <v>6</v>
      </c>
      <c r="V9" s="126">
        <f t="shared" ca="1" si="0"/>
        <v>7</v>
      </c>
      <c r="W9" s="126">
        <f t="shared" ca="1" si="0"/>
        <v>8</v>
      </c>
      <c r="X9" s="126">
        <f t="shared" ca="1" si="0"/>
        <v>9</v>
      </c>
      <c r="Y9" s="126">
        <f t="shared" ca="1" si="0"/>
        <v>10</v>
      </c>
      <c r="Z9" s="126">
        <f t="shared" ca="1" si="0"/>
        <v>11</v>
      </c>
      <c r="AA9" s="126">
        <f t="shared" ca="1" si="0"/>
        <v>12</v>
      </c>
      <c r="AB9" s="126">
        <f t="shared" ca="1" si="0"/>
        <v>13</v>
      </c>
      <c r="AC9" s="126">
        <f t="shared" ca="1" si="0"/>
        <v>14</v>
      </c>
      <c r="AD9" s="126">
        <f t="shared" ca="1" si="0"/>
        <v>15</v>
      </c>
      <c r="AE9" s="126">
        <f t="shared" ca="1" si="0"/>
        <v>16</v>
      </c>
      <c r="AF9"/>
      <c r="AK9" s="126">
        <f ca="1">OFFSET(AK9,0,-1)+1</f>
        <v>1</v>
      </c>
    </row>
    <row r="10" spans="1:37"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01/04/25</v>
      </c>
      <c r="P10" s="186" t="str">
        <f ca="1">IF(AND(TipoOrçamento="REPROGRAMADOAC",$N$9&gt;0,N10="Valores Totais (R$)"),"Parcela "&amp;$N$9&amp;" Executado","Parcela "&amp;P$9&amp;CHAR(10)&amp;TEXT(DATE(YEAR(DADOS!$A$48),MONTH(DADOS!$A$48)+P$9-IF(AND(TipoOrçamento="REPROGRAMADOAC",$N$9&gt;0),$N$9,0),1),"mmm/aa"))</f>
        <v>Parcela 1
mai/25</v>
      </c>
      <c r="Q10" s="177" t="str">
        <f ca="1">IF(AND(TipoOrçamento="REPROGRAMADOAC",$N$9&gt;0,O10="Valores Totais (R$)"),"Parcela "&amp;$N$9&amp;" Executado","Parcela "&amp;Q$9&amp;CHAR(10)&amp;TEXT(DATE(YEAR(DADOS!$A$48),MONTH(DADOS!$A$48)+Q$9-IF(AND(TipoOrçamento="REPROGRAMADOAC",$N$9&gt;0),$N$9,0),1),"mmm/aa"))</f>
        <v>Parcela 2
jun/25</v>
      </c>
      <c r="R10" s="177" t="str">
        <f ca="1">IF(AND(TipoOrçamento="REPROGRAMADOAC",$N$9&gt;0,P10="Valores Totais (R$)"),"Parcela "&amp;$N$9&amp;" Executado","Parcela "&amp;R$9&amp;CHAR(10)&amp;TEXT(DATE(YEAR(DADOS!$A$48),MONTH(DADOS!$A$48)+R$9-IF(AND(TipoOrçamento="REPROGRAMADOAC",$N$9&gt;0),$N$9,0),1),"mmm/aa"))</f>
        <v>Parcela 3
jul/25</v>
      </c>
      <c r="S10" s="177" t="str">
        <f ca="1">IF(AND(TipoOrçamento="REPROGRAMADOAC",$N$9&gt;0,Q10="Valores Totais (R$)"),"Parcela "&amp;$N$9&amp;" Executado","Parcela "&amp;S$9&amp;CHAR(10)&amp;TEXT(DATE(YEAR(DADOS!$A$48),MONTH(DADOS!$A$48)+S$9-IF(AND(TipoOrçamento="REPROGRAMADOAC",$N$9&gt;0),$N$9,0),1),"mmm/aa"))</f>
        <v>Parcela 4
ago/25</v>
      </c>
      <c r="T10" s="177" t="str">
        <f ca="1">IF(AND(TipoOrçamento="REPROGRAMADOAC",$N$9&gt;0,R10="Valores Totais (R$)"),"Parcela "&amp;$N$9&amp;" Executado","Parcela "&amp;T$9&amp;CHAR(10)&amp;TEXT(DATE(YEAR(DADOS!$A$48),MONTH(DADOS!$A$48)+T$9-IF(AND(TipoOrçamento="REPROGRAMADOAC",$N$9&gt;0),$N$9,0),1),"mmm/aa"))</f>
        <v>Parcela 5
set/25</v>
      </c>
      <c r="U10" s="177" t="str">
        <f ca="1">IF(AND(TipoOrçamento="REPROGRAMADOAC",$N$9&gt;0,S10="Valores Totais (R$)"),"Parcela "&amp;$N$9&amp;" Executado","Parcela "&amp;U$9&amp;CHAR(10)&amp;TEXT(DATE(YEAR(DADOS!$A$48),MONTH(DADOS!$A$48)+U$9-IF(AND(TipoOrçamento="REPROGRAMADOAC",$N$9&gt;0),$N$9,0),1),"mmm/aa"))</f>
        <v>Parcela 6
out/25</v>
      </c>
      <c r="V10" s="177" t="str">
        <f ca="1">IF(AND(TipoOrçamento="REPROGRAMADOAC",$N$9&gt;0,T10="Valores Totais (R$)"),"Parcela "&amp;$N$9&amp;" Executado","Parcela "&amp;V$9&amp;CHAR(10)&amp;TEXT(DATE(YEAR(DADOS!$A$48),MONTH(DADOS!$A$48)+V$9-IF(AND(TipoOrçamento="REPROGRAMADOAC",$N$9&gt;0),$N$9,0),1),"mmm/aa"))</f>
        <v>Parcela 7
nov/25</v>
      </c>
      <c r="W10" s="189" t="str">
        <f ca="1">IF(AND(TipoOrçamento="REPROGRAMADOAC",$N$9&gt;0,U10="Valores Totais (R$)"),"Parcela "&amp;$N$9&amp;" Executado","Parcela "&amp;W$9&amp;CHAR(10)&amp;TEXT(DATE(YEAR(DADOS!$A$48),MONTH(DADOS!$A$48)+W$9-IF(AND(TipoOrçamento="REPROGRAMADOAC",$N$9&gt;0),$N$9,0),1),"mmm/aa"))</f>
        <v>Parcela 8
dez/25</v>
      </c>
      <c r="X10" s="186" t="str">
        <f ca="1">IF(AND(TipoOrçamento="REPROGRAMADOAC",$N$9&gt;0,V10="Valores Totais (R$)"),"Parcela "&amp;$N$9&amp;" Executado","Parcela "&amp;X$9&amp;CHAR(10)&amp;TEXT(DATE(YEAR(DADOS!$A$48),MONTH(DADOS!$A$48)+X$9-IF(AND(TipoOrçamento="REPROGRAMADOAC",$N$9&gt;0),$N$9,0),1),"mmm/aa"))</f>
        <v>Parcela 9
jan/26</v>
      </c>
      <c r="Y10" s="177" t="str">
        <f ca="1">IF(AND(TipoOrçamento="REPROGRAMADOAC",$N$9&gt;0,W10="Valores Totais (R$)"),"Parcela "&amp;$N$9&amp;" Executado","Parcela "&amp;Y$9&amp;CHAR(10)&amp;TEXT(DATE(YEAR(DADOS!$A$48),MONTH(DADOS!$A$48)+Y$9-IF(AND(TipoOrçamento="REPROGRAMADOAC",$N$9&gt;0),$N$9,0),1),"mmm/aa"))</f>
        <v>Parcela 10
fev/26</v>
      </c>
      <c r="Z10" s="177" t="str">
        <f ca="1">IF(AND(TipoOrçamento="REPROGRAMADOAC",$N$9&gt;0,X10="Valores Totais (R$)"),"Parcela "&amp;$N$9&amp;" Executado","Parcela "&amp;Z$9&amp;CHAR(10)&amp;TEXT(DATE(YEAR(DADOS!$A$48),MONTH(DADOS!$A$48)+Z$9-IF(AND(TipoOrçamento="REPROGRAMADOAC",$N$9&gt;0),$N$9,0),1),"mmm/aa"))</f>
        <v>Parcela 11
mar/26</v>
      </c>
      <c r="AA10" s="177" t="str">
        <f ca="1">IF(AND(TipoOrçamento="REPROGRAMADOAC",$N$9&gt;0,Y10="Valores Totais (R$)"),"Parcela "&amp;$N$9&amp;" Executado","Parcela "&amp;AA$9&amp;CHAR(10)&amp;TEXT(DATE(YEAR(DADOS!$A$48),MONTH(DADOS!$A$48)+AA$9-IF(AND(TipoOrçamento="REPROGRAMADOAC",$N$9&gt;0),$N$9,0),1),"mmm/aa"))</f>
        <v>Parcela 12
abr/26</v>
      </c>
      <c r="AB10" s="177" t="str">
        <f ca="1">IF(AND(TipoOrçamento="REPROGRAMADOAC",$N$9&gt;0,Z10="Valores Totais (R$)"),"Parcela "&amp;$N$9&amp;" Executado","Parcela "&amp;AB$9&amp;CHAR(10)&amp;TEXT(DATE(YEAR(DADOS!$A$48),MONTH(DADOS!$A$48)+AB$9-IF(AND(TipoOrçamento="REPROGRAMADOAC",$N$9&gt;0),$N$9,0),1),"mmm/aa"))</f>
        <v>Parcela 13
mai/26</v>
      </c>
      <c r="AC10" s="177" t="str">
        <f ca="1">IF(AND(TipoOrçamento="REPROGRAMADOAC",$N$9&gt;0,AA10="Valores Totais (R$)"),"Parcela "&amp;$N$9&amp;" Executado","Parcela "&amp;AC$9&amp;CHAR(10)&amp;TEXT(DATE(YEAR(DADOS!$A$48),MONTH(DADOS!$A$48)+AC$9-IF(AND(TipoOrçamento="REPROGRAMADOAC",$N$9&gt;0),$N$9,0),1),"mmm/aa"))</f>
        <v>Parcela 14
jun/26</v>
      </c>
      <c r="AD10" s="177" t="str">
        <f ca="1">IF(AND(TipoOrçamento="REPROGRAMADOAC",$N$9&gt;0,AB10="Valores Totais (R$)"),"Parcela "&amp;$N$9&amp;" Executado","Parcela "&amp;AD$9&amp;CHAR(10)&amp;TEXT(DATE(YEAR(DADOS!$A$48),MONTH(DADOS!$A$48)+AD$9-IF(AND(TipoOrçamento="REPROGRAMADOAC",$N$9&gt;0),$N$9,0),1),"mmm/aa"))</f>
        <v>Parcela 15
jul/26</v>
      </c>
      <c r="AE10" s="189" t="str">
        <f ca="1">IF(AND(TipoOrçamento="REPROGRAMADOAC",$N$9&gt;0,AC10="Valores Totais (R$)"),"Parcela "&amp;$N$9&amp;" Executado","Parcela "&amp;AE$9&amp;CHAR(10)&amp;TEXT(DATE(YEAR(DADOS!$A$48),MONTH(DADOS!$A$48)+AE$9-IF(AND(TipoOrçamento="REPROGRAMADOAC",$N$9&gt;0),$N$9,0),1),"mmm/aa"))</f>
        <v>Parcela 16
ago/26</v>
      </c>
      <c r="AF10" s="162"/>
      <c r="AK10" s="177" t="str">
        <f ca="1">IF(AND(TipoOrçamento="REPROGRAMADOAC",$N$9&gt;0,AI10="Valores Totais (R$)"),"Parcela "&amp;$N$9&amp;" Executado","Parcela "&amp;AK$9&amp;CHAR(10)&amp;TEXT(DATE(YEAR(DADOS!$A$48),MONTH(DADOS!$A$48)+AK$9-IF(AND(TipoOrçamento="REPROGRAMADOAC",$N$9&gt;0),$N$9,0),1),"mmm/aa"))</f>
        <v>Parcela 1
mai/25</v>
      </c>
    </row>
    <row r="11" spans="1:37" customFormat="1" ht="14.25" hidden="1" customHeight="1" x14ac:dyDescent="0.2">
      <c r="A11" s="1"/>
      <c r="B11" s="1"/>
      <c r="C11" s="1"/>
      <c r="D11" s="1"/>
      <c r="E11" s="1"/>
      <c r="F11" s="1"/>
      <c r="G11" s="1"/>
      <c r="H11" s="1"/>
      <c r="I11" s="1"/>
      <c r="J11" s="1"/>
      <c r="K11" s="1"/>
      <c r="L11" s="344" t="e">
        <f ca="1">INDEX(PO!K$12:K$54,MATCH($A13,PO!$V$12:$V$54,0))</f>
        <v>#VALUE!</v>
      </c>
      <c r="M11" s="340" t="e">
        <f ca="1">INDEX(PO!N$12:N$54,MATCH($A13,PO!$V$12:$V$54,0))</f>
        <v>#VALUE!</v>
      </c>
      <c r="N11" s="342"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92" t="e">
        <f ca="1">IF($B13,0,X12-IF(ISNUMBER(W12),W12,0))</f>
        <v>#VALUE!</v>
      </c>
      <c r="Y11" s="193" t="e">
        <f t="shared" ref="Y11" ca="1" si="2">IF($B13,0,Y12-IF(ISNUMBER(X12),X12,0))</f>
        <v>#VALUE!</v>
      </c>
      <c r="Z11" s="193" t="e">
        <f t="shared" ref="Z11" ca="1" si="3">IF($B13,0,Z12-IF(ISNUMBER(Y12),Y12,0))</f>
        <v>#VALUE!</v>
      </c>
      <c r="AA11" s="193" t="e">
        <f t="shared" ref="AA11" ca="1" si="4">IF($B13,0,AA12-IF(ISNUMBER(Z12),Z12,0))</f>
        <v>#VALUE!</v>
      </c>
      <c r="AB11" s="193" t="e">
        <f t="shared" ref="AB11" ca="1" si="5">IF($B13,0,AB12-IF(ISNUMBER(AA12),AA12,0))</f>
        <v>#VALUE!</v>
      </c>
      <c r="AC11" s="193" t="e">
        <f t="shared" ref="AC11" ca="1" si="6">IF($B13,0,AC12-IF(ISNUMBER(AB12),AB12,0))</f>
        <v>#VALUE!</v>
      </c>
      <c r="AD11" s="193" t="e">
        <f t="shared" ref="AD11" ca="1" si="7">IF($B13,0,AD12-IF(ISNUMBER(AC12),AC12,0))</f>
        <v>#VALUE!</v>
      </c>
      <c r="AE11" s="194" t="e">
        <f t="shared" ref="AE11" ca="1" si="8">IF($B13,0,AE12-IF(ISNUMBER(AD12),AD12,0))</f>
        <v>#VALUE!</v>
      </c>
      <c r="AF11" s="163"/>
      <c r="AK11" s="188" t="e">
        <f ca="1">IF($B13,0,AK12-IF(ISNUMBER(AJ12),AJ12,0))</f>
        <v>#VALUE!</v>
      </c>
    </row>
    <row r="12" spans="1:37" customFormat="1" ht="14.25" hidden="1" x14ac:dyDescent="0.2">
      <c r="A12" s="11"/>
      <c r="B12" s="11"/>
      <c r="C12" s="11"/>
      <c r="D12" s="11"/>
      <c r="E12" s="11"/>
      <c r="F12" s="11"/>
      <c r="G12" s="11"/>
      <c r="H12" s="11"/>
      <c r="I12" s="11"/>
      <c r="J12" s="11"/>
      <c r="K12" s="11"/>
      <c r="L12" s="345"/>
      <c r="M12" s="341"/>
      <c r="N12" s="343"/>
      <c r="O12" s="145" t="s">
        <v>145</v>
      </c>
      <c r="P12" s="165" t="e">
        <f ca="1">MIN(IF($B13,P11+IF(ISNUMBER(O12),O12,0),P13/$N11),1)</f>
        <v>#VALUE!</v>
      </c>
      <c r="Q12" s="143" t="e">
        <f t="shared" ref="Q12:W12" ca="1" si="9">MIN(IF($B13,Q11+IF(ISNUMBER(P12),P12,0),Q13/$N11),1)</f>
        <v>#VALUE!</v>
      </c>
      <c r="R12" s="143" t="e">
        <f t="shared" ca="1" si="9"/>
        <v>#VALUE!</v>
      </c>
      <c r="S12" s="143" t="e">
        <f t="shared" ca="1" si="9"/>
        <v>#VALUE!</v>
      </c>
      <c r="T12" s="143" t="e">
        <f t="shared" ca="1" si="9"/>
        <v>#VALUE!</v>
      </c>
      <c r="U12" s="143" t="e">
        <f t="shared" ca="1" si="9"/>
        <v>#VALUE!</v>
      </c>
      <c r="V12" s="143" t="e">
        <f t="shared" ca="1" si="9"/>
        <v>#VALUE!</v>
      </c>
      <c r="W12" s="143" t="e">
        <f t="shared" ca="1" si="9"/>
        <v>#VALUE!</v>
      </c>
      <c r="X12" s="165" t="e">
        <f ca="1">MIN(IF($B13,X11+IF(ISNUMBER(W12),W12,0),X13/$N11),1)</f>
        <v>#VALUE!</v>
      </c>
      <c r="Y12" s="143" t="e">
        <f t="shared" ref="Y12" ca="1" si="10">MIN(IF($B13,Y11+IF(ISNUMBER(X12),X12,0),Y13/$N11),1)</f>
        <v>#VALUE!</v>
      </c>
      <c r="Z12" s="143" t="e">
        <f t="shared" ref="Z12" ca="1" si="11">MIN(IF($B13,Z11+IF(ISNUMBER(Y12),Y12,0),Z13/$N11),1)</f>
        <v>#VALUE!</v>
      </c>
      <c r="AA12" s="143" t="e">
        <f t="shared" ref="AA12" ca="1" si="12">MIN(IF($B13,AA11+IF(ISNUMBER(Z12),Z12,0),AA13/$N11),1)</f>
        <v>#VALUE!</v>
      </c>
      <c r="AB12" s="143" t="e">
        <f t="shared" ref="AB12" ca="1" si="13">MIN(IF($B13,AB11+IF(ISNUMBER(AA12),AA12,0),AB13/$N11),1)</f>
        <v>#VALUE!</v>
      </c>
      <c r="AC12" s="143" t="e">
        <f t="shared" ref="AC12" ca="1" si="14">MIN(IF($B13,AC11+IF(ISNUMBER(AB12),AB12,0),AC13/$N11),1)</f>
        <v>#VALUE!</v>
      </c>
      <c r="AD12" s="143" t="e">
        <f t="shared" ref="AD12" ca="1" si="15">MIN(IF($B13,AD11+IF(ISNUMBER(AC12),AC12,0),AD13/$N11),1)</f>
        <v>#VALUE!</v>
      </c>
      <c r="AE12" s="143" t="e">
        <f t="shared" ref="AE12" ca="1" si="16">MIN(IF($B13,AE11+IF(ISNUMBER(AD12),AD12,0),AE13/$N11),1)</f>
        <v>#VALUE!</v>
      </c>
      <c r="AF12" s="163"/>
      <c r="AK12" s="143" t="e">
        <f ca="1">MIN(IF($B13,AK11+IF(ISNUMBER(AJ12),AJ12,0),AK13/$N11),1)</f>
        <v>#VALUE!</v>
      </c>
    </row>
    <row r="13" spans="1:37" customFormat="1" ht="14.25" hidden="1" x14ac:dyDescent="0.2">
      <c r="A13" s="11" t="e">
        <f ca="1">OFFSET(A13,-CFF.NumLinha,0)+1</f>
        <v>#VALUE!</v>
      </c>
      <c r="B13" s="11" t="e">
        <f ca="1">$C13&gt;=OFFSET($C13,CFF.NumLinha,0)</f>
        <v>#VALUE!</v>
      </c>
      <c r="C13" s="11" t="e">
        <f ca="1">INDEX(PO!A$12:A$54,MATCH($A13,PO!$V$12:$V$54,0))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MATCH(0,OFFSET($D13,1,$C13,ROW($A$39)-ROW($A13)),0)</f>
        <v>#VALUE!</v>
      </c>
      <c r="J13" s="11" t="e">
        <f ca="1">MATCH(OFFSET($D13,0,$C13)+1,OFFSET($D13,1,$C13,ROW($A$39)-ROW($A13)),0)</f>
        <v>#VALUE!</v>
      </c>
      <c r="K13" s="156" t="e">
        <f ca="1">ROUND(INDEX(PO!T$12:T$54,MATCH($A13,PO!$V$12:$V$54,0)),2)+10^-12</f>
        <v>#VALUE!</v>
      </c>
      <c r="L13" s="345"/>
      <c r="M13" s="341"/>
      <c r="N13" s="343"/>
      <c r="O13" s="171" t="s">
        <v>20</v>
      </c>
      <c r="P13" s="166" t="e">
        <f ca="1">IF($B13,ROUND(P12*$N11,2),ROUND(SUMIF(OFFSET($B13,1,0,$D13),TRUE,OFFSET(P13,1,0,$D13))/SUMIF(OFFSET($B13,1,0,$D13),TRUE,OFFSET($K13,1,0,$D13))*$N11,2))</f>
        <v>#VALUE!</v>
      </c>
      <c r="Q13" s="144" t="e">
        <f t="shared" ref="Q13:W13" ca="1" si="17">IF($B13,ROUND(Q12*$N11,2),ROUND(SUMIF(OFFSET($B13,1,0,$D13),TRUE,OFFSET(Q13,1,0,$D13))/SUMIF(OFFSET($B13,1,0,$D13),TRUE,OFFSET($K13,1,0,$D13))*$N11,2))</f>
        <v>#VALUE!</v>
      </c>
      <c r="R13" s="144" t="e">
        <f t="shared" ca="1" si="17"/>
        <v>#VALUE!</v>
      </c>
      <c r="S13" s="144" t="e">
        <f t="shared" ca="1" si="17"/>
        <v>#VALUE!</v>
      </c>
      <c r="T13" s="144" t="e">
        <f t="shared" ca="1" si="17"/>
        <v>#VALUE!</v>
      </c>
      <c r="U13" s="144" t="e">
        <f t="shared" ca="1" si="17"/>
        <v>#VALUE!</v>
      </c>
      <c r="V13" s="144" t="e">
        <f t="shared" ca="1" si="17"/>
        <v>#VALUE!</v>
      </c>
      <c r="W13" s="174" t="e">
        <f t="shared" ca="1" si="17"/>
        <v>#VALUE!</v>
      </c>
      <c r="X13" s="166" t="e">
        <f ca="1">IF($B13,ROUND(X12*$N11,2),ROUND(SUMIF(OFFSET($B13,1,0,$D13),TRUE,OFFSET(X13,1,0,$D13))/SUMIF(OFFSET($B13,1,0,$D13),TRUE,OFFSET($K13,1,0,$D13))*$N11,2))</f>
        <v>#VALUE!</v>
      </c>
      <c r="Y13" s="144" t="e">
        <f t="shared" ref="Y13:AE13" ca="1" si="18">IF($B13,ROUND(Y12*$N11,2),ROUND(SUMIF(OFFSET($B13,1,0,$D13),TRUE,OFFSET(Y13,1,0,$D13))/SUMIF(OFFSET($B13,1,0,$D13),TRUE,OFFSET($K13,1,0,$D13))*$N11,2))</f>
        <v>#VALUE!</v>
      </c>
      <c r="Z13" s="144" t="e">
        <f t="shared" ca="1" si="18"/>
        <v>#VALUE!</v>
      </c>
      <c r="AA13" s="144" t="e">
        <f t="shared" ca="1" si="18"/>
        <v>#VALUE!</v>
      </c>
      <c r="AB13" s="144" t="e">
        <f t="shared" ca="1" si="18"/>
        <v>#VALUE!</v>
      </c>
      <c r="AC13" s="144" t="e">
        <f t="shared" ca="1" si="18"/>
        <v>#VALUE!</v>
      </c>
      <c r="AD13" s="144" t="e">
        <f t="shared" ca="1" si="18"/>
        <v>#VALUE!</v>
      </c>
      <c r="AE13" s="174" t="e">
        <f t="shared" ca="1" si="18"/>
        <v>#VALUE!</v>
      </c>
      <c r="AF13" s="163"/>
      <c r="AK13" s="144" t="e">
        <f ca="1">IF($B13,ROUND(AK12*$N11,2),ROUND(SUMIF(OFFSET($B13,1,0,$D13),TRUE,OFFSET(AK13,1,0,$D13))/SUMIF(OFFSET($B13,1,0,$D13),TRUE,OFFSET($K13,1,0,$D13))*$N11,2))</f>
        <v>#VALUE!</v>
      </c>
    </row>
    <row r="14" spans="1:37" s="35" customFormat="1" ht="12.75" customHeight="1" x14ac:dyDescent="0.2">
      <c r="A14"/>
      <c r="B14"/>
      <c r="C14"/>
      <c r="D14"/>
      <c r="E14"/>
      <c r="F14"/>
      <c r="G14"/>
      <c r="H14"/>
      <c r="I14"/>
      <c r="J14"/>
      <c r="K14"/>
      <c r="L14" s="352" t="s">
        <v>19</v>
      </c>
      <c r="M14" s="353"/>
      <c r="N14" s="358">
        <f ca="1">IF(PO!$T$12=0,10^-12,PO!$T$12)</f>
        <v>9.9999999999999998E-13</v>
      </c>
      <c r="O14" s="142" t="s">
        <v>143</v>
      </c>
      <c r="P14" s="172">
        <f ca="1">ROUND(P15/$N14,4)</f>
        <v>0</v>
      </c>
      <c r="Q14" s="173">
        <f t="shared" ref="Q14:AE14" ca="1" si="19">ROUND(Q15/$N14,4)</f>
        <v>0</v>
      </c>
      <c r="R14" s="173">
        <f t="shared" ca="1" si="19"/>
        <v>0</v>
      </c>
      <c r="S14" s="173">
        <f t="shared" ca="1" si="19"/>
        <v>0</v>
      </c>
      <c r="T14" s="173">
        <f t="shared" ca="1" si="19"/>
        <v>0</v>
      </c>
      <c r="U14" s="173">
        <f t="shared" ca="1" si="19"/>
        <v>0</v>
      </c>
      <c r="V14" s="173">
        <f t="shared" ca="1" si="19"/>
        <v>0</v>
      </c>
      <c r="W14" s="173">
        <f t="shared" ca="1" si="19"/>
        <v>0</v>
      </c>
      <c r="X14" s="172">
        <f ca="1">ROUND(X15/$N14,4)</f>
        <v>0</v>
      </c>
      <c r="Y14" s="173">
        <f t="shared" ca="1" si="19"/>
        <v>0</v>
      </c>
      <c r="Z14" s="173">
        <f t="shared" ca="1" si="19"/>
        <v>0</v>
      </c>
      <c r="AA14" s="173">
        <f t="shared" ca="1" si="19"/>
        <v>0</v>
      </c>
      <c r="AB14" s="173">
        <f t="shared" ca="1" si="19"/>
        <v>0</v>
      </c>
      <c r="AC14" s="173">
        <f t="shared" ca="1" si="19"/>
        <v>0</v>
      </c>
      <c r="AD14" s="173">
        <f t="shared" ca="1" si="19"/>
        <v>0</v>
      </c>
      <c r="AE14" s="173">
        <f t="shared" ca="1" si="19"/>
        <v>0</v>
      </c>
      <c r="AF14" s="146"/>
      <c r="AK14" s="173">
        <f ca="1">ROUND(AK15/$N14,4)</f>
        <v>0</v>
      </c>
    </row>
    <row r="15" spans="1:37" s="35" customFormat="1" ht="12.75" customHeight="1" x14ac:dyDescent="0.2">
      <c r="A15"/>
      <c r="B15"/>
      <c r="C15"/>
      <c r="D15"/>
      <c r="E15"/>
      <c r="F15"/>
      <c r="G15"/>
      <c r="H15"/>
      <c r="I15"/>
      <c r="J15"/>
      <c r="K15"/>
      <c r="L15" s="354"/>
      <c r="M15" s="355"/>
      <c r="N15" s="359"/>
      <c r="O15" s="132" t="s">
        <v>144</v>
      </c>
      <c r="P15" s="167">
        <f ca="1">P17-IF(ISNUMBER(O17),O17,0)</f>
        <v>0</v>
      </c>
      <c r="Q15" s="127">
        <f t="shared" ref="Q15:W15" ca="1" si="20">Q17-IF(ISNUMBER(P17),P17,0)</f>
        <v>0</v>
      </c>
      <c r="R15" s="127">
        <f t="shared" ca="1" si="20"/>
        <v>0</v>
      </c>
      <c r="S15" s="127">
        <f t="shared" ca="1" si="20"/>
        <v>0</v>
      </c>
      <c r="T15" s="127">
        <f t="shared" ca="1" si="20"/>
        <v>0</v>
      </c>
      <c r="U15" s="127">
        <f t="shared" ca="1" si="20"/>
        <v>0</v>
      </c>
      <c r="V15" s="127">
        <f t="shared" ca="1" si="20"/>
        <v>0</v>
      </c>
      <c r="W15" s="127">
        <f t="shared" ca="1" si="20"/>
        <v>0</v>
      </c>
      <c r="X15" s="167">
        <f ca="1">X17-IF(ISNUMBER(W17),W17,0)</f>
        <v>0</v>
      </c>
      <c r="Y15" s="127">
        <f t="shared" ref="Y15" ca="1" si="21">Y17-IF(ISNUMBER(X17),X17,0)</f>
        <v>0</v>
      </c>
      <c r="Z15" s="127">
        <f t="shared" ref="Z15" ca="1" si="22">Z17-IF(ISNUMBER(Y17),Y17,0)</f>
        <v>0</v>
      </c>
      <c r="AA15" s="127">
        <f t="shared" ref="AA15" ca="1" si="23">AA17-IF(ISNUMBER(Z17),Z17,0)</f>
        <v>0</v>
      </c>
      <c r="AB15" s="127">
        <f t="shared" ref="AB15" ca="1" si="24">AB17-IF(ISNUMBER(AA17),AA17,0)</f>
        <v>0</v>
      </c>
      <c r="AC15" s="127">
        <f t="shared" ref="AC15" ca="1" si="25">AC17-IF(ISNUMBER(AB17),AB17,0)</f>
        <v>0</v>
      </c>
      <c r="AD15" s="127">
        <f t="shared" ref="AD15" ca="1" si="26">AD17-IF(ISNUMBER(AC17),AC17,0)</f>
        <v>0</v>
      </c>
      <c r="AE15" s="127">
        <f t="shared" ref="AE15" ca="1" si="27">AE17-IF(ISNUMBER(AD17),AD17,0)</f>
        <v>0</v>
      </c>
      <c r="AF15" s="146"/>
      <c r="AK15" s="127">
        <f ca="1">AK17-IF(ISNUMBER(AJ17),AJ17,0)</f>
        <v>0</v>
      </c>
    </row>
    <row r="16" spans="1:37" s="35" customFormat="1" ht="12.75" customHeight="1" x14ac:dyDescent="0.2">
      <c r="A16"/>
      <c r="B16"/>
      <c r="C16"/>
      <c r="D16"/>
      <c r="E16"/>
      <c r="F16"/>
      <c r="G16"/>
      <c r="H16"/>
      <c r="I16"/>
      <c r="J16"/>
      <c r="K16"/>
      <c r="L16" s="354"/>
      <c r="M16" s="355"/>
      <c r="N16" s="359"/>
      <c r="O16" s="133" t="s">
        <v>145</v>
      </c>
      <c r="P16" s="168">
        <f ca="1">ROUND(P17/$N14,4)</f>
        <v>0</v>
      </c>
      <c r="Q16" s="128">
        <f t="shared" ref="Q16:W16" ca="1" si="28">ROUND(Q17/$N14,4)</f>
        <v>0</v>
      </c>
      <c r="R16" s="128">
        <f t="shared" ca="1" si="28"/>
        <v>0</v>
      </c>
      <c r="S16" s="128">
        <f t="shared" ca="1" si="28"/>
        <v>0</v>
      </c>
      <c r="T16" s="128">
        <f t="shared" ca="1" si="28"/>
        <v>0</v>
      </c>
      <c r="U16" s="128">
        <f t="shared" ca="1" si="28"/>
        <v>0</v>
      </c>
      <c r="V16" s="128">
        <f t="shared" ca="1" si="28"/>
        <v>0</v>
      </c>
      <c r="W16" s="128">
        <f t="shared" ca="1" si="28"/>
        <v>0</v>
      </c>
      <c r="X16" s="168">
        <f ca="1">ROUND(X17/$N14,4)</f>
        <v>0</v>
      </c>
      <c r="Y16" s="128">
        <f t="shared" ref="Y16:AE16" ca="1" si="29">ROUND(Y17/$N14,4)</f>
        <v>0</v>
      </c>
      <c r="Z16" s="128">
        <f t="shared" ca="1" si="29"/>
        <v>0</v>
      </c>
      <c r="AA16" s="128">
        <f t="shared" ca="1" si="29"/>
        <v>0</v>
      </c>
      <c r="AB16" s="128">
        <f t="shared" ca="1" si="29"/>
        <v>0</v>
      </c>
      <c r="AC16" s="128">
        <f t="shared" ca="1" si="29"/>
        <v>0</v>
      </c>
      <c r="AD16" s="128">
        <f t="shared" ca="1" si="29"/>
        <v>0</v>
      </c>
      <c r="AE16" s="128">
        <f t="shared" ca="1" si="29"/>
        <v>0</v>
      </c>
      <c r="AF16" s="146"/>
      <c r="AK16" s="128">
        <f ca="1">ROUND(AK17/$N14,4)</f>
        <v>0</v>
      </c>
    </row>
    <row r="17" spans="1:37" s="35" customFormat="1" ht="12.75" customHeight="1" x14ac:dyDescent="0.2">
      <c r="A17" s="19">
        <v>0</v>
      </c>
      <c r="B17"/>
      <c r="C17"/>
      <c r="D17" s="19">
        <f>ROW(D$39)-ROW(D18)</f>
        <v>21</v>
      </c>
      <c r="E17"/>
      <c r="F17"/>
      <c r="G17"/>
      <c r="H17"/>
      <c r="I17"/>
      <c r="J17"/>
      <c r="K17"/>
      <c r="L17" s="356"/>
      <c r="M17" s="357"/>
      <c r="N17" s="360"/>
      <c r="O17" s="134" t="s">
        <v>20</v>
      </c>
      <c r="P17" s="169">
        <f ca="1">SUMIF(OFFSET($C17,1,0):$C$39,1,OFFSET(P17,1,0):P$39)</f>
        <v>0</v>
      </c>
      <c r="Q17" s="129">
        <f ca="1">SUMIF(OFFSET($C17,1,0):$C$39,1,OFFSET(Q17,1,0):Q$39)</f>
        <v>0</v>
      </c>
      <c r="R17" s="129">
        <f ca="1">SUMIF(OFFSET($C17,1,0):$C$39,1,OFFSET(R17,1,0):R$39)</f>
        <v>0</v>
      </c>
      <c r="S17" s="129">
        <f ca="1">SUMIF(OFFSET($C17,1,0):$C$39,1,OFFSET(S17,1,0):S$39)</f>
        <v>0</v>
      </c>
      <c r="T17" s="129">
        <f ca="1">SUMIF(OFFSET($C17,1,0):$C$39,1,OFFSET(T17,1,0):T$39)</f>
        <v>0</v>
      </c>
      <c r="U17" s="129">
        <f ca="1">SUMIF(OFFSET($C17,1,0):$C$39,1,OFFSET(U17,1,0):U$39)</f>
        <v>0</v>
      </c>
      <c r="V17" s="129">
        <f ca="1">SUMIF(OFFSET($C17,1,0):$C$39,1,OFFSET(V17,1,0):V$39)</f>
        <v>0</v>
      </c>
      <c r="W17" s="129">
        <f ca="1">SUMIF(OFFSET($C17,1,0):$C$39,1,OFFSET(W17,1,0):W$39)</f>
        <v>0</v>
      </c>
      <c r="X17" s="169">
        <f ca="1">SUMIF(OFFSET($C17,1,0):$C$39,1,OFFSET(X17,1,0):X$39)</f>
        <v>0</v>
      </c>
      <c r="Y17" s="129">
        <f ca="1">SUMIF(OFFSET($C17,1,0):$C$39,1,OFFSET(Y17,1,0):Y$39)</f>
        <v>0</v>
      </c>
      <c r="Z17" s="129">
        <f ca="1">SUMIF(OFFSET($C17,1,0):$C$39,1,OFFSET(Z17,1,0):Z$39)</f>
        <v>0</v>
      </c>
      <c r="AA17" s="129">
        <f ca="1">SUMIF(OFFSET($C17,1,0):$C$39,1,OFFSET(AA17,1,0):AA$39)</f>
        <v>0</v>
      </c>
      <c r="AB17" s="129">
        <f ca="1">SUMIF(OFFSET($C17,1,0):$C$39,1,OFFSET(AB17,1,0):AB$39)</f>
        <v>0</v>
      </c>
      <c r="AC17" s="129">
        <f ca="1">SUMIF(OFFSET($C17,1,0):$C$39,1,OFFSET(AC17,1,0):AC$39)</f>
        <v>0</v>
      </c>
      <c r="AD17" s="129">
        <f ca="1">SUMIF(OFFSET($C17,1,0):$C$39,1,OFFSET(AD17,1,0):AD$39)</f>
        <v>0</v>
      </c>
      <c r="AE17" s="129">
        <f ca="1">SUMIF(OFFSET($C17,1,0):$C$39,1,OFFSET(AE17,1,0):AE$39)</f>
        <v>0</v>
      </c>
      <c r="AF17" s="146"/>
      <c r="AK17" s="129">
        <f ca="1">SUMIF(OFFSET($C17,1,0):$C$39,1,OFFSET(AK17,1,0):AK$39)</f>
        <v>0</v>
      </c>
    </row>
    <row r="18" spans="1:37" customFormat="1" ht="14.25" customHeight="1" x14ac:dyDescent="0.2">
      <c r="L18" s="344" t="str">
        <f ca="1">INDEX(PO!K$12:K$54,MATCH($A20,PO!$V$12:$V$54,0))</f>
        <v>1.</v>
      </c>
      <c r="M18" s="340" t="str">
        <f ca="1">INDEX(PO!N$12:N$54,MATCH($A20,PO!$V$12:$V$54,0))</f>
        <v>AGREGADOS BASÁLTICOS</v>
      </c>
      <c r="N18" s="342">
        <f ca="1">IF(ROUND(K20,2)=0,K20,ROUND(K20,2))</f>
        <v>9.9999999999999998E-13</v>
      </c>
      <c r="O18" s="170" t="s">
        <v>143</v>
      </c>
      <c r="P18" s="192">
        <v>8.3299999999999999E-2</v>
      </c>
      <c r="Q18" s="193">
        <v>8.3299999999999999E-2</v>
      </c>
      <c r="R18" s="193">
        <v>8.3299999999999999E-2</v>
      </c>
      <c r="S18" s="193">
        <v>8.3299999999999999E-2</v>
      </c>
      <c r="T18" s="193">
        <v>8.3299999999999999E-2</v>
      </c>
      <c r="U18" s="193">
        <v>8.3299999999999999E-2</v>
      </c>
      <c r="V18" s="193">
        <v>8.3299999999999999E-2</v>
      </c>
      <c r="W18" s="194">
        <v>8.3299999999999999E-2</v>
      </c>
      <c r="X18" s="192">
        <v>8.3400000000000002E-2</v>
      </c>
      <c r="Y18" s="193">
        <v>8.3400000000000002E-2</v>
      </c>
      <c r="Z18" s="193">
        <v>8.3400000000000002E-2</v>
      </c>
      <c r="AA18" s="193">
        <v>8.3400000000000002E-2</v>
      </c>
      <c r="AB18" s="193">
        <f t="shared" ref="AB18:AE18" ca="1" si="30">IF($B20,0,AB19-IF(ISNUMBER(AA19),AA19,0))</f>
        <v>0</v>
      </c>
      <c r="AC18" s="193">
        <f t="shared" ca="1" si="30"/>
        <v>0</v>
      </c>
      <c r="AD18" s="193">
        <f t="shared" ca="1" si="30"/>
        <v>0</v>
      </c>
      <c r="AE18" s="194">
        <f t="shared" ca="1" si="30"/>
        <v>0</v>
      </c>
      <c r="AF18" s="164" t="s">
        <v>106</v>
      </c>
      <c r="AK18" s="188">
        <f ca="1">IF($B20,0,AK19-IF(ISNUMBER(AJ19),AJ19,0))</f>
        <v>0</v>
      </c>
    </row>
    <row r="19" spans="1:37" customFormat="1" ht="14.25" x14ac:dyDescent="0.2">
      <c r="L19" s="345"/>
      <c r="M19" s="341"/>
      <c r="N19" s="343"/>
      <c r="O19" s="145" t="s">
        <v>145</v>
      </c>
      <c r="P19" s="165">
        <f t="shared" ref="P19:AE19" ca="1" si="31">MIN(IF($B20,P18+IF(ISNUMBER(O19),O19,0),P20/$N18),1)</f>
        <v>0</v>
      </c>
      <c r="Q19" s="143">
        <f t="shared" ca="1" si="31"/>
        <v>0</v>
      </c>
      <c r="R19" s="143">
        <f t="shared" ca="1" si="31"/>
        <v>0</v>
      </c>
      <c r="S19" s="143">
        <f t="shared" ca="1" si="31"/>
        <v>0</v>
      </c>
      <c r="T19" s="143">
        <f t="shared" ca="1" si="31"/>
        <v>0</v>
      </c>
      <c r="U19" s="143">
        <f t="shared" ca="1" si="31"/>
        <v>0</v>
      </c>
      <c r="V19" s="143">
        <f t="shared" ca="1" si="31"/>
        <v>0</v>
      </c>
      <c r="W19" s="143">
        <f t="shared" ca="1" si="31"/>
        <v>0</v>
      </c>
      <c r="X19" s="165">
        <f t="shared" ca="1" si="31"/>
        <v>0</v>
      </c>
      <c r="Y19" s="143">
        <f t="shared" ca="1" si="31"/>
        <v>0</v>
      </c>
      <c r="Z19" s="143">
        <f t="shared" ca="1" si="31"/>
        <v>0</v>
      </c>
      <c r="AA19" s="143">
        <f t="shared" ca="1" si="31"/>
        <v>0</v>
      </c>
      <c r="AB19" s="143">
        <f t="shared" ca="1" si="31"/>
        <v>0</v>
      </c>
      <c r="AC19" s="143">
        <f t="shared" ca="1" si="31"/>
        <v>0</v>
      </c>
      <c r="AD19" s="143">
        <f t="shared" ca="1" si="31"/>
        <v>0</v>
      </c>
      <c r="AE19" s="143">
        <f t="shared" ca="1" si="31"/>
        <v>0</v>
      </c>
      <c r="AF19" s="163"/>
      <c r="AK19" s="143">
        <f ca="1">MIN(IF($B20,AK18+IF(ISNUMBER(AJ19),AJ19,0),AK20/$N18),1)</f>
        <v>0</v>
      </c>
    </row>
    <row r="20" spans="1:37" customFormat="1" ht="14.25" x14ac:dyDescent="0.2">
      <c r="A20" s="19">
        <f ca="1">OFFSET(A20,-CFF.NumLinha,0)+1</f>
        <v>1</v>
      </c>
      <c r="B20" t="b">
        <f ca="1">$C20&gt;=OFFSET($C20,CFF.NumLinha,0)</f>
        <v>0</v>
      </c>
      <c r="C20" s="11">
        <f ca="1">INDEX(PO!A$12:A$54,MATCH($A20,PO!$V$12:$V$54,0))</f>
        <v>1</v>
      </c>
      <c r="D20" s="11">
        <f ca="1">IF(ISERROR(J20),I20,SMALL(I20:J20,1))-1</f>
        <v>18</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MATCH(0,OFFSET($D20,1,$C20,ROW($A$39)-ROW($A20)),0)</f>
        <v>19</v>
      </c>
      <c r="J20" s="11" t="e">
        <f ca="1">MATCH(OFFSET($D20,0,$C20)+1,OFFSET($D20,1,$C20,ROW($A$39)-ROW($A20)),0)</f>
        <v>#N/A</v>
      </c>
      <c r="K20" s="156">
        <f ca="1">ROUND(INDEX(PO!T$12:T$54,MATCH($A20,PO!$V$12:$V$54,0)),2)+10^-12</f>
        <v>9.9999999999999998E-13</v>
      </c>
      <c r="L20" s="345"/>
      <c r="M20" s="341"/>
      <c r="N20" s="343"/>
      <c r="O20" s="171" t="s">
        <v>20</v>
      </c>
      <c r="P20" s="166">
        <f t="shared" ref="P20:AE20" ca="1" si="32">IF($B20,ROUND(P19*$N18,2),ROUND(SUMIF(OFFSET($B20,1,0,$D20),TRUE,OFFSET(P20,1,0,$D20))/SUMIF(OFFSET($B20,1,0,$D20),TRUE,OFFSET($K20,1,0,$D20))*$N18,2))</f>
        <v>0</v>
      </c>
      <c r="Q20" s="144">
        <f t="shared" ca="1" si="32"/>
        <v>0</v>
      </c>
      <c r="R20" s="144">
        <f t="shared" ca="1" si="32"/>
        <v>0</v>
      </c>
      <c r="S20" s="144">
        <f t="shared" ca="1" si="32"/>
        <v>0</v>
      </c>
      <c r="T20" s="144">
        <f t="shared" ca="1" si="32"/>
        <v>0</v>
      </c>
      <c r="U20" s="144">
        <f t="shared" ca="1" si="32"/>
        <v>0</v>
      </c>
      <c r="V20" s="144">
        <f t="shared" ca="1" si="32"/>
        <v>0</v>
      </c>
      <c r="W20" s="174">
        <f t="shared" ca="1" si="32"/>
        <v>0</v>
      </c>
      <c r="X20" s="166">
        <f t="shared" ca="1" si="32"/>
        <v>0</v>
      </c>
      <c r="Y20" s="144">
        <f t="shared" ca="1" si="32"/>
        <v>0</v>
      </c>
      <c r="Z20" s="144">
        <f t="shared" ca="1" si="32"/>
        <v>0</v>
      </c>
      <c r="AA20" s="144">
        <f t="shared" ca="1" si="32"/>
        <v>0</v>
      </c>
      <c r="AB20" s="144">
        <f t="shared" ca="1" si="32"/>
        <v>0</v>
      </c>
      <c r="AC20" s="144">
        <f t="shared" ca="1" si="32"/>
        <v>0</v>
      </c>
      <c r="AD20" s="144">
        <f t="shared" ca="1" si="32"/>
        <v>0</v>
      </c>
      <c r="AE20" s="174">
        <f t="shared" ca="1" si="32"/>
        <v>0</v>
      </c>
      <c r="AF20" s="163"/>
      <c r="AK20" s="144">
        <f ca="1">IF($B20,ROUND(AK19*$N18,2),ROUND(SUMIF(OFFSET($B20,1,0,$D20),TRUE,OFFSET(AK20,1,0,$D20))/SUMIF(OFFSET($B20,1,0,$D20),TRUE,OFFSET($K20,1,0,$D20))*$N18,2))</f>
        <v>0</v>
      </c>
    </row>
    <row r="21" spans="1:37" customFormat="1" ht="14.25" customHeight="1" x14ac:dyDescent="0.2">
      <c r="A21" s="1"/>
      <c r="B21" s="1"/>
      <c r="C21" s="1"/>
      <c r="D21" s="1"/>
      <c r="E21" s="1"/>
      <c r="F21" s="1"/>
      <c r="G21" s="1"/>
      <c r="H21" s="1"/>
      <c r="I21" s="1"/>
      <c r="J21" s="1"/>
      <c r="K21" s="1"/>
      <c r="L21" s="344" t="str">
        <f ca="1">INDEX(PO!K$12:K$54,MATCH($A23,PO!$V$12:$V$54,0))</f>
        <v>1.1.</v>
      </c>
      <c r="M21" s="340" t="str">
        <f ca="1">INDEX(PO!N$12:N$54,MATCH($A23,PO!$V$12:$V$54,0))</f>
        <v>ENTREGUE NA SECRETARIA MUNICIPAL DE VIAÇÃO E OBRAS PÚBLICAS (SMVOP)</v>
      </c>
      <c r="N21" s="342">
        <f t="shared" ref="N21" ca="1" si="33">IF(ROUND(K23,2)=0,K23,ROUND(K23,2))</f>
        <v>9.9999999999999998E-13</v>
      </c>
      <c r="O21" s="187" t="s">
        <v>143</v>
      </c>
      <c r="P21" s="192">
        <v>8.3299999999999999E-2</v>
      </c>
      <c r="Q21" s="193">
        <v>8.3299999999999999E-2</v>
      </c>
      <c r="R21" s="193">
        <f>P21</f>
        <v>8.3299999999999999E-2</v>
      </c>
      <c r="S21" s="193">
        <f>P21</f>
        <v>8.3299999999999999E-2</v>
      </c>
      <c r="T21" s="193">
        <f>P21</f>
        <v>8.3299999999999999E-2</v>
      </c>
      <c r="U21" s="193">
        <f>P21</f>
        <v>8.3299999999999999E-2</v>
      </c>
      <c r="V21" s="193">
        <f>P21</f>
        <v>8.3299999999999999E-2</v>
      </c>
      <c r="W21" s="194">
        <f>P21</f>
        <v>8.3299999999999999E-2</v>
      </c>
      <c r="X21" s="192">
        <f>P21</f>
        <v>8.3299999999999999E-2</v>
      </c>
      <c r="Y21" s="193">
        <f>P21</f>
        <v>8.3299999999999999E-2</v>
      </c>
      <c r="Z21" s="193">
        <f>P21</f>
        <v>8.3299999999999999E-2</v>
      </c>
      <c r="AA21" s="193">
        <v>8.3699999999999997E-2</v>
      </c>
      <c r="AB21" s="193">
        <f t="shared" ref="AB21" ca="1" si="34">IF($B23,0,AB22-IF(ISNUMBER(AA22),AA22,0))</f>
        <v>0</v>
      </c>
      <c r="AC21" s="193">
        <f t="shared" ref="AC21" ca="1" si="35">IF($B23,0,AC22-IF(ISNUMBER(AB22),AB22,0))</f>
        <v>0</v>
      </c>
      <c r="AD21" s="193">
        <f t="shared" ref="AD21" ca="1" si="36">IF($B23,0,AD22-IF(ISNUMBER(AC22),AC22,0))</f>
        <v>0</v>
      </c>
      <c r="AE21" s="194">
        <f t="shared" ref="AE21" ca="1" si="37">IF($B23,0,AE22-IF(ISNUMBER(AD22),AD22,0))</f>
        <v>0</v>
      </c>
      <c r="AF21" s="163"/>
      <c r="AK21" s="188">
        <f t="shared" ref="AK21" ca="1" si="38">IF($B23,0,AK22-IF(ISNUMBER(AJ22),AJ22,0))</f>
        <v>0</v>
      </c>
    </row>
    <row r="22" spans="1:37" customFormat="1" ht="14.25" x14ac:dyDescent="0.2">
      <c r="A22" s="11"/>
      <c r="B22" s="11"/>
      <c r="C22" s="11"/>
      <c r="D22" s="11"/>
      <c r="E22" s="11"/>
      <c r="F22" s="11"/>
      <c r="G22" s="11"/>
      <c r="H22" s="11"/>
      <c r="I22" s="11"/>
      <c r="J22" s="11"/>
      <c r="K22" s="11"/>
      <c r="L22" s="345"/>
      <c r="M22" s="341"/>
      <c r="N22" s="343"/>
      <c r="O22" s="145" t="s">
        <v>145</v>
      </c>
      <c r="P22" s="165">
        <f t="shared" ref="P22" ca="1" si="39">MIN(IF($B23,P21+IF(ISNUMBER(O22),O22,0),P23/$N21),1)</f>
        <v>8.3299999999999999E-2</v>
      </c>
      <c r="Q22" s="143">
        <f t="shared" ref="Q22" ca="1" si="40">MIN(IF($B23,Q21+IF(ISNUMBER(P22),P22,0),Q23/$N21),1)</f>
        <v>0.1666</v>
      </c>
      <c r="R22" s="143">
        <f t="shared" ref="R22" ca="1" si="41">MIN(IF($B23,R21+IF(ISNUMBER(Q22),Q22,0),R23/$N21),1)</f>
        <v>0.24990000000000001</v>
      </c>
      <c r="S22" s="143">
        <f t="shared" ref="S22" ca="1" si="42">MIN(IF($B23,S21+IF(ISNUMBER(R22),R22,0),S23/$N21),1)</f>
        <v>0.3332</v>
      </c>
      <c r="T22" s="143">
        <f t="shared" ref="T22" ca="1" si="43">MIN(IF($B23,T21+IF(ISNUMBER(S22),S22,0),T23/$N21),1)</f>
        <v>0.41649999999999998</v>
      </c>
      <c r="U22" s="143">
        <f t="shared" ref="U22" ca="1" si="44">MIN(IF($B23,U21+IF(ISNUMBER(T22),T22,0),U23/$N21),1)</f>
        <v>0.49979999999999997</v>
      </c>
      <c r="V22" s="143">
        <f t="shared" ref="V22" ca="1" si="45">MIN(IF($B23,V21+IF(ISNUMBER(U22),U22,0),V23/$N21),1)</f>
        <v>0.58309999999999995</v>
      </c>
      <c r="W22" s="143">
        <f t="shared" ref="W22:X22" ca="1" si="46">MIN(IF($B23,W21+IF(ISNUMBER(V22),V22,0),W23/$N21),1)</f>
        <v>0.66639999999999999</v>
      </c>
      <c r="X22" s="165">
        <f t="shared" ca="1" si="46"/>
        <v>0.74970000000000003</v>
      </c>
      <c r="Y22" s="143">
        <f t="shared" ref="Y22" ca="1" si="47">MIN(IF($B23,Y21+IF(ISNUMBER(X22),X22,0),Y23/$N21),1)</f>
        <v>0.83300000000000007</v>
      </c>
      <c r="Z22" s="143">
        <f t="shared" ref="Z22" ca="1" si="48">MIN(IF($B23,Z21+IF(ISNUMBER(Y22),Y22,0),Z23/$N21),1)</f>
        <v>0.91630000000000011</v>
      </c>
      <c r="AA22" s="143">
        <f t="shared" ref="AA22" ca="1" si="49">MIN(IF($B23,AA21+IF(ISNUMBER(Z22),Z22,0),AA23/$N21),1)</f>
        <v>1</v>
      </c>
      <c r="AB22" s="143">
        <f t="shared" ref="AB22" ca="1" si="50">MIN(IF($B23,AB21+IF(ISNUMBER(AA22),AA22,0),AB23/$N21),1)</f>
        <v>1</v>
      </c>
      <c r="AC22" s="143">
        <f t="shared" ref="AC22" ca="1" si="51">MIN(IF($B23,AC21+IF(ISNUMBER(AB22),AB22,0),AC23/$N21),1)</f>
        <v>1</v>
      </c>
      <c r="AD22" s="143">
        <f t="shared" ref="AD22" ca="1" si="52">MIN(IF($B23,AD21+IF(ISNUMBER(AC22),AC22,0),AD23/$N21),1)</f>
        <v>1</v>
      </c>
      <c r="AE22" s="143">
        <f t="shared" ref="AE22" ca="1" si="53">MIN(IF($B23,AE21+IF(ISNUMBER(AD22),AD22,0),AE23/$N21),1)</f>
        <v>1</v>
      </c>
      <c r="AF22" s="163"/>
      <c r="AK22" s="143">
        <f t="shared" ref="AK22" ca="1" si="54">MIN(IF($B23,AK21+IF(ISNUMBER(AJ22),AJ22,0),AK23/$N21),1)</f>
        <v>0</v>
      </c>
    </row>
    <row r="23" spans="1:37" customFormat="1" ht="14.25" x14ac:dyDescent="0.2">
      <c r="A23" s="11">
        <f ca="1">OFFSET(A23,-CFF.NumLinha,0)+1</f>
        <v>2</v>
      </c>
      <c r="B23" s="11" t="b">
        <f ca="1">$C23&gt;=OFFSET($C23,CFF.NumLinha,0)</f>
        <v>1</v>
      </c>
      <c r="C23" s="11">
        <f ca="1">INDEX(PO!A$12:A$54,MATCH($A23,PO!$V$12:$V$54,0))</f>
        <v>2</v>
      </c>
      <c r="D23" s="11">
        <f t="shared" ref="D23" ca="1" si="55">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t="shared" ref="I23" ca="1" si="56">MATCH(0,OFFSET($D23,1,$C23,ROW($A$39)-ROW($A23)),0)</f>
        <v>16</v>
      </c>
      <c r="J23" s="11">
        <f t="shared" ref="J23" ca="1" si="57">MATCH(OFFSET($D23,0,$C23)+1,OFFSET($D23,1,$C23,ROW($A$39)-ROW($A23)),0)</f>
        <v>3</v>
      </c>
      <c r="K23" s="156">
        <f ca="1">ROUND(INDEX(PO!T$12:T$54,MATCH($A23,PO!$V$12:$V$54,0)),2)+10^-12</f>
        <v>9.9999999999999998E-13</v>
      </c>
      <c r="L23" s="345"/>
      <c r="M23" s="341"/>
      <c r="N23" s="343"/>
      <c r="O23" s="171" t="s">
        <v>20</v>
      </c>
      <c r="P23" s="166">
        <f t="shared" ref="P23:AE23" ca="1" si="58">IF($B23,ROUND(P22*$N21,2),ROUND(SUMIF(OFFSET($B23,1,0,$D23),TRUE,OFFSET(P23,1,0,$D23))/SUMIF(OFFSET($B23,1,0,$D23),TRUE,OFFSET($K23,1,0,$D23))*$N21,2))</f>
        <v>0</v>
      </c>
      <c r="Q23" s="144">
        <f t="shared" ca="1" si="58"/>
        <v>0</v>
      </c>
      <c r="R23" s="144">
        <f t="shared" ca="1" si="58"/>
        <v>0</v>
      </c>
      <c r="S23" s="144">
        <f t="shared" ca="1" si="58"/>
        <v>0</v>
      </c>
      <c r="T23" s="144">
        <f t="shared" ca="1" si="58"/>
        <v>0</v>
      </c>
      <c r="U23" s="144">
        <f t="shared" ca="1" si="58"/>
        <v>0</v>
      </c>
      <c r="V23" s="144">
        <f t="shared" ca="1" si="58"/>
        <v>0</v>
      </c>
      <c r="W23" s="174">
        <f t="shared" ca="1" si="58"/>
        <v>0</v>
      </c>
      <c r="X23" s="166">
        <f t="shared" ca="1" si="58"/>
        <v>0</v>
      </c>
      <c r="Y23" s="144">
        <f t="shared" ca="1" si="58"/>
        <v>0</v>
      </c>
      <c r="Z23" s="144">
        <f t="shared" ca="1" si="58"/>
        <v>0</v>
      </c>
      <c r="AA23" s="144">
        <f t="shared" ca="1" si="58"/>
        <v>0</v>
      </c>
      <c r="AB23" s="144">
        <f t="shared" ca="1" si="58"/>
        <v>0</v>
      </c>
      <c r="AC23" s="144">
        <f t="shared" ca="1" si="58"/>
        <v>0</v>
      </c>
      <c r="AD23" s="144">
        <f t="shared" ca="1" si="58"/>
        <v>0</v>
      </c>
      <c r="AE23" s="174">
        <f t="shared" ca="1" si="58"/>
        <v>0</v>
      </c>
      <c r="AF23" s="163"/>
      <c r="AK23" s="144">
        <f t="shared" ref="AK23" ca="1" si="59">IF($B23,ROUND(AK22*$N21,2),ROUND(SUMIF(OFFSET($B23,1,0,$D23),TRUE,OFFSET(AK23,1,0,$D23))/SUMIF(OFFSET($B23,1,0,$D23),TRUE,OFFSET($K23,1,0,$D23))*$N21,2))</f>
        <v>0</v>
      </c>
    </row>
    <row r="24" spans="1:37" customFormat="1" ht="14.25" customHeight="1" x14ac:dyDescent="0.2">
      <c r="A24" s="1"/>
      <c r="B24" s="1"/>
      <c r="C24" s="1"/>
      <c r="D24" s="1"/>
      <c r="E24" s="1"/>
      <c r="F24" s="1"/>
      <c r="G24" s="1"/>
      <c r="H24" s="1"/>
      <c r="I24" s="1"/>
      <c r="J24" s="1"/>
      <c r="K24" s="1"/>
      <c r="L24" s="344" t="str">
        <f ca="1">INDEX(PO!K$12:K$54,MATCH($A26,PO!$V$12:$V$54,0))</f>
        <v>1.2.</v>
      </c>
      <c r="M24" s="340" t="str">
        <f ca="1">INDEX(PO!N$12:N$54,MATCH($A26,PO!$V$12:$V$54,0))</f>
        <v>SEM FRETE  (PARA RETIRAR NA UNIDADE DE BRITAGEM)</v>
      </c>
      <c r="N24" s="342">
        <f t="shared" ref="N24" ca="1" si="60">IF(ROUND(K26,2)=0,K26,ROUND(K26,2))</f>
        <v>9.9999999999999998E-13</v>
      </c>
      <c r="O24" s="187" t="s">
        <v>143</v>
      </c>
      <c r="P24" s="192">
        <f t="shared" ref="P24:AA24" si="61">P21</f>
        <v>8.3299999999999999E-2</v>
      </c>
      <c r="Q24" s="193">
        <f t="shared" si="61"/>
        <v>8.3299999999999999E-2</v>
      </c>
      <c r="R24" s="193">
        <f t="shared" si="61"/>
        <v>8.3299999999999999E-2</v>
      </c>
      <c r="S24" s="193">
        <f t="shared" si="61"/>
        <v>8.3299999999999999E-2</v>
      </c>
      <c r="T24" s="193">
        <f t="shared" si="61"/>
        <v>8.3299999999999999E-2</v>
      </c>
      <c r="U24" s="193">
        <f t="shared" si="61"/>
        <v>8.3299999999999999E-2</v>
      </c>
      <c r="V24" s="193">
        <f t="shared" si="61"/>
        <v>8.3299999999999999E-2</v>
      </c>
      <c r="W24" s="194">
        <f t="shared" si="61"/>
        <v>8.3299999999999999E-2</v>
      </c>
      <c r="X24" s="192">
        <f t="shared" si="61"/>
        <v>8.3299999999999999E-2</v>
      </c>
      <c r="Y24" s="193">
        <f t="shared" si="61"/>
        <v>8.3299999999999999E-2</v>
      </c>
      <c r="Z24" s="193">
        <f t="shared" si="61"/>
        <v>8.3299999999999999E-2</v>
      </c>
      <c r="AA24" s="193">
        <f t="shared" si="61"/>
        <v>8.3699999999999997E-2</v>
      </c>
      <c r="AB24" s="193">
        <f t="shared" ref="AB24" ca="1" si="62">IF($B26,0,AB25-IF(ISNUMBER(AA25),AA25,0))</f>
        <v>0</v>
      </c>
      <c r="AC24" s="193">
        <f t="shared" ref="AC24" ca="1" si="63">IF($B26,0,AC25-IF(ISNUMBER(AB25),AB25,0))</f>
        <v>0</v>
      </c>
      <c r="AD24" s="193">
        <f t="shared" ref="AD24" ca="1" si="64">IF($B26,0,AD25-IF(ISNUMBER(AC25),AC25,0))</f>
        <v>0</v>
      </c>
      <c r="AE24" s="194">
        <f t="shared" ref="AE24" ca="1" si="65">IF($B26,0,AE25-IF(ISNUMBER(AD25),AD25,0))</f>
        <v>0</v>
      </c>
      <c r="AF24" s="163"/>
      <c r="AK24" s="188">
        <f t="shared" ref="AK24" ca="1" si="66">IF($B26,0,AK25-IF(ISNUMBER(AJ25),AJ25,0))</f>
        <v>0</v>
      </c>
    </row>
    <row r="25" spans="1:37" customFormat="1" ht="14.25" x14ac:dyDescent="0.2">
      <c r="A25" s="11"/>
      <c r="B25" s="11"/>
      <c r="C25" s="11"/>
      <c r="D25" s="11"/>
      <c r="E25" s="11"/>
      <c r="F25" s="11"/>
      <c r="G25" s="11"/>
      <c r="H25" s="11"/>
      <c r="I25" s="11"/>
      <c r="J25" s="11"/>
      <c r="K25" s="11"/>
      <c r="L25" s="345"/>
      <c r="M25" s="341"/>
      <c r="N25" s="343"/>
      <c r="O25" s="145" t="s">
        <v>145</v>
      </c>
      <c r="P25" s="165">
        <f t="shared" ref="P25" ca="1" si="67">MIN(IF($B26,P24+IF(ISNUMBER(O25),O25,0),P26/$N24),1)</f>
        <v>8.3299999999999999E-2</v>
      </c>
      <c r="Q25" s="143">
        <f t="shared" ref="Q25" ca="1" si="68">MIN(IF($B26,Q24+IF(ISNUMBER(P25),P25,0),Q26/$N24),1)</f>
        <v>0.1666</v>
      </c>
      <c r="R25" s="143">
        <f t="shared" ref="R25" ca="1" si="69">MIN(IF($B26,R24+IF(ISNUMBER(Q25),Q25,0),R26/$N24),1)</f>
        <v>0.24990000000000001</v>
      </c>
      <c r="S25" s="143">
        <f t="shared" ref="S25" ca="1" si="70">MIN(IF($B26,S24+IF(ISNUMBER(R25),R25,0),S26/$N24),1)</f>
        <v>0.3332</v>
      </c>
      <c r="T25" s="143">
        <f t="shared" ref="T25" ca="1" si="71">MIN(IF($B26,T24+IF(ISNUMBER(S25),S25,0),T26/$N24),1)</f>
        <v>0.41649999999999998</v>
      </c>
      <c r="U25" s="143">
        <f t="shared" ref="U25" ca="1" si="72">MIN(IF($B26,U24+IF(ISNUMBER(T25),T25,0),U26/$N24),1)</f>
        <v>0.49979999999999997</v>
      </c>
      <c r="V25" s="143">
        <f t="shared" ref="V25" ca="1" si="73">MIN(IF($B26,V24+IF(ISNUMBER(U25),U25,0),V26/$N24),1)</f>
        <v>0.58309999999999995</v>
      </c>
      <c r="W25" s="143">
        <f t="shared" ref="W25:X25" ca="1" si="74">MIN(IF($B26,W24+IF(ISNUMBER(V25),V25,0),W26/$N24),1)</f>
        <v>0.66639999999999999</v>
      </c>
      <c r="X25" s="165">
        <f t="shared" ca="1" si="74"/>
        <v>0.74970000000000003</v>
      </c>
      <c r="Y25" s="143">
        <f t="shared" ref="Y25" ca="1" si="75">MIN(IF($B26,Y24+IF(ISNUMBER(X25),X25,0),Y26/$N24),1)</f>
        <v>0.83300000000000007</v>
      </c>
      <c r="Z25" s="143">
        <f t="shared" ref="Z25" ca="1" si="76">MIN(IF($B26,Z24+IF(ISNUMBER(Y25),Y25,0),Z26/$N24),1)</f>
        <v>0.91630000000000011</v>
      </c>
      <c r="AA25" s="143">
        <f t="shared" ref="AA25" ca="1" si="77">MIN(IF($B26,AA24+IF(ISNUMBER(Z25),Z25,0),AA26/$N24),1)</f>
        <v>1</v>
      </c>
      <c r="AB25" s="143">
        <f t="shared" ref="AB25" ca="1" si="78">MIN(IF($B26,AB24+IF(ISNUMBER(AA25),AA25,0),AB26/$N24),1)</f>
        <v>1</v>
      </c>
      <c r="AC25" s="143">
        <f t="shared" ref="AC25" ca="1" si="79">MIN(IF($B26,AC24+IF(ISNUMBER(AB25),AB25,0),AC26/$N24),1)</f>
        <v>1</v>
      </c>
      <c r="AD25" s="143">
        <f t="shared" ref="AD25" ca="1" si="80">MIN(IF($B26,AD24+IF(ISNUMBER(AC25),AC25,0),AD26/$N24),1)</f>
        <v>1</v>
      </c>
      <c r="AE25" s="143">
        <f t="shared" ref="AE25" ca="1" si="81">MIN(IF($B26,AE24+IF(ISNUMBER(AD25),AD25,0),AE26/$N24),1)</f>
        <v>1</v>
      </c>
      <c r="AF25" s="163"/>
      <c r="AK25" s="143">
        <f t="shared" ref="AK25" ca="1" si="82">MIN(IF($B26,AK24+IF(ISNUMBER(AJ25),AJ25,0),AK26/$N24),1)</f>
        <v>0</v>
      </c>
    </row>
    <row r="26" spans="1:37" customFormat="1" ht="14.25" x14ac:dyDescent="0.2">
      <c r="A26" s="11">
        <f ca="1">OFFSET(A26,-CFF.NumLinha,0)+1</f>
        <v>3</v>
      </c>
      <c r="B26" s="11" t="b">
        <f ca="1">$C26&gt;=OFFSET($C26,CFF.NumLinha,0)</f>
        <v>1</v>
      </c>
      <c r="C26" s="11">
        <f ca="1">INDEX(PO!A$12:A$54,MATCH($A26,PO!$V$12:$V$54,0))</f>
        <v>2</v>
      </c>
      <c r="D26" s="11">
        <f t="shared" ref="D26" ca="1" si="83">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t="shared" ref="I26" ca="1" si="84">MATCH(0,OFFSET($D26,1,$C26,ROW($A$39)-ROW($A26)),0)</f>
        <v>13</v>
      </c>
      <c r="J26" s="11">
        <f t="shared" ref="J26" ca="1" si="85">MATCH(OFFSET($D26,0,$C26)+1,OFFSET($D26,1,$C26,ROW($A$39)-ROW($A26)),0)</f>
        <v>3</v>
      </c>
      <c r="K26" s="156">
        <f ca="1">ROUND(INDEX(PO!T$12:T$54,MATCH($A26,PO!$V$12:$V$54,0)),2)+10^-12</f>
        <v>9.9999999999999998E-13</v>
      </c>
      <c r="L26" s="345"/>
      <c r="M26" s="341"/>
      <c r="N26" s="343"/>
      <c r="O26" s="171" t="s">
        <v>20</v>
      </c>
      <c r="P26" s="166">
        <f t="shared" ref="P26:AE26" ca="1" si="86">IF($B26,ROUND(P25*$N24,2),ROUND(SUMIF(OFFSET($B26,1,0,$D26),TRUE,OFFSET(P26,1,0,$D26))/SUMIF(OFFSET($B26,1,0,$D26),TRUE,OFFSET($K26,1,0,$D26))*$N24,2))</f>
        <v>0</v>
      </c>
      <c r="Q26" s="144">
        <f t="shared" ca="1" si="86"/>
        <v>0</v>
      </c>
      <c r="R26" s="144">
        <f t="shared" ca="1" si="86"/>
        <v>0</v>
      </c>
      <c r="S26" s="144">
        <f t="shared" ca="1" si="86"/>
        <v>0</v>
      </c>
      <c r="T26" s="144">
        <f t="shared" ca="1" si="86"/>
        <v>0</v>
      </c>
      <c r="U26" s="144">
        <f t="shared" ca="1" si="86"/>
        <v>0</v>
      </c>
      <c r="V26" s="144">
        <f t="shared" ca="1" si="86"/>
        <v>0</v>
      </c>
      <c r="W26" s="174">
        <f t="shared" ca="1" si="86"/>
        <v>0</v>
      </c>
      <c r="X26" s="166">
        <f t="shared" ca="1" si="86"/>
        <v>0</v>
      </c>
      <c r="Y26" s="144">
        <f t="shared" ca="1" si="86"/>
        <v>0</v>
      </c>
      <c r="Z26" s="144">
        <f t="shared" ca="1" si="86"/>
        <v>0</v>
      </c>
      <c r="AA26" s="144">
        <f t="shared" ca="1" si="86"/>
        <v>0</v>
      </c>
      <c r="AB26" s="144">
        <f t="shared" ca="1" si="86"/>
        <v>0</v>
      </c>
      <c r="AC26" s="144">
        <f t="shared" ca="1" si="86"/>
        <v>0</v>
      </c>
      <c r="AD26" s="144">
        <f t="shared" ca="1" si="86"/>
        <v>0</v>
      </c>
      <c r="AE26" s="174">
        <f t="shared" ca="1" si="86"/>
        <v>0</v>
      </c>
      <c r="AF26" s="163"/>
      <c r="AK26" s="144">
        <f t="shared" ref="AK26" ca="1" si="87">IF($B26,ROUND(AK25*$N24,2),ROUND(SUMIF(OFFSET($B26,1,0,$D26),TRUE,OFFSET(AK26,1,0,$D26))/SUMIF(OFFSET($B26,1,0,$D26),TRUE,OFFSET($K26,1,0,$D26))*$N24,2))</f>
        <v>0</v>
      </c>
    </row>
    <row r="27" spans="1:37" customFormat="1" ht="14.25" customHeight="1" x14ac:dyDescent="0.2">
      <c r="A27" s="1"/>
      <c r="B27" s="1"/>
      <c r="C27" s="1"/>
      <c r="D27" s="1"/>
      <c r="E27" s="1"/>
      <c r="F27" s="1"/>
      <c r="G27" s="1"/>
      <c r="H27" s="1"/>
      <c r="I27" s="1"/>
      <c r="J27" s="1"/>
      <c r="K27" s="1"/>
      <c r="L27" s="344" t="str">
        <f ca="1">INDEX(PO!K$12:K$54,MATCH($A29,PO!$V$12:$V$54,0))</f>
        <v>1.3.</v>
      </c>
      <c r="M27" s="340" t="str">
        <f ca="1">INDEX(PO!N$12:N$54,MATCH($A29,PO!$V$12:$V$54,0))</f>
        <v>ENTREGUE NO DISTRITO DE VALE DOS VINHEDOS</v>
      </c>
      <c r="N27" s="342">
        <f t="shared" ref="N27" ca="1" si="88">IF(ROUND(K29,2)=0,K29,ROUND(K29,2))</f>
        <v>9.9999999999999998E-13</v>
      </c>
      <c r="O27" s="187" t="s">
        <v>143</v>
      </c>
      <c r="P27" s="192">
        <f t="shared" ref="P27:AA27" si="89">P24</f>
        <v>8.3299999999999999E-2</v>
      </c>
      <c r="Q27" s="193">
        <f t="shared" si="89"/>
        <v>8.3299999999999999E-2</v>
      </c>
      <c r="R27" s="193">
        <f t="shared" si="89"/>
        <v>8.3299999999999999E-2</v>
      </c>
      <c r="S27" s="193">
        <f t="shared" si="89"/>
        <v>8.3299999999999999E-2</v>
      </c>
      <c r="T27" s="193">
        <f t="shared" si="89"/>
        <v>8.3299999999999999E-2</v>
      </c>
      <c r="U27" s="193">
        <f t="shared" si="89"/>
        <v>8.3299999999999999E-2</v>
      </c>
      <c r="V27" s="193">
        <f t="shared" si="89"/>
        <v>8.3299999999999999E-2</v>
      </c>
      <c r="W27" s="194">
        <f t="shared" si="89"/>
        <v>8.3299999999999999E-2</v>
      </c>
      <c r="X27" s="192">
        <f t="shared" si="89"/>
        <v>8.3299999999999999E-2</v>
      </c>
      <c r="Y27" s="193">
        <f t="shared" si="89"/>
        <v>8.3299999999999999E-2</v>
      </c>
      <c r="Z27" s="193">
        <f t="shared" si="89"/>
        <v>8.3299999999999999E-2</v>
      </c>
      <c r="AA27" s="193">
        <f t="shared" si="89"/>
        <v>8.3699999999999997E-2</v>
      </c>
      <c r="AB27" s="193">
        <f t="shared" ref="AB27" ca="1" si="90">IF($B29,0,AB28-IF(ISNUMBER(AA28),AA28,0))</f>
        <v>0</v>
      </c>
      <c r="AC27" s="193">
        <f t="shared" ref="AC27" ca="1" si="91">IF($B29,0,AC28-IF(ISNUMBER(AB28),AB28,0))</f>
        <v>0</v>
      </c>
      <c r="AD27" s="193">
        <f t="shared" ref="AD27" ca="1" si="92">IF($B29,0,AD28-IF(ISNUMBER(AC28),AC28,0))</f>
        <v>0</v>
      </c>
      <c r="AE27" s="194">
        <f t="shared" ref="AE27" ca="1" si="93">IF($B29,0,AE28-IF(ISNUMBER(AD28),AD28,0))</f>
        <v>0</v>
      </c>
      <c r="AF27" s="163"/>
      <c r="AK27" s="188">
        <f t="shared" ref="AK27" ca="1" si="94">IF($B29,0,AK28-IF(ISNUMBER(AJ28),AJ28,0))</f>
        <v>0</v>
      </c>
    </row>
    <row r="28" spans="1:37" customFormat="1" ht="14.25" x14ac:dyDescent="0.2">
      <c r="A28" s="11"/>
      <c r="B28" s="11"/>
      <c r="C28" s="11"/>
      <c r="D28" s="11"/>
      <c r="E28" s="11"/>
      <c r="F28" s="11"/>
      <c r="G28" s="11"/>
      <c r="H28" s="11"/>
      <c r="I28" s="11"/>
      <c r="J28" s="11"/>
      <c r="K28" s="11"/>
      <c r="L28" s="345"/>
      <c r="M28" s="341"/>
      <c r="N28" s="343"/>
      <c r="O28" s="145" t="s">
        <v>145</v>
      </c>
      <c r="P28" s="165">
        <f t="shared" ref="P28" ca="1" si="95">MIN(IF($B29,P27+IF(ISNUMBER(O28),O28,0),P29/$N27),1)</f>
        <v>8.3299999999999999E-2</v>
      </c>
      <c r="Q28" s="143">
        <f t="shared" ref="Q28" ca="1" si="96">MIN(IF($B29,Q27+IF(ISNUMBER(P28),P28,0),Q29/$N27),1)</f>
        <v>0.1666</v>
      </c>
      <c r="R28" s="143">
        <f t="shared" ref="R28" ca="1" si="97">MIN(IF($B29,R27+IF(ISNUMBER(Q28),Q28,0),R29/$N27),1)</f>
        <v>0.24990000000000001</v>
      </c>
      <c r="S28" s="143">
        <f t="shared" ref="S28" ca="1" si="98">MIN(IF($B29,S27+IF(ISNUMBER(R28),R28,0),S29/$N27),1)</f>
        <v>0.3332</v>
      </c>
      <c r="T28" s="143">
        <f t="shared" ref="T28" ca="1" si="99">MIN(IF($B29,T27+IF(ISNUMBER(S28),S28,0),T29/$N27),1)</f>
        <v>0.41649999999999998</v>
      </c>
      <c r="U28" s="143">
        <f t="shared" ref="U28" ca="1" si="100">MIN(IF($B29,U27+IF(ISNUMBER(T28),T28,0),U29/$N27),1)</f>
        <v>0.49979999999999997</v>
      </c>
      <c r="V28" s="143">
        <f t="shared" ref="V28" ca="1" si="101">MIN(IF($B29,V27+IF(ISNUMBER(U28),U28,0),V29/$N27),1)</f>
        <v>0.58309999999999995</v>
      </c>
      <c r="W28" s="143">
        <f t="shared" ref="W28:X28" ca="1" si="102">MIN(IF($B29,W27+IF(ISNUMBER(V28),V28,0),W29/$N27),1)</f>
        <v>0.66639999999999999</v>
      </c>
      <c r="X28" s="165">
        <f t="shared" ca="1" si="102"/>
        <v>0.74970000000000003</v>
      </c>
      <c r="Y28" s="143">
        <f t="shared" ref="Y28" ca="1" si="103">MIN(IF($B29,Y27+IF(ISNUMBER(X28),X28,0),Y29/$N27),1)</f>
        <v>0.83300000000000007</v>
      </c>
      <c r="Z28" s="143">
        <f t="shared" ref="Z28" ca="1" si="104">MIN(IF($B29,Z27+IF(ISNUMBER(Y28),Y28,0),Z29/$N27),1)</f>
        <v>0.91630000000000011</v>
      </c>
      <c r="AA28" s="143">
        <f t="shared" ref="AA28" ca="1" si="105">MIN(IF($B29,AA27+IF(ISNUMBER(Z28),Z28,0),AA29/$N27),1)</f>
        <v>1</v>
      </c>
      <c r="AB28" s="143">
        <f t="shared" ref="AB28" ca="1" si="106">MIN(IF($B29,AB27+IF(ISNUMBER(AA28),AA28,0),AB29/$N27),1)</f>
        <v>1</v>
      </c>
      <c r="AC28" s="143">
        <f t="shared" ref="AC28" ca="1" si="107">MIN(IF($B29,AC27+IF(ISNUMBER(AB28),AB28,0),AC29/$N27),1)</f>
        <v>1</v>
      </c>
      <c r="AD28" s="143">
        <f t="shared" ref="AD28" ca="1" si="108">MIN(IF($B29,AD27+IF(ISNUMBER(AC28),AC28,0),AD29/$N27),1)</f>
        <v>1</v>
      </c>
      <c r="AE28" s="143">
        <f t="shared" ref="AE28" ca="1" si="109">MIN(IF($B29,AE27+IF(ISNUMBER(AD28),AD28,0),AE29/$N27),1)</f>
        <v>1</v>
      </c>
      <c r="AF28" s="163"/>
      <c r="AK28" s="143">
        <f t="shared" ref="AK28" ca="1" si="110">MIN(IF($B29,AK27+IF(ISNUMBER(AJ28),AJ28,0),AK29/$N27),1)</f>
        <v>0</v>
      </c>
    </row>
    <row r="29" spans="1:37" customFormat="1" ht="14.25" x14ac:dyDescent="0.2">
      <c r="A29" s="11">
        <f ca="1">OFFSET(A29,-CFF.NumLinha,0)+1</f>
        <v>4</v>
      </c>
      <c r="B29" s="11" t="b">
        <f ca="1">$C29&gt;=OFFSET($C29,CFF.NumLinha,0)</f>
        <v>1</v>
      </c>
      <c r="C29" s="11">
        <f ca="1">INDEX(PO!A$12:A$54,MATCH($A29,PO!$V$12:$V$54,0))</f>
        <v>2</v>
      </c>
      <c r="D29" s="11">
        <f t="shared" ref="D29" ca="1" si="111">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t="shared" ref="I29" ca="1" si="112">MATCH(0,OFFSET($D29,1,$C29,ROW($A$39)-ROW($A29)),0)</f>
        <v>10</v>
      </c>
      <c r="J29" s="11">
        <f t="shared" ref="J29" ca="1" si="113">MATCH(OFFSET($D29,0,$C29)+1,OFFSET($D29,1,$C29,ROW($A$39)-ROW($A29)),0)</f>
        <v>3</v>
      </c>
      <c r="K29" s="156">
        <f ca="1">ROUND(INDEX(PO!T$12:T$54,MATCH($A29,PO!$V$12:$V$54,0)),2)+10^-12</f>
        <v>9.9999999999999998E-13</v>
      </c>
      <c r="L29" s="345"/>
      <c r="M29" s="341"/>
      <c r="N29" s="343"/>
      <c r="O29" s="171" t="s">
        <v>20</v>
      </c>
      <c r="P29" s="166">
        <f t="shared" ref="P29:AE29" ca="1" si="114">IF($B29,ROUND(P28*$N27,2),ROUND(SUMIF(OFFSET($B29,1,0,$D29),TRUE,OFFSET(P29,1,0,$D29))/SUMIF(OFFSET($B29,1,0,$D29),TRUE,OFFSET($K29,1,0,$D29))*$N27,2))</f>
        <v>0</v>
      </c>
      <c r="Q29" s="144">
        <f t="shared" ca="1" si="114"/>
        <v>0</v>
      </c>
      <c r="R29" s="144">
        <f t="shared" ca="1" si="114"/>
        <v>0</v>
      </c>
      <c r="S29" s="144">
        <f t="shared" ca="1" si="114"/>
        <v>0</v>
      </c>
      <c r="T29" s="144">
        <f t="shared" ca="1" si="114"/>
        <v>0</v>
      </c>
      <c r="U29" s="144">
        <f t="shared" ca="1" si="114"/>
        <v>0</v>
      </c>
      <c r="V29" s="144">
        <f t="shared" ca="1" si="114"/>
        <v>0</v>
      </c>
      <c r="W29" s="174">
        <f t="shared" ca="1" si="114"/>
        <v>0</v>
      </c>
      <c r="X29" s="166">
        <f t="shared" ca="1" si="114"/>
        <v>0</v>
      </c>
      <c r="Y29" s="144">
        <f t="shared" ca="1" si="114"/>
        <v>0</v>
      </c>
      <c r="Z29" s="144">
        <f t="shared" ca="1" si="114"/>
        <v>0</v>
      </c>
      <c r="AA29" s="144">
        <f t="shared" ca="1" si="114"/>
        <v>0</v>
      </c>
      <c r="AB29" s="144">
        <f t="shared" ca="1" si="114"/>
        <v>0</v>
      </c>
      <c r="AC29" s="144">
        <f t="shared" ca="1" si="114"/>
        <v>0</v>
      </c>
      <c r="AD29" s="144">
        <f t="shared" ca="1" si="114"/>
        <v>0</v>
      </c>
      <c r="AE29" s="174">
        <f t="shared" ca="1" si="114"/>
        <v>0</v>
      </c>
      <c r="AF29" s="163"/>
      <c r="AK29" s="144">
        <f t="shared" ref="AK29" ca="1" si="115">IF($B29,ROUND(AK28*$N27,2),ROUND(SUMIF(OFFSET($B29,1,0,$D29),TRUE,OFFSET(AK29,1,0,$D29))/SUMIF(OFFSET($B29,1,0,$D29),TRUE,OFFSET($K29,1,0,$D29))*$N27,2))</f>
        <v>0</v>
      </c>
    </row>
    <row r="30" spans="1:37" customFormat="1" ht="14.25" customHeight="1" x14ac:dyDescent="0.2">
      <c r="A30" s="1"/>
      <c r="B30" s="1"/>
      <c r="C30" s="1"/>
      <c r="D30" s="1"/>
      <c r="E30" s="1"/>
      <c r="F30" s="1"/>
      <c r="G30" s="1"/>
      <c r="H30" s="1"/>
      <c r="I30" s="1"/>
      <c r="J30" s="1"/>
      <c r="K30" s="1"/>
      <c r="L30" s="344" t="str">
        <f ca="1">INDEX(PO!K$12:K$54,MATCH($A32,PO!$V$12:$V$54,0))</f>
        <v>1.4.</v>
      </c>
      <c r="M30" s="340" t="str">
        <f ca="1">INDEX(PO!N$12:N$54,MATCH($A32,PO!$V$12:$V$54,0))</f>
        <v>ENTREGUE NO DISTRITO DE SÃO PEDRO</v>
      </c>
      <c r="N30" s="342">
        <f t="shared" ref="N30" ca="1" si="116">IF(ROUND(K32,2)=0,K32,ROUND(K32,2))</f>
        <v>9.9999999999999998E-13</v>
      </c>
      <c r="O30" s="187" t="s">
        <v>143</v>
      </c>
      <c r="P30" s="192">
        <f t="shared" ref="P30:AA30" si="117">P27</f>
        <v>8.3299999999999999E-2</v>
      </c>
      <c r="Q30" s="193">
        <f t="shared" si="117"/>
        <v>8.3299999999999999E-2</v>
      </c>
      <c r="R30" s="193">
        <f t="shared" si="117"/>
        <v>8.3299999999999999E-2</v>
      </c>
      <c r="S30" s="193">
        <f t="shared" si="117"/>
        <v>8.3299999999999999E-2</v>
      </c>
      <c r="T30" s="193">
        <f t="shared" si="117"/>
        <v>8.3299999999999999E-2</v>
      </c>
      <c r="U30" s="193">
        <f t="shared" si="117"/>
        <v>8.3299999999999999E-2</v>
      </c>
      <c r="V30" s="193">
        <f t="shared" si="117"/>
        <v>8.3299999999999999E-2</v>
      </c>
      <c r="W30" s="194">
        <f t="shared" si="117"/>
        <v>8.3299999999999999E-2</v>
      </c>
      <c r="X30" s="192">
        <f t="shared" si="117"/>
        <v>8.3299999999999999E-2</v>
      </c>
      <c r="Y30" s="193">
        <f t="shared" si="117"/>
        <v>8.3299999999999999E-2</v>
      </c>
      <c r="Z30" s="193">
        <f t="shared" si="117"/>
        <v>8.3299999999999999E-2</v>
      </c>
      <c r="AA30" s="193">
        <f t="shared" si="117"/>
        <v>8.3699999999999997E-2</v>
      </c>
      <c r="AB30" s="193">
        <f t="shared" ref="AB30" ca="1" si="118">IF($B32,0,AB31-IF(ISNUMBER(AA31),AA31,0))</f>
        <v>0</v>
      </c>
      <c r="AC30" s="193">
        <f t="shared" ref="AC30" ca="1" si="119">IF($B32,0,AC31-IF(ISNUMBER(AB31),AB31,0))</f>
        <v>0</v>
      </c>
      <c r="AD30" s="193">
        <f t="shared" ref="AD30" ca="1" si="120">IF($B32,0,AD31-IF(ISNUMBER(AC31),AC31,0))</f>
        <v>0</v>
      </c>
      <c r="AE30" s="194">
        <f t="shared" ref="AE30" ca="1" si="121">IF($B32,0,AE31-IF(ISNUMBER(AD31),AD31,0))</f>
        <v>0</v>
      </c>
      <c r="AF30" s="163"/>
      <c r="AK30" s="188">
        <f t="shared" ref="AK30" ca="1" si="122">IF($B32,0,AK31-IF(ISNUMBER(AJ31),AJ31,0))</f>
        <v>0</v>
      </c>
    </row>
    <row r="31" spans="1:37" customFormat="1" ht="14.25" x14ac:dyDescent="0.2">
      <c r="A31" s="11"/>
      <c r="B31" s="11"/>
      <c r="C31" s="11"/>
      <c r="D31" s="11"/>
      <c r="E31" s="11"/>
      <c r="F31" s="11"/>
      <c r="G31" s="11"/>
      <c r="H31" s="11"/>
      <c r="I31" s="11"/>
      <c r="J31" s="11"/>
      <c r="K31" s="11"/>
      <c r="L31" s="345"/>
      <c r="M31" s="341"/>
      <c r="N31" s="343"/>
      <c r="O31" s="145" t="s">
        <v>145</v>
      </c>
      <c r="P31" s="165">
        <f t="shared" ref="P31" ca="1" si="123">MIN(IF($B32,P30+IF(ISNUMBER(O31),O31,0),P32/$N30),1)</f>
        <v>8.3299999999999999E-2</v>
      </c>
      <c r="Q31" s="143">
        <f t="shared" ref="Q31" ca="1" si="124">MIN(IF($B32,Q30+IF(ISNUMBER(P31),P31,0),Q32/$N30),1)</f>
        <v>0.1666</v>
      </c>
      <c r="R31" s="143">
        <f t="shared" ref="R31" ca="1" si="125">MIN(IF($B32,R30+IF(ISNUMBER(Q31),Q31,0),R32/$N30),1)</f>
        <v>0.24990000000000001</v>
      </c>
      <c r="S31" s="143">
        <f t="shared" ref="S31" ca="1" si="126">MIN(IF($B32,S30+IF(ISNUMBER(R31),R31,0),S32/$N30),1)</f>
        <v>0.3332</v>
      </c>
      <c r="T31" s="143">
        <f t="shared" ref="T31" ca="1" si="127">MIN(IF($B32,T30+IF(ISNUMBER(S31),S31,0),T32/$N30),1)</f>
        <v>0.41649999999999998</v>
      </c>
      <c r="U31" s="143">
        <f t="shared" ref="U31" ca="1" si="128">MIN(IF($B32,U30+IF(ISNUMBER(T31),T31,0),U32/$N30),1)</f>
        <v>0.49979999999999997</v>
      </c>
      <c r="V31" s="143">
        <f t="shared" ref="V31" ca="1" si="129">MIN(IF($B32,V30+IF(ISNUMBER(U31),U31,0),V32/$N30),1)</f>
        <v>0.58309999999999995</v>
      </c>
      <c r="W31" s="143">
        <f t="shared" ref="W31:X31" ca="1" si="130">MIN(IF($B32,W30+IF(ISNUMBER(V31),V31,0),W32/$N30),1)</f>
        <v>0.66639999999999999</v>
      </c>
      <c r="X31" s="165">
        <f t="shared" ca="1" si="130"/>
        <v>0.74970000000000003</v>
      </c>
      <c r="Y31" s="143">
        <f t="shared" ref="Y31" ca="1" si="131">MIN(IF($B32,Y30+IF(ISNUMBER(X31),X31,0),Y32/$N30),1)</f>
        <v>0.83300000000000007</v>
      </c>
      <c r="Z31" s="143">
        <f t="shared" ref="Z31" ca="1" si="132">MIN(IF($B32,Z30+IF(ISNUMBER(Y31),Y31,0),Z32/$N30),1)</f>
        <v>0.91630000000000011</v>
      </c>
      <c r="AA31" s="143">
        <f t="shared" ref="AA31" ca="1" si="133">MIN(IF($B32,AA30+IF(ISNUMBER(Z31),Z31,0),AA32/$N30),1)</f>
        <v>1</v>
      </c>
      <c r="AB31" s="143">
        <f t="shared" ref="AB31" ca="1" si="134">MIN(IF($B32,AB30+IF(ISNUMBER(AA31),AA31,0),AB32/$N30),1)</f>
        <v>1</v>
      </c>
      <c r="AC31" s="143">
        <f t="shared" ref="AC31" ca="1" si="135">MIN(IF($B32,AC30+IF(ISNUMBER(AB31),AB31,0),AC32/$N30),1)</f>
        <v>1</v>
      </c>
      <c r="AD31" s="143">
        <f t="shared" ref="AD31" ca="1" si="136">MIN(IF($B32,AD30+IF(ISNUMBER(AC31),AC31,0),AD32/$N30),1)</f>
        <v>1</v>
      </c>
      <c r="AE31" s="143">
        <f t="shared" ref="AE31" ca="1" si="137">MIN(IF($B32,AE30+IF(ISNUMBER(AD31),AD31,0),AE32/$N30),1)</f>
        <v>1</v>
      </c>
      <c r="AF31" s="163"/>
      <c r="AK31" s="143">
        <f t="shared" ref="AK31" ca="1" si="138">MIN(IF($B32,AK30+IF(ISNUMBER(AJ31),AJ31,0),AK32/$N30),1)</f>
        <v>0</v>
      </c>
    </row>
    <row r="32" spans="1:37" customFormat="1" ht="14.25" x14ac:dyDescent="0.2">
      <c r="A32" s="11">
        <f ca="1">OFFSET(A32,-CFF.NumLinha,0)+1</f>
        <v>5</v>
      </c>
      <c r="B32" s="11" t="b">
        <f ca="1">$C32&gt;=OFFSET($C32,CFF.NumLinha,0)</f>
        <v>1</v>
      </c>
      <c r="C32" s="11">
        <f ca="1">INDEX(PO!A$12:A$54,MATCH($A32,PO!$V$12:$V$54,0))</f>
        <v>2</v>
      </c>
      <c r="D32" s="11">
        <f t="shared" ref="D32" ca="1" si="139">IF(ISERROR(J32),I32,SMALL(I32:J32,1))-1</f>
        <v>2</v>
      </c>
      <c r="E32" s="11">
        <f ca="1">IF($C32=1,OFFSET(E32,-CFF.NumLinha,0)+1,OFFSET(E32,-CFF.NumLinha,0))</f>
        <v>1</v>
      </c>
      <c r="F32" s="11">
        <f ca="1">IF($C32=1,0,IF($C32=2,OFFSET(F32,-CFF.NumLinha,0)+1,OFFSET(F32,-CFF.NumLinha,0)))</f>
        <v>4</v>
      </c>
      <c r="G32" s="11">
        <f ca="1">IF(AND($C32&lt;=2,$C32&lt;&gt;0),0,IF($C32=3,OFFSET(G32,-CFF.NumLinha,0)+1,OFFSET(G32,-CFF.NumLinha,0)))</f>
        <v>0</v>
      </c>
      <c r="H32" s="11">
        <f ca="1">IF(AND($C32&lt;=3,$C32&lt;&gt;0),0,IF($C32=4,OFFSET(H32,-CFF.NumLinha,0)+1,OFFSET(H32,-CFF.NumLinha,0)))</f>
        <v>0</v>
      </c>
      <c r="I32" s="11">
        <f t="shared" ref="I32" ca="1" si="140">MATCH(0,OFFSET($D32,1,$C32,ROW($A$39)-ROW($A32)),0)</f>
        <v>7</v>
      </c>
      <c r="J32" s="11">
        <f t="shared" ref="J32" ca="1" si="141">MATCH(OFFSET($D32,0,$C32)+1,OFFSET($D32,1,$C32,ROW($A$39)-ROW($A32)),0)</f>
        <v>3</v>
      </c>
      <c r="K32" s="156">
        <f ca="1">ROUND(INDEX(PO!T$12:T$54,MATCH($A32,PO!$V$12:$V$54,0)),2)+10^-12</f>
        <v>9.9999999999999998E-13</v>
      </c>
      <c r="L32" s="345"/>
      <c r="M32" s="341"/>
      <c r="N32" s="343"/>
      <c r="O32" s="171" t="s">
        <v>20</v>
      </c>
      <c r="P32" s="166">
        <f t="shared" ref="P32:AE32" ca="1" si="142">IF($B32,ROUND(P31*$N30,2),ROUND(SUMIF(OFFSET($B32,1,0,$D32),TRUE,OFFSET(P32,1,0,$D32))/SUMIF(OFFSET($B32,1,0,$D32),TRUE,OFFSET($K32,1,0,$D32))*$N30,2))</f>
        <v>0</v>
      </c>
      <c r="Q32" s="144">
        <f t="shared" ca="1" si="142"/>
        <v>0</v>
      </c>
      <c r="R32" s="144">
        <f t="shared" ca="1" si="142"/>
        <v>0</v>
      </c>
      <c r="S32" s="144">
        <f t="shared" ca="1" si="142"/>
        <v>0</v>
      </c>
      <c r="T32" s="144">
        <f t="shared" ca="1" si="142"/>
        <v>0</v>
      </c>
      <c r="U32" s="144">
        <f t="shared" ca="1" si="142"/>
        <v>0</v>
      </c>
      <c r="V32" s="144">
        <f t="shared" ca="1" si="142"/>
        <v>0</v>
      </c>
      <c r="W32" s="174">
        <f t="shared" ca="1" si="142"/>
        <v>0</v>
      </c>
      <c r="X32" s="166">
        <f t="shared" ca="1" si="142"/>
        <v>0</v>
      </c>
      <c r="Y32" s="144">
        <f t="shared" ca="1" si="142"/>
        <v>0</v>
      </c>
      <c r="Z32" s="144">
        <f t="shared" ca="1" si="142"/>
        <v>0</v>
      </c>
      <c r="AA32" s="144">
        <f t="shared" ca="1" si="142"/>
        <v>0</v>
      </c>
      <c r="AB32" s="144">
        <f t="shared" ca="1" si="142"/>
        <v>0</v>
      </c>
      <c r="AC32" s="144">
        <f t="shared" ca="1" si="142"/>
        <v>0</v>
      </c>
      <c r="AD32" s="144">
        <f t="shared" ca="1" si="142"/>
        <v>0</v>
      </c>
      <c r="AE32" s="174">
        <f t="shared" ca="1" si="142"/>
        <v>0</v>
      </c>
      <c r="AF32" s="163"/>
      <c r="AK32" s="144">
        <f t="shared" ref="AK32" ca="1" si="143">IF($B32,ROUND(AK31*$N30,2),ROUND(SUMIF(OFFSET($B32,1,0,$D32),TRUE,OFFSET(AK32,1,0,$D32))/SUMIF(OFFSET($B32,1,0,$D32),TRUE,OFFSET($K32,1,0,$D32))*$N30,2))</f>
        <v>0</v>
      </c>
    </row>
    <row r="33" spans="1:37" customFormat="1" ht="14.25" customHeight="1" x14ac:dyDescent="0.2">
      <c r="A33" s="1"/>
      <c r="B33" s="1"/>
      <c r="C33" s="1"/>
      <c r="D33" s="1"/>
      <c r="E33" s="1"/>
      <c r="F33" s="1"/>
      <c r="G33" s="1"/>
      <c r="H33" s="1"/>
      <c r="I33" s="1"/>
      <c r="J33" s="1"/>
      <c r="K33" s="1"/>
      <c r="L33" s="344" t="str">
        <f ca="1">INDEX(PO!K$12:K$54,MATCH($A35,PO!$V$12:$V$54,0))</f>
        <v>1.5.</v>
      </c>
      <c r="M33" s="340" t="str">
        <f ca="1">INDEX(PO!N$12:N$54,MATCH($A35,PO!$V$12:$V$54,0))</f>
        <v>ENTREGUE NO DISTRITO DE TUIUTY</v>
      </c>
      <c r="N33" s="342">
        <f t="shared" ref="N33" ca="1" si="144">IF(ROUND(K35,2)=0,K35,ROUND(K35,2))</f>
        <v>9.9999999999999998E-13</v>
      </c>
      <c r="O33" s="187" t="s">
        <v>143</v>
      </c>
      <c r="P33" s="192">
        <f t="shared" ref="P33:AA33" si="145">P30</f>
        <v>8.3299999999999999E-2</v>
      </c>
      <c r="Q33" s="193">
        <f t="shared" si="145"/>
        <v>8.3299999999999999E-2</v>
      </c>
      <c r="R33" s="193">
        <f t="shared" si="145"/>
        <v>8.3299999999999999E-2</v>
      </c>
      <c r="S33" s="193">
        <f t="shared" si="145"/>
        <v>8.3299999999999999E-2</v>
      </c>
      <c r="T33" s="193">
        <f t="shared" si="145"/>
        <v>8.3299999999999999E-2</v>
      </c>
      <c r="U33" s="193">
        <f t="shared" si="145"/>
        <v>8.3299999999999999E-2</v>
      </c>
      <c r="V33" s="193">
        <f t="shared" si="145"/>
        <v>8.3299999999999999E-2</v>
      </c>
      <c r="W33" s="194">
        <f t="shared" si="145"/>
        <v>8.3299999999999999E-2</v>
      </c>
      <c r="X33" s="192">
        <f t="shared" si="145"/>
        <v>8.3299999999999999E-2</v>
      </c>
      <c r="Y33" s="193">
        <f t="shared" si="145"/>
        <v>8.3299999999999999E-2</v>
      </c>
      <c r="Z33" s="193">
        <f t="shared" si="145"/>
        <v>8.3299999999999999E-2</v>
      </c>
      <c r="AA33" s="193">
        <f t="shared" si="145"/>
        <v>8.3699999999999997E-2</v>
      </c>
      <c r="AB33" s="193">
        <f t="shared" ref="AB33" ca="1" si="146">IF($B35,0,AB34-IF(ISNUMBER(AA34),AA34,0))</f>
        <v>0</v>
      </c>
      <c r="AC33" s="193">
        <f t="shared" ref="AC33" ca="1" si="147">IF($B35,0,AC34-IF(ISNUMBER(AB34),AB34,0))</f>
        <v>0</v>
      </c>
      <c r="AD33" s="193">
        <f t="shared" ref="AD33" ca="1" si="148">IF($B35,0,AD34-IF(ISNUMBER(AC34),AC34,0))</f>
        <v>0</v>
      </c>
      <c r="AE33" s="194">
        <f t="shared" ref="AE33" ca="1" si="149">IF($B35,0,AE34-IF(ISNUMBER(AD34),AD34,0))</f>
        <v>0</v>
      </c>
      <c r="AF33" s="163"/>
      <c r="AK33" s="188">
        <f t="shared" ref="AK33" ca="1" si="150">IF($B35,0,AK34-IF(ISNUMBER(AJ34),AJ34,0))</f>
        <v>0</v>
      </c>
    </row>
    <row r="34" spans="1:37" customFormat="1" ht="14.25" x14ac:dyDescent="0.2">
      <c r="A34" s="11"/>
      <c r="B34" s="11"/>
      <c r="C34" s="11"/>
      <c r="D34" s="11"/>
      <c r="E34" s="11"/>
      <c r="F34" s="11"/>
      <c r="G34" s="11"/>
      <c r="H34" s="11"/>
      <c r="I34" s="11"/>
      <c r="J34" s="11"/>
      <c r="K34" s="11"/>
      <c r="L34" s="345"/>
      <c r="M34" s="341"/>
      <c r="N34" s="343"/>
      <c r="O34" s="145" t="s">
        <v>145</v>
      </c>
      <c r="P34" s="165">
        <f t="shared" ref="P34" ca="1" si="151">MIN(IF($B35,P33+IF(ISNUMBER(O34),O34,0),P35/$N33),1)</f>
        <v>8.3299999999999999E-2</v>
      </c>
      <c r="Q34" s="143">
        <f t="shared" ref="Q34" ca="1" si="152">MIN(IF($B35,Q33+IF(ISNUMBER(P34),P34,0),Q35/$N33),1)</f>
        <v>0.1666</v>
      </c>
      <c r="R34" s="143">
        <f t="shared" ref="R34" ca="1" si="153">MIN(IF($B35,R33+IF(ISNUMBER(Q34),Q34,0),R35/$N33),1)</f>
        <v>0.24990000000000001</v>
      </c>
      <c r="S34" s="143">
        <f t="shared" ref="S34" ca="1" si="154">MIN(IF($B35,S33+IF(ISNUMBER(R34),R34,0),S35/$N33),1)</f>
        <v>0.3332</v>
      </c>
      <c r="T34" s="143">
        <f t="shared" ref="T34" ca="1" si="155">MIN(IF($B35,T33+IF(ISNUMBER(S34),S34,0),T35/$N33),1)</f>
        <v>0.41649999999999998</v>
      </c>
      <c r="U34" s="143">
        <f t="shared" ref="U34" ca="1" si="156">MIN(IF($B35,U33+IF(ISNUMBER(T34),T34,0),U35/$N33),1)</f>
        <v>0.49979999999999997</v>
      </c>
      <c r="V34" s="143">
        <f t="shared" ref="V34" ca="1" si="157">MIN(IF($B35,V33+IF(ISNUMBER(U34),U34,0),V35/$N33),1)</f>
        <v>0.58309999999999995</v>
      </c>
      <c r="W34" s="143">
        <f t="shared" ref="W34:X34" ca="1" si="158">MIN(IF($B35,W33+IF(ISNUMBER(V34),V34,0),W35/$N33),1)</f>
        <v>0.66639999999999999</v>
      </c>
      <c r="X34" s="165">
        <f t="shared" ca="1" si="158"/>
        <v>0.74970000000000003</v>
      </c>
      <c r="Y34" s="143">
        <f t="shared" ref="Y34" ca="1" si="159">MIN(IF($B35,Y33+IF(ISNUMBER(X34),X34,0),Y35/$N33),1)</f>
        <v>0.83300000000000007</v>
      </c>
      <c r="Z34" s="143">
        <f t="shared" ref="Z34" ca="1" si="160">MIN(IF($B35,Z33+IF(ISNUMBER(Y34),Y34,0),Z35/$N33),1)</f>
        <v>0.91630000000000011</v>
      </c>
      <c r="AA34" s="143">
        <f t="shared" ref="AA34" ca="1" si="161">MIN(IF($B35,AA33+IF(ISNUMBER(Z34),Z34,0),AA35/$N33),1)</f>
        <v>1</v>
      </c>
      <c r="AB34" s="143">
        <f t="shared" ref="AB34" ca="1" si="162">MIN(IF($B35,AB33+IF(ISNUMBER(AA34),AA34,0),AB35/$N33),1)</f>
        <v>1</v>
      </c>
      <c r="AC34" s="143">
        <f t="shared" ref="AC34" ca="1" si="163">MIN(IF($B35,AC33+IF(ISNUMBER(AB34),AB34,0),AC35/$N33),1)</f>
        <v>1</v>
      </c>
      <c r="AD34" s="143">
        <f t="shared" ref="AD34" ca="1" si="164">MIN(IF($B35,AD33+IF(ISNUMBER(AC34),AC34,0),AD35/$N33),1)</f>
        <v>1</v>
      </c>
      <c r="AE34" s="143">
        <f t="shared" ref="AE34" ca="1" si="165">MIN(IF($B35,AE33+IF(ISNUMBER(AD34),AD34,0),AE35/$N33),1)</f>
        <v>1</v>
      </c>
      <c r="AF34" s="163"/>
      <c r="AK34" s="143">
        <f t="shared" ref="AK34" ca="1" si="166">MIN(IF($B35,AK33+IF(ISNUMBER(AJ34),AJ34,0),AK35/$N33),1)</f>
        <v>0</v>
      </c>
    </row>
    <row r="35" spans="1:37" customFormat="1" ht="14.25" x14ac:dyDescent="0.2">
      <c r="A35" s="11">
        <f ca="1">OFFSET(A35,-CFF.NumLinha,0)+1</f>
        <v>6</v>
      </c>
      <c r="B35" s="11" t="b">
        <f ca="1">$C35&gt;=OFFSET($C35,CFF.NumLinha,0)</f>
        <v>1</v>
      </c>
      <c r="C35" s="11">
        <f ca="1">INDEX(PO!A$12:A$54,MATCH($A35,PO!$V$12:$V$54,0))</f>
        <v>2</v>
      </c>
      <c r="D35" s="11">
        <f t="shared" ref="D35" ca="1" si="167">IF(ISERROR(J35),I35,SMALL(I35:J35,1))-1</f>
        <v>2</v>
      </c>
      <c r="E35" s="11">
        <f ca="1">IF($C35=1,OFFSET(E35,-CFF.NumLinha,0)+1,OFFSET(E35,-CFF.NumLinha,0))</f>
        <v>1</v>
      </c>
      <c r="F35" s="11">
        <f ca="1">IF($C35=1,0,IF($C35=2,OFFSET(F35,-CFF.NumLinha,0)+1,OFFSET(F35,-CFF.NumLinha,0)))</f>
        <v>5</v>
      </c>
      <c r="G35" s="11">
        <f ca="1">IF(AND($C35&lt;=2,$C35&lt;&gt;0),0,IF($C35=3,OFFSET(G35,-CFF.NumLinha,0)+1,OFFSET(G35,-CFF.NumLinha,0)))</f>
        <v>0</v>
      </c>
      <c r="H35" s="11">
        <f ca="1">IF(AND($C35&lt;=3,$C35&lt;&gt;0),0,IF($C35=4,OFFSET(H35,-CFF.NumLinha,0)+1,OFFSET(H35,-CFF.NumLinha,0)))</f>
        <v>0</v>
      </c>
      <c r="I35" s="11">
        <f t="shared" ref="I35" ca="1" si="168">MATCH(0,OFFSET($D35,1,$C35,ROW($A$39)-ROW($A35)),0)</f>
        <v>4</v>
      </c>
      <c r="J35" s="11">
        <f t="shared" ref="J35" ca="1" si="169">MATCH(OFFSET($D35,0,$C35)+1,OFFSET($D35,1,$C35,ROW($A$39)-ROW($A35)),0)</f>
        <v>3</v>
      </c>
      <c r="K35" s="156">
        <f ca="1">ROUND(INDEX(PO!T$12:T$54,MATCH($A35,PO!$V$12:$V$54,0)),2)+10^-12</f>
        <v>9.9999999999999998E-13</v>
      </c>
      <c r="L35" s="345"/>
      <c r="M35" s="341"/>
      <c r="N35" s="343"/>
      <c r="O35" s="171" t="s">
        <v>20</v>
      </c>
      <c r="P35" s="166">
        <f t="shared" ref="P35:AE35" ca="1" si="170">IF($B35,ROUND(P34*$N33,2),ROUND(SUMIF(OFFSET($B35,1,0,$D35),TRUE,OFFSET(P35,1,0,$D35))/SUMIF(OFFSET($B35,1,0,$D35),TRUE,OFFSET($K35,1,0,$D35))*$N33,2))</f>
        <v>0</v>
      </c>
      <c r="Q35" s="144">
        <f t="shared" ca="1" si="170"/>
        <v>0</v>
      </c>
      <c r="R35" s="144">
        <f t="shared" ca="1" si="170"/>
        <v>0</v>
      </c>
      <c r="S35" s="144">
        <f t="shared" ca="1" si="170"/>
        <v>0</v>
      </c>
      <c r="T35" s="144">
        <f t="shared" ca="1" si="170"/>
        <v>0</v>
      </c>
      <c r="U35" s="144">
        <f t="shared" ca="1" si="170"/>
        <v>0</v>
      </c>
      <c r="V35" s="144">
        <f t="shared" ca="1" si="170"/>
        <v>0</v>
      </c>
      <c r="W35" s="174">
        <f t="shared" ca="1" si="170"/>
        <v>0</v>
      </c>
      <c r="X35" s="166">
        <f t="shared" ca="1" si="170"/>
        <v>0</v>
      </c>
      <c r="Y35" s="144">
        <f t="shared" ca="1" si="170"/>
        <v>0</v>
      </c>
      <c r="Z35" s="144">
        <f t="shared" ca="1" si="170"/>
        <v>0</v>
      </c>
      <c r="AA35" s="144">
        <f t="shared" ca="1" si="170"/>
        <v>0</v>
      </c>
      <c r="AB35" s="144">
        <f t="shared" ca="1" si="170"/>
        <v>0</v>
      </c>
      <c r="AC35" s="144">
        <f t="shared" ca="1" si="170"/>
        <v>0</v>
      </c>
      <c r="AD35" s="144">
        <f t="shared" ca="1" si="170"/>
        <v>0</v>
      </c>
      <c r="AE35" s="174">
        <f t="shared" ca="1" si="170"/>
        <v>0</v>
      </c>
      <c r="AF35" s="163"/>
      <c r="AK35" s="144">
        <f t="shared" ref="AK35" ca="1" si="171">IF($B35,ROUND(AK34*$N33,2),ROUND(SUMIF(OFFSET($B35,1,0,$D35),TRUE,OFFSET(AK35,1,0,$D35))/SUMIF(OFFSET($B35,1,0,$D35),TRUE,OFFSET($K35,1,0,$D35))*$N33,2))</f>
        <v>0</v>
      </c>
    </row>
    <row r="36" spans="1:37" customFormat="1" ht="14.25" customHeight="1" x14ac:dyDescent="0.2">
      <c r="A36" s="1"/>
      <c r="B36" s="1"/>
      <c r="C36" s="1"/>
      <c r="D36" s="1"/>
      <c r="E36" s="1"/>
      <c r="F36" s="1"/>
      <c r="G36" s="1"/>
      <c r="H36" s="1"/>
      <c r="I36" s="1"/>
      <c r="J36" s="1"/>
      <c r="K36" s="1"/>
      <c r="L36" s="344" t="str">
        <f ca="1">INDEX(PO!K$12:K$54,MATCH($A38,PO!$V$12:$V$54,0))</f>
        <v>1.6.</v>
      </c>
      <c r="M36" s="340" t="str">
        <f ca="1">INDEX(PO!N$12:N$54,MATCH($A38,PO!$V$12:$V$54,0))</f>
        <v>ENTREGUE NO DISTRITO DE FARIA LEMOS</v>
      </c>
      <c r="N36" s="342">
        <f t="shared" ref="N36" ca="1" si="172">IF(ROUND(K38,2)=0,K38,ROUND(K38,2))</f>
        <v>9.9999999999999998E-13</v>
      </c>
      <c r="O36" s="187" t="s">
        <v>143</v>
      </c>
      <c r="P36" s="192">
        <f t="shared" ref="P36:AA36" si="173">P33</f>
        <v>8.3299999999999999E-2</v>
      </c>
      <c r="Q36" s="193">
        <f t="shared" si="173"/>
        <v>8.3299999999999999E-2</v>
      </c>
      <c r="R36" s="193">
        <f t="shared" si="173"/>
        <v>8.3299999999999999E-2</v>
      </c>
      <c r="S36" s="193">
        <f t="shared" si="173"/>
        <v>8.3299999999999999E-2</v>
      </c>
      <c r="T36" s="193">
        <f t="shared" si="173"/>
        <v>8.3299999999999999E-2</v>
      </c>
      <c r="U36" s="193">
        <f t="shared" si="173"/>
        <v>8.3299999999999999E-2</v>
      </c>
      <c r="V36" s="193">
        <f t="shared" si="173"/>
        <v>8.3299999999999999E-2</v>
      </c>
      <c r="W36" s="194">
        <f t="shared" si="173"/>
        <v>8.3299999999999999E-2</v>
      </c>
      <c r="X36" s="192">
        <f t="shared" si="173"/>
        <v>8.3299999999999999E-2</v>
      </c>
      <c r="Y36" s="193">
        <f t="shared" si="173"/>
        <v>8.3299999999999999E-2</v>
      </c>
      <c r="Z36" s="193">
        <f t="shared" si="173"/>
        <v>8.3299999999999999E-2</v>
      </c>
      <c r="AA36" s="193">
        <f t="shared" si="173"/>
        <v>8.3699999999999997E-2</v>
      </c>
      <c r="AB36" s="193">
        <f t="shared" ref="AB36" ca="1" si="174">IF($B38,0,AB37-IF(ISNUMBER(AA37),AA37,0))</f>
        <v>0</v>
      </c>
      <c r="AC36" s="193">
        <f t="shared" ref="AC36" ca="1" si="175">IF($B38,0,AC37-IF(ISNUMBER(AB37),AB37,0))</f>
        <v>0</v>
      </c>
      <c r="AD36" s="193">
        <f t="shared" ref="AD36" ca="1" si="176">IF($B38,0,AD37-IF(ISNUMBER(AC37),AC37,0))</f>
        <v>0</v>
      </c>
      <c r="AE36" s="194">
        <f t="shared" ref="AE36" ca="1" si="177">IF($B38,0,AE37-IF(ISNUMBER(AD37),AD37,0))</f>
        <v>0</v>
      </c>
      <c r="AF36" s="163"/>
      <c r="AK36" s="188">
        <f t="shared" ref="AK36" ca="1" si="178">IF($B38,0,AK37-IF(ISNUMBER(AJ37),AJ37,0))</f>
        <v>0</v>
      </c>
    </row>
    <row r="37" spans="1:37" customFormat="1" ht="14.25" x14ac:dyDescent="0.2">
      <c r="A37" s="11"/>
      <c r="B37" s="11"/>
      <c r="C37" s="11"/>
      <c r="D37" s="11"/>
      <c r="E37" s="11"/>
      <c r="F37" s="11"/>
      <c r="G37" s="11"/>
      <c r="H37" s="11"/>
      <c r="I37" s="11"/>
      <c r="J37" s="11"/>
      <c r="K37" s="11"/>
      <c r="L37" s="345"/>
      <c r="M37" s="341"/>
      <c r="N37" s="343"/>
      <c r="O37" s="145" t="s">
        <v>145</v>
      </c>
      <c r="P37" s="165">
        <f t="shared" ref="P37" ca="1" si="179">MIN(IF($B38,P36+IF(ISNUMBER(O37),O37,0),P38/$N36),1)</f>
        <v>8.3299999999999999E-2</v>
      </c>
      <c r="Q37" s="143">
        <f t="shared" ref="Q37" ca="1" si="180">MIN(IF($B38,Q36+IF(ISNUMBER(P37),P37,0),Q38/$N36),1)</f>
        <v>0.1666</v>
      </c>
      <c r="R37" s="143">
        <f t="shared" ref="R37" ca="1" si="181">MIN(IF($B38,R36+IF(ISNUMBER(Q37),Q37,0),R38/$N36),1)</f>
        <v>0.24990000000000001</v>
      </c>
      <c r="S37" s="143">
        <f t="shared" ref="S37" ca="1" si="182">MIN(IF($B38,S36+IF(ISNUMBER(R37),R37,0),S38/$N36),1)</f>
        <v>0.3332</v>
      </c>
      <c r="T37" s="143">
        <f t="shared" ref="T37" ca="1" si="183">MIN(IF($B38,T36+IF(ISNUMBER(S37),S37,0),T38/$N36),1)</f>
        <v>0.41649999999999998</v>
      </c>
      <c r="U37" s="143">
        <f t="shared" ref="U37" ca="1" si="184">MIN(IF($B38,U36+IF(ISNUMBER(T37),T37,0),U38/$N36),1)</f>
        <v>0.49979999999999997</v>
      </c>
      <c r="V37" s="143">
        <f t="shared" ref="V37" ca="1" si="185">MIN(IF($B38,V36+IF(ISNUMBER(U37),U37,0),V38/$N36),1)</f>
        <v>0.58309999999999995</v>
      </c>
      <c r="W37" s="143">
        <f t="shared" ref="W37:X37" ca="1" si="186">MIN(IF($B38,W36+IF(ISNUMBER(V37),V37,0),W38/$N36),1)</f>
        <v>0.66639999999999999</v>
      </c>
      <c r="X37" s="165">
        <f t="shared" ca="1" si="186"/>
        <v>0.74970000000000003</v>
      </c>
      <c r="Y37" s="143">
        <f t="shared" ref="Y37" ca="1" si="187">MIN(IF($B38,Y36+IF(ISNUMBER(X37),X37,0),Y38/$N36),1)</f>
        <v>0.83300000000000007</v>
      </c>
      <c r="Z37" s="143">
        <f t="shared" ref="Z37" ca="1" si="188">MIN(IF($B38,Z36+IF(ISNUMBER(Y37),Y37,0),Z38/$N36),1)</f>
        <v>0.91630000000000011</v>
      </c>
      <c r="AA37" s="143">
        <f t="shared" ref="AA37" ca="1" si="189">MIN(IF($B38,AA36+IF(ISNUMBER(Z37),Z37,0),AA38/$N36),1)</f>
        <v>1</v>
      </c>
      <c r="AB37" s="143">
        <f t="shared" ref="AB37" ca="1" si="190">MIN(IF($B38,AB36+IF(ISNUMBER(AA37),AA37,0),AB38/$N36),1)</f>
        <v>1</v>
      </c>
      <c r="AC37" s="143">
        <f t="shared" ref="AC37" ca="1" si="191">MIN(IF($B38,AC36+IF(ISNUMBER(AB37),AB37,0),AC38/$N36),1)</f>
        <v>1</v>
      </c>
      <c r="AD37" s="143">
        <f t="shared" ref="AD37" ca="1" si="192">MIN(IF($B38,AD36+IF(ISNUMBER(AC37),AC37,0),AD38/$N36),1)</f>
        <v>1</v>
      </c>
      <c r="AE37" s="143">
        <f t="shared" ref="AE37" ca="1" si="193">MIN(IF($B38,AE36+IF(ISNUMBER(AD37),AD37,0),AE38/$N36),1)</f>
        <v>1</v>
      </c>
      <c r="AF37" s="163"/>
      <c r="AK37" s="143">
        <f t="shared" ref="AK37" ca="1" si="194">MIN(IF($B38,AK36+IF(ISNUMBER(AJ37),AJ37,0),AK38/$N36),1)</f>
        <v>0</v>
      </c>
    </row>
    <row r="38" spans="1:37" customFormat="1" ht="14.25" x14ac:dyDescent="0.2">
      <c r="A38" s="11">
        <f ca="1">OFFSET(A38,-CFF.NumLinha,0)+1</f>
        <v>7</v>
      </c>
      <c r="B38" s="11" t="b">
        <f ca="1">$C38&gt;=OFFSET($C38,CFF.NumLinha,0)</f>
        <v>1</v>
      </c>
      <c r="C38" s="11">
        <f ca="1">INDEX(PO!A$12:A$54,MATCH($A38,PO!$V$12:$V$54,0))</f>
        <v>2</v>
      </c>
      <c r="D38" s="11">
        <f t="shared" ref="D38" ca="1" si="195">IF(ISERROR(J38),I38,SMALL(I38:J38,1))-1</f>
        <v>0</v>
      </c>
      <c r="E38" s="11">
        <f ca="1">IF($C38=1,OFFSET(E38,-CFF.NumLinha,0)+1,OFFSET(E38,-CFF.NumLinha,0))</f>
        <v>1</v>
      </c>
      <c r="F38" s="11">
        <f ca="1">IF($C38=1,0,IF($C38=2,OFFSET(F38,-CFF.NumLinha,0)+1,OFFSET(F38,-CFF.NumLinha,0)))</f>
        <v>6</v>
      </c>
      <c r="G38" s="11">
        <f ca="1">IF(AND($C38&lt;=2,$C38&lt;&gt;0),0,IF($C38=3,OFFSET(G38,-CFF.NumLinha,0)+1,OFFSET(G38,-CFF.NumLinha,0)))</f>
        <v>0</v>
      </c>
      <c r="H38" s="11">
        <f ca="1">IF(AND($C38&lt;=3,$C38&lt;&gt;0),0,IF($C38=4,OFFSET(H38,-CFF.NumLinha,0)+1,OFFSET(H38,-CFF.NumLinha,0)))</f>
        <v>0</v>
      </c>
      <c r="I38" s="11">
        <f t="shared" ref="I38" ca="1" si="196">MATCH(0,OFFSET($D38,1,$C38,ROW($A$39)-ROW($A38)),0)</f>
        <v>1</v>
      </c>
      <c r="J38" s="11" t="e">
        <f t="shared" ref="J38" ca="1" si="197">MATCH(OFFSET($D38,0,$C38)+1,OFFSET($D38,1,$C38,ROW($A$39)-ROW($A38)),0)</f>
        <v>#N/A</v>
      </c>
      <c r="K38" s="156">
        <f ca="1">ROUND(INDEX(PO!T$12:T$54,MATCH($A38,PO!$V$12:$V$54,0)),2)+10^-12</f>
        <v>9.9999999999999998E-13</v>
      </c>
      <c r="L38" s="345"/>
      <c r="M38" s="341"/>
      <c r="N38" s="343"/>
      <c r="O38" s="171" t="s">
        <v>20</v>
      </c>
      <c r="P38" s="166">
        <f t="shared" ref="P38:AE38" ca="1" si="198">IF($B38,ROUND(P37*$N36,2),ROUND(SUMIF(OFFSET($B38,1,0,$D38),TRUE,OFFSET(P38,1,0,$D38))/SUMIF(OFFSET($B38,1,0,$D38),TRUE,OFFSET($K38,1,0,$D38))*$N36,2))</f>
        <v>0</v>
      </c>
      <c r="Q38" s="144">
        <f t="shared" ca="1" si="198"/>
        <v>0</v>
      </c>
      <c r="R38" s="144">
        <f t="shared" ca="1" si="198"/>
        <v>0</v>
      </c>
      <c r="S38" s="144">
        <f t="shared" ca="1" si="198"/>
        <v>0</v>
      </c>
      <c r="T38" s="144">
        <f t="shared" ca="1" si="198"/>
        <v>0</v>
      </c>
      <c r="U38" s="144">
        <f t="shared" ca="1" si="198"/>
        <v>0</v>
      </c>
      <c r="V38" s="144">
        <f t="shared" ca="1" si="198"/>
        <v>0</v>
      </c>
      <c r="W38" s="174">
        <f t="shared" ca="1" si="198"/>
        <v>0</v>
      </c>
      <c r="X38" s="166">
        <f t="shared" ca="1" si="198"/>
        <v>0</v>
      </c>
      <c r="Y38" s="144">
        <f t="shared" ca="1" si="198"/>
        <v>0</v>
      </c>
      <c r="Z38" s="144">
        <f t="shared" ca="1" si="198"/>
        <v>0</v>
      </c>
      <c r="AA38" s="144">
        <f t="shared" ca="1" si="198"/>
        <v>0</v>
      </c>
      <c r="AB38" s="144">
        <f t="shared" ca="1" si="198"/>
        <v>0</v>
      </c>
      <c r="AC38" s="144">
        <f t="shared" ca="1" si="198"/>
        <v>0</v>
      </c>
      <c r="AD38" s="144">
        <f t="shared" ca="1" si="198"/>
        <v>0</v>
      </c>
      <c r="AE38" s="174">
        <f t="shared" ca="1" si="198"/>
        <v>0</v>
      </c>
      <c r="AF38" s="163"/>
      <c r="AK38" s="144">
        <f t="shared" ref="AK38" ca="1" si="199">IF($B38,ROUND(AK37*$N36,2),ROUND(SUMIF(OFFSET($B38,1,0,$D38),TRUE,OFFSET(AK38,1,0,$D38))/SUMIF(OFFSET($B38,1,0,$D38),TRUE,OFFSET($K38,1,0,$D38))*$N36,2))</f>
        <v>0</v>
      </c>
    </row>
    <row r="39" spans="1:37" ht="12.75" customHeight="1" x14ac:dyDescent="0.2">
      <c r="A39"/>
      <c r="B39"/>
      <c r="C39" s="11">
        <v>-1</v>
      </c>
      <c r="D39" s="11"/>
      <c r="E39" s="11">
        <v>0</v>
      </c>
      <c r="F39" s="11">
        <v>0</v>
      </c>
      <c r="G39" s="11">
        <v>0</v>
      </c>
      <c r="H39" s="11">
        <v>0</v>
      </c>
      <c r="I39"/>
      <c r="J39"/>
      <c r="K39"/>
      <c r="L39" s="69"/>
      <c r="M39" s="69"/>
      <c r="N39" s="131"/>
      <c r="O39" s="69"/>
      <c r="P39" s="69"/>
      <c r="Q39" s="131"/>
      <c r="R39" s="69"/>
      <c r="S39" s="69"/>
      <c r="T39" s="69"/>
      <c r="U39" s="69"/>
      <c r="V39" s="69"/>
      <c r="W39" s="69"/>
      <c r="X39" s="69"/>
      <c r="Y39" s="131"/>
      <c r="Z39" s="69"/>
      <c r="AA39" s="69"/>
      <c r="AB39" s="69"/>
      <c r="AC39" s="69"/>
      <c r="AD39" s="69"/>
      <c r="AE39" s="69"/>
      <c r="AF39" s="157"/>
      <c r="AK39" s="69"/>
    </row>
    <row r="40" spans="1:37" ht="12" customHeight="1" x14ac:dyDescent="0.2">
      <c r="A40"/>
      <c r="B40"/>
      <c r="C40"/>
      <c r="D40"/>
      <c r="E40"/>
      <c r="F40"/>
      <c r="G40"/>
      <c r="H40"/>
      <c r="I40"/>
      <c r="J40"/>
      <c r="K40"/>
      <c r="L40" s="1"/>
      <c r="M40" s="1"/>
      <c r="N40" s="1"/>
      <c r="O40" s="1"/>
      <c r="P40" s="1"/>
      <c r="Q40" s="1"/>
      <c r="R40" s="1"/>
      <c r="S40" s="1"/>
      <c r="T40" s="1"/>
      <c r="U40" s="1"/>
      <c r="V40" s="1"/>
      <c r="W40" s="1"/>
      <c r="X40" s="1"/>
      <c r="Y40" s="1"/>
      <c r="Z40" s="1"/>
      <c r="AA40" s="1"/>
      <c r="AB40" s="1"/>
      <c r="AC40" s="1"/>
      <c r="AD40" s="1"/>
      <c r="AE40" s="1"/>
      <c r="AF40" s="157"/>
      <c r="AK40" s="1"/>
    </row>
    <row r="41" spans="1:37" x14ac:dyDescent="0.2">
      <c r="A41"/>
      <c r="B41"/>
      <c r="C41"/>
      <c r="D41"/>
      <c r="E41"/>
      <c r="F41"/>
      <c r="G41"/>
      <c r="H41"/>
      <c r="I41"/>
      <c r="J41"/>
      <c r="K41"/>
      <c r="L41" s="350">
        <f>DADOS!I32</f>
        <v>0</v>
      </c>
      <c r="M41" s="350"/>
      <c r="N41" s="350"/>
      <c r="O41" s="1"/>
      <c r="P41" s="158"/>
      <c r="Q41" s="347"/>
      <c r="R41" s="347"/>
      <c r="S41" s="347"/>
      <c r="T41" s="1"/>
      <c r="U41" s="1"/>
      <c r="V41" s="1"/>
      <c r="W41" s="1"/>
      <c r="X41" s="158"/>
      <c r="Y41" s="347"/>
      <c r="Z41" s="347"/>
      <c r="AA41" s="347"/>
      <c r="AB41" s="1"/>
      <c r="AC41" s="1"/>
      <c r="AD41" s="1"/>
      <c r="AE41" s="1"/>
      <c r="AF41" s="157"/>
      <c r="AK41" s="1"/>
    </row>
    <row r="42" spans="1:37" x14ac:dyDescent="0.2">
      <c r="A42"/>
      <c r="B42"/>
      <c r="C42"/>
      <c r="D42"/>
      <c r="E42"/>
      <c r="F42"/>
      <c r="G42"/>
      <c r="H42"/>
      <c r="I42"/>
      <c r="J42"/>
      <c r="K42"/>
      <c r="L42" s="159" t="s">
        <v>120</v>
      </c>
      <c r="M42" s="349"/>
      <c r="N42" s="349"/>
      <c r="O42" s="1"/>
      <c r="P42" s="158"/>
      <c r="Q42" s="347"/>
      <c r="R42" s="347"/>
      <c r="S42" s="347"/>
      <c r="T42" s="1"/>
      <c r="U42" s="1"/>
      <c r="V42" s="1"/>
      <c r="W42" s="1"/>
      <c r="X42" s="158"/>
      <c r="Y42" s="347"/>
      <c r="Z42" s="347"/>
      <c r="AA42" s="347"/>
      <c r="AB42" s="1"/>
      <c r="AC42" s="1"/>
      <c r="AD42" s="1"/>
      <c r="AE42" s="1"/>
      <c r="AF42" s="157"/>
      <c r="AK42" s="1"/>
    </row>
    <row r="43" spans="1:37" x14ac:dyDescent="0.2">
      <c r="A43"/>
      <c r="B43"/>
      <c r="C43"/>
      <c r="D43"/>
      <c r="E43"/>
      <c r="F43"/>
      <c r="G43"/>
      <c r="H43"/>
      <c r="I43"/>
      <c r="J43"/>
      <c r="K43"/>
      <c r="L43" s="158"/>
      <c r="M43" s="348"/>
      <c r="N43" s="349"/>
      <c r="O43" s="1"/>
      <c r="P43" s="158"/>
      <c r="Q43" s="347"/>
      <c r="R43" s="347"/>
      <c r="S43" s="347"/>
      <c r="T43" s="1"/>
      <c r="U43" s="1"/>
      <c r="V43" s="1"/>
      <c r="W43" s="1"/>
      <c r="X43" s="158"/>
      <c r="Y43" s="347"/>
      <c r="Z43" s="347"/>
      <c r="AA43" s="347"/>
      <c r="AB43" s="1"/>
      <c r="AC43" s="1"/>
      <c r="AD43" s="1"/>
      <c r="AE43" s="1"/>
      <c r="AF43" s="157"/>
      <c r="AK43" s="1"/>
    </row>
    <row r="44" spans="1:37" x14ac:dyDescent="0.2">
      <c r="A44"/>
      <c r="B44"/>
      <c r="C44"/>
      <c r="D44"/>
      <c r="E44"/>
      <c r="F44"/>
      <c r="G44"/>
      <c r="H44"/>
      <c r="I44"/>
      <c r="J44"/>
      <c r="K44"/>
      <c r="L44" s="351" t="str">
        <f>PO!K68</f>
        <v>27 de janeiro de 2025</v>
      </c>
      <c r="M44" s="351"/>
      <c r="N44" s="351"/>
      <c r="O44" s="1"/>
      <c r="P44" s="1"/>
      <c r="Q44" s="1"/>
      <c r="R44" s="1"/>
      <c r="S44" s="1"/>
      <c r="T44" s="1"/>
      <c r="U44" s="1"/>
      <c r="V44" s="1"/>
      <c r="W44" s="1"/>
      <c r="X44" s="1"/>
      <c r="Y44" s="1"/>
      <c r="Z44" s="1"/>
      <c r="AA44" s="1"/>
      <c r="AB44" s="1"/>
      <c r="AC44" s="1"/>
      <c r="AD44" s="1"/>
      <c r="AE44" s="1"/>
      <c r="AF44" s="160"/>
      <c r="AK44" s="1"/>
    </row>
    <row r="45" spans="1:37" x14ac:dyDescent="0.2">
      <c r="A45"/>
      <c r="B45"/>
      <c r="C45"/>
      <c r="D45"/>
      <c r="E45"/>
      <c r="F45"/>
      <c r="G45"/>
      <c r="H45"/>
      <c r="I45"/>
      <c r="J45"/>
      <c r="K45"/>
      <c r="L45" s="161" t="s">
        <v>121</v>
      </c>
      <c r="M45" s="69"/>
      <c r="N45" s="69"/>
      <c r="O45" s="1"/>
      <c r="P45" s="1"/>
      <c r="Q45" s="1"/>
      <c r="R45" s="1"/>
      <c r="S45" s="1"/>
      <c r="T45" s="1"/>
      <c r="U45" s="1"/>
      <c r="V45" s="1"/>
      <c r="W45" s="1"/>
      <c r="X45" s="1"/>
      <c r="Y45" s="1"/>
      <c r="Z45" s="1"/>
      <c r="AA45" s="1"/>
      <c r="AB45" s="1"/>
      <c r="AC45" s="1"/>
      <c r="AD45" s="1"/>
      <c r="AE45" s="1"/>
      <c r="AF45" s="160"/>
      <c r="AK45" s="1"/>
    </row>
    <row r="46" spans="1:37" x14ac:dyDescent="0.2">
      <c r="A46"/>
      <c r="B46"/>
      <c r="C46"/>
      <c r="D46"/>
      <c r="E46"/>
      <c r="F46"/>
      <c r="G46"/>
      <c r="H46"/>
      <c r="I46"/>
      <c r="J46"/>
      <c r="K46"/>
      <c r="L46" s="1"/>
      <c r="M46" s="1"/>
      <c r="N46" s="1"/>
      <c r="O46" s="1"/>
      <c r="P46" s="1"/>
      <c r="Q46" s="1"/>
      <c r="R46" s="1"/>
      <c r="S46" s="1"/>
      <c r="T46" s="1"/>
      <c r="U46" s="1"/>
      <c r="V46" s="1"/>
      <c r="W46" s="1"/>
      <c r="X46" s="1"/>
      <c r="Y46" s="1"/>
      <c r="Z46" s="1"/>
      <c r="AA46" s="1"/>
      <c r="AB46" s="1"/>
      <c r="AC46" s="1"/>
      <c r="AD46" s="1"/>
      <c r="AE46" s="1"/>
      <c r="AF46" s="160"/>
      <c r="AK46" s="1"/>
    </row>
    <row r="47" spans="1:37" x14ac:dyDescent="0.2">
      <c r="A47"/>
      <c r="B47"/>
      <c r="C47"/>
      <c r="D47"/>
      <c r="E47"/>
      <c r="F47"/>
      <c r="G47"/>
      <c r="H47"/>
      <c r="I47"/>
      <c r="J47"/>
      <c r="K47"/>
      <c r="L47" s="1"/>
      <c r="M47" s="1"/>
      <c r="N47" s="4"/>
      <c r="O47" s="1"/>
      <c r="P47" s="1"/>
      <c r="Q47" s="1"/>
      <c r="R47" s="1"/>
      <c r="S47" s="1"/>
      <c r="T47" s="1"/>
      <c r="U47" s="1"/>
      <c r="V47" s="1"/>
      <c r="W47" s="1"/>
      <c r="X47" s="1"/>
      <c r="Y47" s="1"/>
      <c r="Z47" s="1"/>
      <c r="AA47" s="1"/>
      <c r="AB47" s="1"/>
      <c r="AC47" s="1"/>
      <c r="AD47" s="1"/>
      <c r="AE47" s="1"/>
      <c r="AF47" s="157"/>
      <c r="AK47" s="1"/>
    </row>
    <row r="48" spans="1:37" x14ac:dyDescent="0.2">
      <c r="A48"/>
      <c r="B48"/>
      <c r="C48"/>
      <c r="D48"/>
      <c r="E48"/>
      <c r="F48"/>
      <c r="G48"/>
      <c r="H48"/>
      <c r="I48"/>
      <c r="J48"/>
      <c r="K48"/>
      <c r="L48" s="1"/>
      <c r="M48" s="1"/>
      <c r="N48" s="4"/>
      <c r="O48" s="1"/>
      <c r="P48" s="1"/>
      <c r="Q48" s="1"/>
      <c r="R48" s="1"/>
      <c r="S48" s="1"/>
      <c r="T48" s="1"/>
      <c r="U48" s="1"/>
      <c r="V48" s="1"/>
      <c r="W48" s="1"/>
      <c r="X48" s="1"/>
      <c r="Y48" s="1"/>
      <c r="Z48" s="1"/>
      <c r="AA48" s="1"/>
      <c r="AB48" s="1"/>
      <c r="AC48" s="1"/>
      <c r="AD48" s="1"/>
      <c r="AE48" s="1"/>
      <c r="AF48" s="157"/>
      <c r="AK48" s="1"/>
    </row>
    <row r="49" spans="1:37" x14ac:dyDescent="0.2">
      <c r="A49"/>
      <c r="B49"/>
      <c r="C49"/>
      <c r="D49"/>
      <c r="E49"/>
      <c r="F49"/>
      <c r="G49"/>
      <c r="H49"/>
      <c r="I49"/>
      <c r="J49"/>
      <c r="K49"/>
      <c r="L49" s="1"/>
      <c r="M49" s="1"/>
      <c r="N49" s="4"/>
      <c r="O49" s="1"/>
      <c r="P49" s="1"/>
      <c r="Q49" s="1"/>
      <c r="R49" s="1"/>
      <c r="S49" s="1"/>
      <c r="T49" s="1"/>
      <c r="U49" s="1"/>
      <c r="V49" s="1"/>
      <c r="W49" s="1"/>
      <c r="X49" s="1"/>
      <c r="Y49" s="1"/>
      <c r="Z49" s="1"/>
      <c r="AA49" s="1"/>
      <c r="AB49" s="1"/>
      <c r="AC49" s="1"/>
      <c r="AD49" s="1"/>
      <c r="AE49" s="1"/>
      <c r="AF49" s="157"/>
      <c r="AK49" s="1"/>
    </row>
  </sheetData>
  <sheetProtection algorithmName="SHA-512" hashValue="6G0/QmjxLylF7HDdIyHgw4+pxJBwKQYMrK6N6+rCZoaZIV4+aP9uir6TeEQw7/W63YGYBPrNAA01ycrV0TZZfQ==" saltValue="kJGmq+bMSQttcXxATP1/Gg==" spinCount="100000" sheet="1" objects="1" scenarios="1"/>
  <mergeCells count="37">
    <mergeCell ref="Y41:AA41"/>
    <mergeCell ref="Y42:AA42"/>
    <mergeCell ref="Y43:AA43"/>
    <mergeCell ref="L44:N44"/>
    <mergeCell ref="L11:L13"/>
    <mergeCell ref="M11:M13"/>
    <mergeCell ref="L14:M17"/>
    <mergeCell ref="N14:N17"/>
    <mergeCell ref="L18:L20"/>
    <mergeCell ref="L27:L29"/>
    <mergeCell ref="M27:M29"/>
    <mergeCell ref="N27:N29"/>
    <mergeCell ref="L30:L32"/>
    <mergeCell ref="M30:M32"/>
    <mergeCell ref="N30:N32"/>
    <mergeCell ref="L33:L35"/>
    <mergeCell ref="L8:M8"/>
    <mergeCell ref="N11:N13"/>
    <mergeCell ref="M18:M20"/>
    <mergeCell ref="N18:N20"/>
    <mergeCell ref="Q43:S43"/>
    <mergeCell ref="M43:N43"/>
    <mergeCell ref="Q42:S42"/>
    <mergeCell ref="Q41:S41"/>
    <mergeCell ref="L41:N41"/>
    <mergeCell ref="M42:N42"/>
    <mergeCell ref="L21:L23"/>
    <mergeCell ref="M21:M23"/>
    <mergeCell ref="N21:N23"/>
    <mergeCell ref="L24:L26"/>
    <mergeCell ref="M24:M26"/>
    <mergeCell ref="N24:N26"/>
    <mergeCell ref="M33:M35"/>
    <mergeCell ref="N33:N35"/>
    <mergeCell ref="L36:L38"/>
    <mergeCell ref="M36:M38"/>
    <mergeCell ref="N36:N38"/>
  </mergeCells>
  <phoneticPr fontId="20" type="noConversion"/>
  <conditionalFormatting sqref="L11:N11 L12:M13 L18:N18">
    <cfRule type="expression" dxfId="63" priority="1160" stopIfTrue="1">
      <formula>$C13=1</formula>
    </cfRule>
  </conditionalFormatting>
  <conditionalFormatting sqref="O11 O18">
    <cfRule type="expression" dxfId="62" priority="1232" stopIfTrue="1">
      <formula>$B13=FALSE</formula>
    </cfRule>
    <cfRule type="expression" dxfId="61" priority="1233" stopIfTrue="1">
      <formula>$C13=1</formula>
    </cfRule>
  </conditionalFormatting>
  <conditionalFormatting sqref="P12:W12 AK12 AK19">
    <cfRule type="expression" dxfId="60" priority="1222" stopIfTrue="1">
      <formula>AND(ISNUMBER(O13),O13&gt;=$N11)</formula>
    </cfRule>
    <cfRule type="cellIs" dxfId="59" priority="1223" stopIfTrue="1" operator="notBetween">
      <formula>0</formula>
      <formula>1</formula>
    </cfRule>
  </conditionalFormatting>
  <conditionalFormatting sqref="P13:W13 AK13 AK20 P23:W23 P26:W26 P29:W29 P32:W32 P35:W35 P38:W38 AK23 AK26 AK29 AK32 AK35 AK38">
    <cfRule type="expression" dxfId="58" priority="1224" stopIfTrue="1">
      <formula>AND(ISNUMBER(O13),O13&gt;=$N11)</formula>
    </cfRule>
    <cfRule type="cellIs" dxfId="57" priority="1225" stopIfTrue="1" operator="notBetween">
      <formula>0</formula>
      <formula>$N11</formula>
    </cfRule>
  </conditionalFormatting>
  <conditionalFormatting sqref="P14:W14 AK14">
    <cfRule type="expression" dxfId="56" priority="1226" stopIfTrue="1">
      <formula>AND(ISNUMBER(O17),O17&gt;=$N14)</formula>
    </cfRule>
  </conditionalFormatting>
  <conditionalFormatting sqref="P15:W15 AK15">
    <cfRule type="expression" dxfId="55" priority="1227" stopIfTrue="1">
      <formula>AND(ISNUMBER(O17),O17&gt;=$N14)</formula>
    </cfRule>
  </conditionalFormatting>
  <conditionalFormatting sqref="P16:W16 AK16">
    <cfRule type="expression" dxfId="54" priority="1228" stopIfTrue="1">
      <formula>AND(ISNUMBER(O17),O17&gt;=$N14)</formula>
    </cfRule>
    <cfRule type="cellIs" dxfId="53" priority="1229" stopIfTrue="1" operator="notBetween">
      <formula>0</formula>
      <formula>1</formula>
    </cfRule>
  </conditionalFormatting>
  <conditionalFormatting sqref="P17:W17 AK17">
    <cfRule type="expression" dxfId="52" priority="1230" stopIfTrue="1">
      <formula>AND(ISNUMBER(O17),O17&gt;=$N14)</formula>
    </cfRule>
    <cfRule type="cellIs" dxfId="51" priority="1231" stopIfTrue="1" operator="notBetween">
      <formula>0</formula>
      <formula>$N14</formula>
    </cfRule>
  </conditionalFormatting>
  <conditionalFormatting sqref="L8">
    <cfRule type="cellIs" dxfId="50" priority="1217" stopIfTrue="1" operator="notEqual">
      <formula>""</formula>
    </cfRule>
  </conditionalFormatting>
  <conditionalFormatting sqref="N9">
    <cfRule type="expression" dxfId="49" priority="1216" stopIfTrue="1">
      <formula>TipoOrçamento&lt;&gt;"REPROGRAMADOAC"</formula>
    </cfRule>
  </conditionalFormatting>
  <conditionalFormatting sqref="L19:M20">
    <cfRule type="expression" dxfId="48" priority="2051" stopIfTrue="1">
      <formula>#REF!=1</formula>
    </cfRule>
  </conditionalFormatting>
  <conditionalFormatting sqref="P11:W11 AK18 AK11">
    <cfRule type="expression" dxfId="47" priority="371" stopIfTrue="1">
      <formula>AND(ISNUMBER(O13),O13&gt;=$N11)</formula>
    </cfRule>
    <cfRule type="expression" dxfId="46" priority="372" stopIfTrue="1">
      <formula>$B13=FALSE</formula>
    </cfRule>
    <cfRule type="expression" dxfId="45" priority="373" stopIfTrue="1">
      <formula>$C13=1</formula>
    </cfRule>
  </conditionalFormatting>
  <conditionalFormatting sqref="P19:W19">
    <cfRule type="expression" dxfId="44" priority="322" stopIfTrue="1">
      <formula>AND(ISNUMBER(O20),O20&gt;=$N18)</formula>
    </cfRule>
    <cfRule type="cellIs" dxfId="43" priority="323" stopIfTrue="1" operator="notBetween">
      <formula>0</formula>
      <formula>1</formula>
    </cfRule>
  </conditionalFormatting>
  <conditionalFormatting sqref="P20:W20">
    <cfRule type="expression" dxfId="42" priority="324" stopIfTrue="1">
      <formula>AND(ISNUMBER(O20),O20&gt;=$N18)</formula>
    </cfRule>
    <cfRule type="cellIs" dxfId="41" priority="325" stopIfTrue="1" operator="notBetween">
      <formula>0</formula>
      <formula>$N18</formula>
    </cfRule>
  </conditionalFormatting>
  <conditionalFormatting sqref="O10:W10">
    <cfRule type="expression" dxfId="40" priority="294" stopIfTrue="1">
      <formula>1=1</formula>
    </cfRule>
  </conditionalFormatting>
  <conditionalFormatting sqref="P18:W18">
    <cfRule type="expression" dxfId="39" priority="249" stopIfTrue="1">
      <formula>AND(ISNUMBER(O20),O20&gt;=$N18)</formula>
    </cfRule>
    <cfRule type="expression" dxfId="38" priority="250" stopIfTrue="1">
      <formula>$B20=FALSE</formula>
    </cfRule>
    <cfRule type="expression" dxfId="37" priority="251" stopIfTrue="1">
      <formula>$C20=1</formula>
    </cfRule>
  </conditionalFormatting>
  <conditionalFormatting sqref="AK10">
    <cfRule type="expression" dxfId="36" priority="172" stopIfTrue="1">
      <formula>1=1</formula>
    </cfRule>
  </conditionalFormatting>
  <conditionalFormatting sqref="X12:AE12">
    <cfRule type="expression" dxfId="35" priority="27" stopIfTrue="1">
      <formula>AND(ISNUMBER(W13),W13&gt;=$N11)</formula>
    </cfRule>
    <cfRule type="cellIs" dxfId="34" priority="28" stopIfTrue="1" operator="notBetween">
      <formula>0</formula>
      <formula>1</formula>
    </cfRule>
  </conditionalFormatting>
  <conditionalFormatting sqref="X13:AE13">
    <cfRule type="expression" dxfId="33" priority="29" stopIfTrue="1">
      <formula>AND(ISNUMBER(W13),W13&gt;=$N11)</formula>
    </cfRule>
    <cfRule type="cellIs" dxfId="32" priority="30" stopIfTrue="1" operator="notBetween">
      <formula>0</formula>
      <formula>$N11</formula>
    </cfRule>
  </conditionalFormatting>
  <conditionalFormatting sqref="X14:AE14">
    <cfRule type="expression" dxfId="31" priority="31" stopIfTrue="1">
      <formula>AND(ISNUMBER(W17),W17&gt;=$N14)</formula>
    </cfRule>
  </conditionalFormatting>
  <conditionalFormatting sqref="X15:AE15">
    <cfRule type="expression" dxfId="30" priority="32" stopIfTrue="1">
      <formula>AND(ISNUMBER(W17),W17&gt;=$N14)</formula>
    </cfRule>
  </conditionalFormatting>
  <conditionalFormatting sqref="X16:AE16">
    <cfRule type="expression" dxfId="29" priority="33" stopIfTrue="1">
      <formula>AND(ISNUMBER(W17),W17&gt;=$N14)</formula>
    </cfRule>
    <cfRule type="cellIs" dxfId="28" priority="34" stopIfTrue="1" operator="notBetween">
      <formula>0</formula>
      <formula>1</formula>
    </cfRule>
  </conditionalFormatting>
  <conditionalFormatting sqref="X17:AE17">
    <cfRule type="expression" dxfId="27" priority="35" stopIfTrue="1">
      <formula>AND(ISNUMBER(W17),W17&gt;=$N14)</formula>
    </cfRule>
    <cfRule type="cellIs" dxfId="26" priority="36" stopIfTrue="1" operator="notBetween">
      <formula>0</formula>
      <formula>$N14</formula>
    </cfRule>
  </conditionalFormatting>
  <conditionalFormatting sqref="X11:AE11">
    <cfRule type="expression" dxfId="25" priority="24" stopIfTrue="1">
      <formula>AND(ISNUMBER(W13),W13&gt;=$N11)</formula>
    </cfRule>
    <cfRule type="expression" dxfId="24" priority="25" stopIfTrue="1">
      <formula>$B13=FALSE</formula>
    </cfRule>
    <cfRule type="expression" dxfId="23" priority="26" stopIfTrue="1">
      <formula>$C13=1</formula>
    </cfRule>
  </conditionalFormatting>
  <conditionalFormatting sqref="X19:AE19">
    <cfRule type="expression" dxfId="22" priority="20" stopIfTrue="1">
      <formula>AND(ISNUMBER(W20),W20&gt;=$N18)</formula>
    </cfRule>
    <cfRule type="cellIs" dxfId="21" priority="21" stopIfTrue="1" operator="notBetween">
      <formula>0</formula>
      <formula>1</formula>
    </cfRule>
  </conditionalFormatting>
  <conditionalFormatting sqref="X20:AE20">
    <cfRule type="expression" dxfId="20" priority="22" stopIfTrue="1">
      <formula>AND(ISNUMBER(W20),W20&gt;=$N18)</formula>
    </cfRule>
    <cfRule type="cellIs" dxfId="19" priority="23" stopIfTrue="1" operator="notBetween">
      <formula>0</formula>
      <formula>$N18</formula>
    </cfRule>
  </conditionalFormatting>
  <conditionalFormatting sqref="X10:AE10">
    <cfRule type="expression" dxfId="18" priority="19" stopIfTrue="1">
      <formula>1=1</formula>
    </cfRule>
  </conditionalFormatting>
  <conditionalFormatting sqref="X18:AE18">
    <cfRule type="expression" dxfId="17" priority="16" stopIfTrue="1">
      <formula>AND(ISNUMBER(W20),W20&gt;=$N18)</formula>
    </cfRule>
    <cfRule type="expression" dxfId="16" priority="17" stopIfTrue="1">
      <formula>$B20=FALSE</formula>
    </cfRule>
    <cfRule type="expression" dxfId="15" priority="18" stopIfTrue="1">
      <formula>$C20=1</formula>
    </cfRule>
  </conditionalFormatting>
  <conditionalFormatting sqref="L21:N21 L24:N24 L27:N27 L30:N30 L33:N33 L36:N36 L22:M23 L25:M26 L28:M29 L31:M32 L34:M35 L37:M38">
    <cfRule type="expression" dxfId="14" priority="11" stopIfTrue="1">
      <formula>$C23=1</formula>
    </cfRule>
  </conditionalFormatting>
  <conditionalFormatting sqref="O21 O24 O27 O30 O33 O36">
    <cfRule type="expression" dxfId="13" priority="14" stopIfTrue="1">
      <formula>$B23=FALSE</formula>
    </cfRule>
    <cfRule type="expression" dxfId="12" priority="15" stopIfTrue="1">
      <formula>$C23=1</formula>
    </cfRule>
  </conditionalFormatting>
  <conditionalFormatting sqref="P22:W22 P25:W25 P28:W28 P31:W31 P34:W34 P37:W37 AK22 AK25 AK28 AK31 AK34 AK37">
    <cfRule type="expression" dxfId="11" priority="12" stopIfTrue="1">
      <formula>AND(ISNUMBER(O23),O23&gt;=$N21)</formula>
    </cfRule>
    <cfRule type="cellIs" dxfId="10" priority="13" stopIfTrue="1" operator="notBetween">
      <formula>0</formula>
      <formula>1</formula>
    </cfRule>
  </conditionalFormatting>
  <conditionalFormatting sqref="P21:W21 P24:W24 P27:W27 P30:W30 P33:W33 P36:W36 AK21 AK24 AK27 AK30 AK33 AK36">
    <cfRule type="expression" dxfId="9" priority="8" stopIfTrue="1">
      <formula>AND(ISNUMBER(O23),O23&gt;=$N21)</formula>
    </cfRule>
    <cfRule type="expression" dxfId="8" priority="9" stopIfTrue="1">
      <formula>$B23=FALSE</formula>
    </cfRule>
    <cfRule type="expression" dxfId="7" priority="10" stopIfTrue="1">
      <formula>$C23=1</formula>
    </cfRule>
  </conditionalFormatting>
  <conditionalFormatting sqref="X22:AE22 X25:AE25 X28:AE28 X31:AE31 X34:AE34 X37:AE37">
    <cfRule type="expression" dxfId="6" priority="4" stopIfTrue="1">
      <formula>AND(ISNUMBER(W23),W23&gt;=$N21)</formula>
    </cfRule>
    <cfRule type="cellIs" dxfId="5" priority="5" stopIfTrue="1" operator="notBetween">
      <formula>0</formula>
      <formula>1</formula>
    </cfRule>
  </conditionalFormatting>
  <conditionalFormatting sqref="X23:AE23 X26:AE26 X29:AE29 X32:AE32 X35:AE35 X38:AE38">
    <cfRule type="expression" dxfId="4" priority="6" stopIfTrue="1">
      <formula>AND(ISNUMBER(W23),W23&gt;=$N21)</formula>
    </cfRule>
    <cfRule type="cellIs" dxfId="3" priority="7" stopIfTrue="1" operator="notBetween">
      <formula>0</formula>
      <formula>$N21</formula>
    </cfRule>
  </conditionalFormatting>
  <conditionalFormatting sqref="X21:AE21 X24:AE24 X27:AE27 X30:AE30 X33:AE33 X36:AE36">
    <cfRule type="expression" dxfId="2" priority="1" stopIfTrue="1">
      <formula>AND(ISNUMBER(W23),W23&gt;=$N21)</formula>
    </cfRule>
    <cfRule type="expression" dxfId="1" priority="2" stopIfTrue="1">
      <formula>$B23=FALSE</formula>
    </cfRule>
    <cfRule type="expression" dxfId="0" priority="3" stopIfTrue="1">
      <formula>$C23=1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AE11 AK18 AK11 P18:AE18 P21:AE21 P24:AE24 P27:AE27 P30:AE30 P33:AE33 P36:AE36 AK21 AK24 AK27 AK30 AK33 AK36"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36" fitToHeight="0" orientation="landscape" r:id="rId1"/>
  <headerFooter alignWithMargins="0">
    <oddHeader>&amp;C&amp;14I</oddHeader>
    <oddFooter>&amp;R&amp;P&amp;L27.476 v008   micro</oddFooter>
  </headerFooter>
  <colBreaks count="1" manualBreakCount="1">
    <brk id="27"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Felipe Zortéa</cp:lastModifiedBy>
  <cp:lastPrinted>2025-01-30T16:48:45Z</cp:lastPrinted>
  <dcterms:created xsi:type="dcterms:W3CDTF">1998-03-27T18:43:07Z</dcterms:created>
  <dcterms:modified xsi:type="dcterms:W3CDTF">2025-01-30T18:24:01Z</dcterms:modified>
</cp:coreProperties>
</file>