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07 - Educação\2024 - FENAVINHO NOVO PAC\DOCUMENTOS PARA LICITAÇÃO\"/>
    </mc:Choice>
  </mc:AlternateContent>
  <workbookProtection workbookPassword="C95B" lockStructure="1"/>
  <bookViews>
    <workbookView xWindow="0" yWindow="0" windowWidth="22128" windowHeight="7956" activeTab="3"/>
  </bookViews>
  <sheets>
    <sheet name="DADOS" sheetId="16" r:id="rId1"/>
    <sheet name="BDI (1)" sheetId="17" state="hidden" r:id="rId2"/>
    <sheet name="BDI (2)" sheetId="18" state="hidden"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0">DADOS!$A$1:$X$87</definedName>
    <definedName name="_xlnm.Print_Area" localSheetId="4">PLQ!$B$1:$O$609</definedName>
    <definedName name="_xlnm.Print_Area" localSheetId="3">PO!$K$1:$T$618</definedName>
    <definedName name="_xlnm.Database">TEXT(Import.DataBase,"mm-aaaa")</definedName>
    <definedName name="CFF.ColunaPadrão">CFF!$AC:$AC</definedName>
    <definedName name="CFF.Colunas">CFF!$P$10:$X$10</definedName>
    <definedName name="CFF.Dados">OFFSET(CFF!$L$17,1,0):OFFSET(CFF!$X$303,-1,-1)</definedName>
    <definedName name="CFF.IncluirLinha">MAX(PO!$V$12:$V$603)*CFF.NumLinha-ROW(CFF!$F$303)+ROW(CFF!$F$17)+1</definedName>
    <definedName name="CFF.Item">OFFSET(CFF!$L$17,1,0):OFFSET(CFF!$X$303,-1,-1)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OFFSET(PO!$M$12,1,0):OFFSET(PO!$M$603,-1,0)</definedName>
    <definedName name="Import.CR">DADOS!$A$29</definedName>
    <definedName name="Import.CTEF">DADOS!$A$43</definedName>
    <definedName name="Import.CustoUnitário">OFFSET(PO!$Q$12,1,0):OFFSET(PO!$Q$603,-1,0)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OFFSET(PO!$N$12,1,0):OFFSET(PO!$N$603,-1,0)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OFFSET(PO!$L$12,1,0):OFFSET(PO!$L$603,-1,0)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OFFSET(PO!$K$12,1,0):OFFSET(PO!$K$603,-1,0)</definedName>
    <definedName name="Import.Localidade">DADOS!$K$32</definedName>
    <definedName name="Import.LocalSINAPI">DADOS!$D$38</definedName>
    <definedName name="Import.Município">DADOS!$G$32</definedName>
    <definedName name="Import.Nível">OFFSET(PO!$J$12,1,0):OFFSET(PO!$J$603,-1,0)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OFFSET(PLQ!$F$12,1,0):OFFSET(PLQ!$P$603,-1,-1)</definedName>
    <definedName name="Import.POArred">PO!$X$3:$X$7</definedName>
    <definedName name="Import.PreçoTotal">OFFSET(PO!$T$12,1,0):OFFSET(PO!$T$603,-1,0)</definedName>
    <definedName name="Import.PreçoUnitário">OFFSET(PO!$S$12,1,0):OFFSET(PO!$S$603,-1,0)</definedName>
    <definedName name="Import.Programa">DADOS!$F$29</definedName>
    <definedName name="Import.Proponente">DADOS!$A$32</definedName>
    <definedName name="Import.Quantidade">OFFSET(PO!$P$12,1,0):OFFSET(PO!$P$603,-1,0)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OFFSET(PO!$O$12,1,0):OFFSET(PO!$O$603,-1,0)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OFFSET(PO!$Z$12,1,0):OFFSET(PO!$Z$603,-1,0)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PO!$K$604</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PLQ!$B$9:OFFSET(PLQ!$B$603,-1,0)</definedName>
    <definedName name="PLQ.LinhaPadrão">PLQ!$A$11:$P$11</definedName>
    <definedName name="PLQ.qtde.frentes">COUNTA(PLQ!$F$9:$P$9)</definedName>
    <definedName name="PO.BDI">OFFSET(PO!$R$12,1,0):OFFSET(PO!$R$603,-1,0)</definedName>
    <definedName name="PO.CustoRef">OFFSET(PO!$Y$12,1,0):OFFSET(PO!$Y$603,-1,0)</definedName>
    <definedName name="PO.CustoUnitario">ROUND(PO!$Q1,15-13*PO!$X$4)</definedName>
    <definedName name="PO.Dados">PO!$C$12:OFFSET(PO!$Z$603,-1,0)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F599" i="13" l="1"/>
  <c r="A599" i="13"/>
  <c r="F598" i="13"/>
  <c r="A598" i="13"/>
  <c r="F597" i="13"/>
  <c r="A597" i="13"/>
  <c r="F596" i="13"/>
  <c r="A596" i="13"/>
  <c r="F595" i="13"/>
  <c r="A595" i="13"/>
  <c r="F594" i="13"/>
  <c r="A594" i="13"/>
  <c r="F593" i="13"/>
  <c r="A593" i="13"/>
  <c r="F592" i="13"/>
  <c r="A592" i="13"/>
  <c r="F591" i="13"/>
  <c r="A591" i="13"/>
  <c r="F590" i="13"/>
  <c r="A590" i="13"/>
  <c r="F589" i="13"/>
  <c r="A589" i="13"/>
  <c r="F588" i="13"/>
  <c r="A588" i="13"/>
  <c r="F587" i="13"/>
  <c r="A587" i="13"/>
  <c r="F586" i="13"/>
  <c r="A586" i="13"/>
  <c r="F585" i="13"/>
  <c r="A585" i="13"/>
  <c r="F584" i="13"/>
  <c r="A584" i="13"/>
  <c r="F583" i="13"/>
  <c r="A583" i="13"/>
  <c r="F582" i="13"/>
  <c r="A582" i="13"/>
  <c r="F581" i="13"/>
  <c r="A581" i="13"/>
  <c r="F580" i="13"/>
  <c r="A580" i="13"/>
  <c r="W599" i="12"/>
  <c r="A599" i="12"/>
  <c r="W598" i="12"/>
  <c r="A598" i="12"/>
  <c r="W597" i="12"/>
  <c r="A597" i="12"/>
  <c r="I597" i="12" s="1"/>
  <c r="W596" i="12"/>
  <c r="A596" i="12"/>
  <c r="X595" i="12"/>
  <c r="W595" i="12"/>
  <c r="A595" i="12"/>
  <c r="W594" i="12"/>
  <c r="A594" i="12"/>
  <c r="X593" i="12"/>
  <c r="W593" i="12"/>
  <c r="A593" i="12"/>
  <c r="W592" i="12"/>
  <c r="H592" i="12"/>
  <c r="A592" i="12"/>
  <c r="W591" i="12"/>
  <c r="V591" i="12"/>
  <c r="H591" i="12"/>
  <c r="A591" i="12"/>
  <c r="X590" i="12"/>
  <c r="W590" i="12"/>
  <c r="A590" i="12"/>
  <c r="W589" i="12"/>
  <c r="V589" i="12"/>
  <c r="H589" i="12"/>
  <c r="A589" i="12"/>
  <c r="W588" i="12"/>
  <c r="V588" i="12"/>
  <c r="H588" i="12"/>
  <c r="A588" i="12"/>
  <c r="X587" i="12"/>
  <c r="W587" i="12"/>
  <c r="A587" i="12"/>
  <c r="V587" i="12" s="1"/>
  <c r="W586" i="12"/>
  <c r="A586" i="12"/>
  <c r="X585" i="12"/>
  <c r="W585" i="12"/>
  <c r="A585" i="12"/>
  <c r="W584" i="12"/>
  <c r="V584" i="12"/>
  <c r="H584" i="12"/>
  <c r="B584" i="12"/>
  <c r="A584" i="12"/>
  <c r="X583" i="12"/>
  <c r="W583" i="12"/>
  <c r="A583" i="12"/>
  <c r="W582" i="12"/>
  <c r="V582" i="12"/>
  <c r="H582" i="12"/>
  <c r="B582" i="12"/>
  <c r="A582" i="12"/>
  <c r="X581" i="12"/>
  <c r="W581" i="12"/>
  <c r="A581" i="12"/>
  <c r="W580" i="12"/>
  <c r="V580" i="12"/>
  <c r="H580" i="12"/>
  <c r="B580" i="12"/>
  <c r="A580" i="12"/>
  <c r="F579" i="13"/>
  <c r="A579" i="13"/>
  <c r="F578" i="13"/>
  <c r="A578" i="13"/>
  <c r="F577" i="13"/>
  <c r="A577" i="13"/>
  <c r="F576" i="13"/>
  <c r="A576" i="13"/>
  <c r="F575" i="13"/>
  <c r="A575" i="13"/>
  <c r="F574" i="13"/>
  <c r="A574" i="13"/>
  <c r="F573" i="13"/>
  <c r="A573" i="13"/>
  <c r="F572" i="13"/>
  <c r="A572" i="13"/>
  <c r="F571" i="13"/>
  <c r="A571" i="13"/>
  <c r="F570" i="13"/>
  <c r="A570" i="13"/>
  <c r="F569" i="13"/>
  <c r="A569" i="13"/>
  <c r="F568" i="13"/>
  <c r="A568" i="13"/>
  <c r="F567" i="13"/>
  <c r="A567" i="13"/>
  <c r="F566" i="13"/>
  <c r="A566" i="13"/>
  <c r="F565" i="13"/>
  <c r="A565" i="13"/>
  <c r="F564" i="13"/>
  <c r="A564" i="13"/>
  <c r="F563" i="13"/>
  <c r="A563" i="13"/>
  <c r="F562" i="13"/>
  <c r="A562" i="13"/>
  <c r="F561" i="13"/>
  <c r="A561" i="13"/>
  <c r="F560" i="13"/>
  <c r="A560" i="13"/>
  <c r="F559" i="13"/>
  <c r="A559" i="13"/>
  <c r="F558" i="13"/>
  <c r="A558" i="13"/>
  <c r="F557" i="13"/>
  <c r="A557" i="13"/>
  <c r="F556" i="13"/>
  <c r="A556" i="13"/>
  <c r="F555" i="13"/>
  <c r="A555" i="13"/>
  <c r="F554" i="13"/>
  <c r="A554" i="13"/>
  <c r="F553" i="13"/>
  <c r="A553" i="13"/>
  <c r="F552" i="13"/>
  <c r="A552" i="13"/>
  <c r="F551" i="13"/>
  <c r="A551" i="13"/>
  <c r="F550" i="13"/>
  <c r="A550" i="13"/>
  <c r="F549" i="13"/>
  <c r="A549" i="13"/>
  <c r="F548" i="13"/>
  <c r="A548" i="13"/>
  <c r="F547" i="13"/>
  <c r="A547" i="13"/>
  <c r="F546" i="13"/>
  <c r="A546" i="13"/>
  <c r="F545" i="13"/>
  <c r="A545" i="13"/>
  <c r="W579" i="12"/>
  <c r="A579" i="12"/>
  <c r="I579" i="12" s="1"/>
  <c r="W578" i="12"/>
  <c r="A578" i="12"/>
  <c r="X577" i="12"/>
  <c r="W577" i="12"/>
  <c r="A577" i="12"/>
  <c r="W576" i="12"/>
  <c r="I576" i="12"/>
  <c r="A576" i="12"/>
  <c r="X575" i="12"/>
  <c r="W575" i="12"/>
  <c r="A575" i="12"/>
  <c r="X574" i="12"/>
  <c r="W574" i="12"/>
  <c r="A574" i="12"/>
  <c r="W573" i="12"/>
  <c r="I573" i="12"/>
  <c r="A573" i="12"/>
  <c r="W572" i="12"/>
  <c r="I572" i="12"/>
  <c r="A572" i="12"/>
  <c r="X571" i="12"/>
  <c r="W571" i="12"/>
  <c r="A571" i="12"/>
  <c r="W570" i="12"/>
  <c r="A570" i="12"/>
  <c r="W569" i="12"/>
  <c r="I569" i="12"/>
  <c r="B569" i="12"/>
  <c r="A569" i="12"/>
  <c r="W568" i="12"/>
  <c r="A568" i="12"/>
  <c r="W567" i="12"/>
  <c r="A567" i="12"/>
  <c r="W566" i="12"/>
  <c r="I566" i="12"/>
  <c r="A566" i="12"/>
  <c r="W565" i="12"/>
  <c r="I565" i="12"/>
  <c r="B565" i="12"/>
  <c r="A565" i="12"/>
  <c r="X564" i="12"/>
  <c r="W564" i="12"/>
  <c r="A564" i="12"/>
  <c r="W563" i="12"/>
  <c r="A563" i="12"/>
  <c r="W562" i="12"/>
  <c r="I562" i="12"/>
  <c r="A562" i="12"/>
  <c r="W561" i="12"/>
  <c r="I561" i="12"/>
  <c r="B561" i="12"/>
  <c r="A561" i="12"/>
  <c r="W560" i="12"/>
  <c r="A560" i="12"/>
  <c r="W559" i="12"/>
  <c r="V559" i="12"/>
  <c r="H559" i="12"/>
  <c r="A559" i="12"/>
  <c r="W558" i="12"/>
  <c r="V558" i="12"/>
  <c r="H558" i="12"/>
  <c r="A558" i="12"/>
  <c r="W557" i="12"/>
  <c r="A557" i="12"/>
  <c r="V557" i="12" s="1"/>
  <c r="X556" i="12"/>
  <c r="W556" i="12"/>
  <c r="A556" i="12"/>
  <c r="X555" i="12"/>
  <c r="W555" i="12"/>
  <c r="A555" i="12"/>
  <c r="W554" i="12"/>
  <c r="V554" i="12"/>
  <c r="H554" i="12"/>
  <c r="A554" i="12"/>
  <c r="W553" i="12"/>
  <c r="A553" i="12"/>
  <c r="V553" i="12" s="1"/>
  <c r="X552" i="12"/>
  <c r="W552" i="12"/>
  <c r="A552" i="12"/>
  <c r="W551" i="12"/>
  <c r="V551" i="12"/>
  <c r="A551" i="12"/>
  <c r="W550" i="12"/>
  <c r="V550" i="12"/>
  <c r="I550" i="12"/>
  <c r="H550" i="12"/>
  <c r="B550" i="12"/>
  <c r="A550" i="12"/>
  <c r="W549" i="12"/>
  <c r="I549" i="12"/>
  <c r="H549" i="12"/>
  <c r="B549" i="12"/>
  <c r="A549" i="12"/>
  <c r="V549" i="12" s="1"/>
  <c r="W548" i="12"/>
  <c r="A548" i="12"/>
  <c r="V548" i="12" s="1"/>
  <c r="W547" i="12"/>
  <c r="A547" i="12"/>
  <c r="V547" i="12" s="1"/>
  <c r="X546" i="12"/>
  <c r="W546" i="12"/>
  <c r="A546" i="12"/>
  <c r="X545" i="12"/>
  <c r="W545" i="12"/>
  <c r="A545" i="12"/>
  <c r="E580" i="13" l="1"/>
  <c r="E584" i="13"/>
  <c r="E588" i="13"/>
  <c r="E592" i="13"/>
  <c r="D588" i="13"/>
  <c r="D592" i="13"/>
  <c r="D593" i="13"/>
  <c r="D589" i="13"/>
  <c r="D585" i="13"/>
  <c r="D581" i="13"/>
  <c r="D594" i="13"/>
  <c r="D591" i="13"/>
  <c r="D595" i="13"/>
  <c r="D586" i="13"/>
  <c r="D584" i="13"/>
  <c r="D587" i="13"/>
  <c r="D590" i="13"/>
  <c r="C583" i="13"/>
  <c r="V598" i="12"/>
  <c r="H598" i="12"/>
  <c r="B598" i="12"/>
  <c r="E596" i="13"/>
  <c r="B586" i="12"/>
  <c r="V594" i="12"/>
  <c r="H594" i="12"/>
  <c r="B594" i="12"/>
  <c r="V596" i="12"/>
  <c r="H596" i="12"/>
  <c r="B596" i="12"/>
  <c r="V599" i="12"/>
  <c r="H599" i="12"/>
  <c r="B599" i="12"/>
  <c r="D582" i="13"/>
  <c r="D583" i="13"/>
  <c r="B589" i="12"/>
  <c r="I589" i="12"/>
  <c r="B591" i="12"/>
  <c r="I591" i="12"/>
  <c r="V592" i="12"/>
  <c r="B592" i="12"/>
  <c r="I592" i="12"/>
  <c r="I594" i="12"/>
  <c r="I596" i="12"/>
  <c r="I598" i="12"/>
  <c r="I599" i="12"/>
  <c r="I586" i="12"/>
  <c r="V597" i="12"/>
  <c r="H597" i="12"/>
  <c r="B597" i="12"/>
  <c r="I580" i="12"/>
  <c r="I582" i="12"/>
  <c r="I584" i="12"/>
  <c r="H586" i="12"/>
  <c r="V586" i="12"/>
  <c r="B588" i="12"/>
  <c r="I588" i="12"/>
  <c r="E582" i="13"/>
  <c r="E586" i="13"/>
  <c r="E590" i="13"/>
  <c r="E594" i="13"/>
  <c r="E598" i="13"/>
  <c r="E581" i="13"/>
  <c r="E583" i="13"/>
  <c r="E585" i="13"/>
  <c r="E587" i="13"/>
  <c r="E589" i="13"/>
  <c r="E591" i="13"/>
  <c r="E593" i="13"/>
  <c r="E595" i="13"/>
  <c r="E597" i="13"/>
  <c r="E599" i="13"/>
  <c r="D574" i="13"/>
  <c r="D577" i="13"/>
  <c r="D571" i="13"/>
  <c r="D575" i="13"/>
  <c r="E568" i="13"/>
  <c r="E556" i="13"/>
  <c r="E572" i="13"/>
  <c r="D546" i="13"/>
  <c r="D547" i="13"/>
  <c r="D545" i="13"/>
  <c r="D551" i="13"/>
  <c r="D555" i="13"/>
  <c r="D559" i="13"/>
  <c r="D552" i="13"/>
  <c r="D553" i="13"/>
  <c r="D556" i="13"/>
  <c r="D557" i="13"/>
  <c r="D554" i="13"/>
  <c r="D558" i="13"/>
  <c r="B547" i="12"/>
  <c r="B548" i="12"/>
  <c r="B559" i="12"/>
  <c r="I559" i="12"/>
  <c r="D560" i="13"/>
  <c r="V563" i="12"/>
  <c r="H563" i="12"/>
  <c r="I563" i="12"/>
  <c r="B563" i="12"/>
  <c r="V564" i="12"/>
  <c r="V567" i="12"/>
  <c r="H567" i="12"/>
  <c r="I567" i="12"/>
  <c r="B567" i="12"/>
  <c r="V568" i="12"/>
  <c r="H568" i="12"/>
  <c r="I568" i="12"/>
  <c r="E558" i="13"/>
  <c r="I548" i="12"/>
  <c r="V560" i="12"/>
  <c r="B560" i="12"/>
  <c r="D564" i="13"/>
  <c r="D568" i="13"/>
  <c r="E548" i="13"/>
  <c r="D550" i="13"/>
  <c r="B551" i="12"/>
  <c r="H551" i="12"/>
  <c r="H553" i="12"/>
  <c r="B554" i="12"/>
  <c r="I554" i="12"/>
  <c r="H557" i="12"/>
  <c r="B558" i="12"/>
  <c r="I558" i="12"/>
  <c r="B568" i="12"/>
  <c r="E552" i="13"/>
  <c r="E562" i="13"/>
  <c r="E564" i="13"/>
  <c r="I547" i="12"/>
  <c r="I560" i="12"/>
  <c r="E545" i="13"/>
  <c r="H547" i="12"/>
  <c r="H548" i="12"/>
  <c r="D548" i="13"/>
  <c r="D549" i="13"/>
  <c r="I551" i="12"/>
  <c r="B553" i="12"/>
  <c r="I553" i="12"/>
  <c r="V556" i="12"/>
  <c r="B557" i="12"/>
  <c r="I557" i="12"/>
  <c r="H560" i="12"/>
  <c r="E574" i="13"/>
  <c r="V562" i="12"/>
  <c r="H562" i="12"/>
  <c r="V566" i="12"/>
  <c r="H566" i="12"/>
  <c r="V570" i="12"/>
  <c r="H570" i="12"/>
  <c r="B572" i="12"/>
  <c r="V572" i="12"/>
  <c r="H572" i="12"/>
  <c r="V575" i="12"/>
  <c r="E554" i="13"/>
  <c r="E570" i="13"/>
  <c r="V561" i="12"/>
  <c r="H561" i="12"/>
  <c r="B562" i="12"/>
  <c r="V565" i="12"/>
  <c r="H565" i="12"/>
  <c r="B566" i="12"/>
  <c r="V569" i="12"/>
  <c r="H569" i="12"/>
  <c r="B570" i="12"/>
  <c r="I570" i="12"/>
  <c r="B573" i="12"/>
  <c r="V573" i="12"/>
  <c r="H573" i="12"/>
  <c r="B576" i="12"/>
  <c r="V576" i="12"/>
  <c r="H576" i="12"/>
  <c r="B579" i="12"/>
  <c r="V579" i="12"/>
  <c r="H579" i="12"/>
  <c r="E546" i="13"/>
  <c r="E550" i="13"/>
  <c r="E560" i="13"/>
  <c r="E566" i="13"/>
  <c r="E576" i="13"/>
  <c r="B578" i="12"/>
  <c r="V578" i="12"/>
  <c r="H578" i="12"/>
  <c r="I578" i="12"/>
  <c r="E578" i="13"/>
  <c r="E547" i="13"/>
  <c r="E549" i="13"/>
  <c r="E551" i="13"/>
  <c r="E553" i="13"/>
  <c r="E555" i="13"/>
  <c r="E557" i="13"/>
  <c r="E559" i="13"/>
  <c r="E561" i="13"/>
  <c r="E563" i="13"/>
  <c r="E565" i="13"/>
  <c r="E567" i="13"/>
  <c r="E569" i="13"/>
  <c r="E571" i="13"/>
  <c r="E573" i="13"/>
  <c r="E575" i="13"/>
  <c r="E577" i="13"/>
  <c r="E579" i="13"/>
  <c r="P129" i="12"/>
  <c r="P204" i="12" s="1"/>
  <c r="P243" i="12" s="1"/>
  <c r="P244" i="12" s="1"/>
  <c r="P175" i="12"/>
  <c r="F17" i="13"/>
  <c r="A17" i="13"/>
  <c r="W17" i="12"/>
  <c r="A17" i="12"/>
  <c r="P15" i="12"/>
  <c r="C584" i="13" l="1"/>
  <c r="D580" i="13"/>
  <c r="C591" i="13"/>
  <c r="C590" i="13"/>
  <c r="C589" i="13"/>
  <c r="C580" i="13"/>
  <c r="C586" i="13"/>
  <c r="C595" i="13"/>
  <c r="C592" i="13"/>
  <c r="C588" i="13"/>
  <c r="C587" i="13"/>
  <c r="C593" i="13"/>
  <c r="C585" i="13"/>
  <c r="C581" i="13"/>
  <c r="C582" i="13"/>
  <c r="C594" i="13"/>
  <c r="C576" i="13"/>
  <c r="D576" i="13"/>
  <c r="D573" i="13"/>
  <c r="C572" i="13"/>
  <c r="D572" i="13"/>
  <c r="D578" i="13"/>
  <c r="C578" i="13"/>
  <c r="C579" i="13"/>
  <c r="D579" i="13"/>
  <c r="D570" i="13"/>
  <c r="D562" i="13"/>
  <c r="D561" i="13"/>
  <c r="D569" i="13"/>
  <c r="D566" i="13"/>
  <c r="D565" i="13"/>
  <c r="D563" i="13"/>
  <c r="D567" i="13"/>
  <c r="C574" i="13"/>
  <c r="C566" i="13"/>
  <c r="C570" i="13"/>
  <c r="C558" i="13"/>
  <c r="C554" i="13"/>
  <c r="C550" i="13"/>
  <c r="C568" i="13"/>
  <c r="C563" i="13"/>
  <c r="C571" i="13"/>
  <c r="C573" i="13"/>
  <c r="C569" i="13"/>
  <c r="C562" i="13"/>
  <c r="C549" i="13"/>
  <c r="C560" i="13"/>
  <c r="C567" i="13"/>
  <c r="C551" i="13"/>
  <c r="C565" i="13"/>
  <c r="C557" i="13"/>
  <c r="C553" i="13"/>
  <c r="C577" i="13"/>
  <c r="C559" i="13"/>
  <c r="C561" i="13"/>
  <c r="C575" i="13"/>
  <c r="C548" i="13"/>
  <c r="C547" i="13"/>
  <c r="C546" i="13"/>
  <c r="C545" i="13"/>
  <c r="C552" i="13"/>
  <c r="C564" i="13"/>
  <c r="C555" i="13"/>
  <c r="C556" i="13"/>
  <c r="P205" i="12"/>
  <c r="H17" i="12"/>
  <c r="V17" i="12"/>
  <c r="I17" i="12"/>
  <c r="E17" i="13"/>
  <c r="B17" i="12"/>
  <c r="F537" i="13"/>
  <c r="A537" i="13"/>
  <c r="W537" i="12"/>
  <c r="A537" i="12"/>
  <c r="F507" i="13"/>
  <c r="A507" i="13"/>
  <c r="W507" i="12"/>
  <c r="A507" i="12"/>
  <c r="D507" i="13" l="1"/>
  <c r="H537" i="12"/>
  <c r="V537" i="12"/>
  <c r="I537" i="12"/>
  <c r="E537" i="13"/>
  <c r="B537" i="12"/>
  <c r="C507" i="13"/>
  <c r="H507" i="12"/>
  <c r="V507" i="12"/>
  <c r="I507" i="12"/>
  <c r="E507" i="13"/>
  <c r="B507" i="12"/>
  <c r="F240" i="13"/>
  <c r="A240" i="13"/>
  <c r="X240" i="12"/>
  <c r="D240" i="13" s="1"/>
  <c r="W240" i="12"/>
  <c r="A240" i="12"/>
  <c r="X599" i="12"/>
  <c r="X598" i="12"/>
  <c r="X597" i="12"/>
  <c r="X596" i="12"/>
  <c r="X584" i="12"/>
  <c r="X591" i="12"/>
  <c r="X592" i="12"/>
  <c r="X582" i="12"/>
  <c r="X588" i="12"/>
  <c r="X586" i="12"/>
  <c r="X589" i="12"/>
  <c r="X594" i="12"/>
  <c r="X580" i="12"/>
  <c r="X579" i="12"/>
  <c r="X578" i="12"/>
  <c r="X572" i="12"/>
  <c r="X573" i="12"/>
  <c r="X576" i="12"/>
  <c r="X553" i="12"/>
  <c r="X567" i="12"/>
  <c r="X554" i="12"/>
  <c r="X558" i="12"/>
  <c r="X560" i="12"/>
  <c r="X563" i="12"/>
  <c r="X565" i="12"/>
  <c r="X566" i="12"/>
  <c r="X569" i="12"/>
  <c r="X559" i="12"/>
  <c r="X561" i="12"/>
  <c r="X562" i="12"/>
  <c r="X557" i="12"/>
  <c r="X568" i="12"/>
  <c r="X570" i="12"/>
  <c r="X551" i="12"/>
  <c r="X549" i="12"/>
  <c r="X550" i="12"/>
  <c r="X547" i="12"/>
  <c r="X548" i="12"/>
  <c r="D537" i="13" l="1"/>
  <c r="V240" i="12"/>
  <c r="E240" i="13"/>
  <c r="F181" i="13"/>
  <c r="A181" i="13"/>
  <c r="W181" i="12"/>
  <c r="A181" i="12"/>
  <c r="C599" i="13" l="1"/>
  <c r="D599" i="13"/>
  <c r="C598" i="13"/>
  <c r="D598" i="13"/>
  <c r="C597" i="13"/>
  <c r="D597" i="13"/>
  <c r="D596" i="13"/>
  <c r="C596" i="13"/>
  <c r="C537" i="13"/>
  <c r="C240" i="13"/>
  <c r="H181" i="12"/>
  <c r="V181" i="12"/>
  <c r="I181" i="12"/>
  <c r="E181" i="13"/>
  <c r="B181" i="12"/>
  <c r="F73" i="13"/>
  <c r="A73" i="13"/>
  <c r="W73" i="12"/>
  <c r="A73" i="12"/>
  <c r="F67" i="13"/>
  <c r="A67" i="13"/>
  <c r="W67" i="12"/>
  <c r="A67" i="12"/>
  <c r="F46" i="13"/>
  <c r="A46" i="13"/>
  <c r="W46" i="12"/>
  <c r="A46" i="12"/>
  <c r="F51" i="13"/>
  <c r="A51" i="13"/>
  <c r="W51" i="12"/>
  <c r="A51" i="12"/>
  <c r="H73" i="12" l="1"/>
  <c r="V73" i="12"/>
  <c r="I73" i="12"/>
  <c r="E73" i="13"/>
  <c r="B73" i="12"/>
  <c r="B67" i="12"/>
  <c r="H67" i="12"/>
  <c r="V67" i="12"/>
  <c r="E67" i="13"/>
  <c r="I67" i="12"/>
  <c r="H46" i="12"/>
  <c r="V46" i="12"/>
  <c r="E46" i="13"/>
  <c r="I46" i="12"/>
  <c r="B46" i="12"/>
  <c r="H51" i="12"/>
  <c r="V51" i="12"/>
  <c r="I51" i="12"/>
  <c r="E51" i="13"/>
  <c r="B51" i="12"/>
  <c r="F66" i="13"/>
  <c r="A66" i="13"/>
  <c r="W66" i="12"/>
  <c r="A66" i="12"/>
  <c r="H66" i="12" s="1"/>
  <c r="V66" i="12" l="1"/>
  <c r="I66" i="12"/>
  <c r="E66" i="13"/>
  <c r="B66" i="12"/>
  <c r="F107" i="13" l="1"/>
  <c r="A107" i="13"/>
  <c r="F106" i="13"/>
  <c r="A106" i="13"/>
  <c r="E106" i="13" s="1"/>
  <c r="W107" i="12"/>
  <c r="A107" i="12"/>
  <c r="V107" i="12" s="1"/>
  <c r="X106" i="12"/>
  <c r="W106" i="12"/>
  <c r="A106" i="12"/>
  <c r="F476" i="13"/>
  <c r="A476" i="13"/>
  <c r="W476" i="12"/>
  <c r="A476" i="12"/>
  <c r="F475" i="13"/>
  <c r="A475" i="13"/>
  <c r="W475" i="12"/>
  <c r="A475" i="12"/>
  <c r="F414" i="13"/>
  <c r="A414" i="13"/>
  <c r="X414" i="12"/>
  <c r="W414" i="12"/>
  <c r="A414" i="12"/>
  <c r="F408" i="13"/>
  <c r="A408" i="13"/>
  <c r="E408" i="13" s="1"/>
  <c r="X408" i="12"/>
  <c r="W408" i="12"/>
  <c r="A408" i="12"/>
  <c r="F407" i="13"/>
  <c r="A407" i="13"/>
  <c r="F406" i="13"/>
  <c r="A406" i="13"/>
  <c r="W407" i="12"/>
  <c r="A407" i="12"/>
  <c r="V407" i="12" s="1"/>
  <c r="W406" i="12"/>
  <c r="A406" i="12"/>
  <c r="V406" i="12" s="1"/>
  <c r="F399" i="13"/>
  <c r="A399" i="13"/>
  <c r="X399" i="12"/>
  <c r="W399" i="12"/>
  <c r="A399" i="12"/>
  <c r="F396" i="13"/>
  <c r="A396" i="13"/>
  <c r="X396" i="12"/>
  <c r="D396" i="13" s="1"/>
  <c r="W396" i="12"/>
  <c r="A396" i="12"/>
  <c r="F393" i="13"/>
  <c r="A393" i="13"/>
  <c r="X393" i="12"/>
  <c r="W393" i="12"/>
  <c r="A393" i="12"/>
  <c r="F377" i="13"/>
  <c r="A377" i="13"/>
  <c r="W377" i="12"/>
  <c r="A377" i="12"/>
  <c r="H377" i="12" s="1"/>
  <c r="F368" i="13"/>
  <c r="A368" i="13"/>
  <c r="W368" i="12"/>
  <c r="A368" i="12"/>
  <c r="F253" i="13"/>
  <c r="A253" i="13"/>
  <c r="W253" i="12"/>
  <c r="A253" i="12"/>
  <c r="H253" i="12" s="1"/>
  <c r="F229" i="13"/>
  <c r="A229" i="13"/>
  <c r="X229" i="12"/>
  <c r="W229" i="12"/>
  <c r="A229" i="12"/>
  <c r="C229" i="13" s="1"/>
  <c r="F227" i="13"/>
  <c r="A227" i="13"/>
  <c r="F226" i="13"/>
  <c r="A226" i="13"/>
  <c r="F225" i="13"/>
  <c r="A225" i="13"/>
  <c r="F224" i="13"/>
  <c r="A224" i="13"/>
  <c r="F223" i="13"/>
  <c r="A223" i="13"/>
  <c r="W227" i="12"/>
  <c r="A227" i="12"/>
  <c r="W226" i="12"/>
  <c r="A226" i="12"/>
  <c r="W225" i="12"/>
  <c r="A225" i="12"/>
  <c r="W224" i="12"/>
  <c r="A224" i="12"/>
  <c r="W223" i="12"/>
  <c r="A223" i="12"/>
  <c r="F205" i="13"/>
  <c r="A205" i="13"/>
  <c r="F204" i="13"/>
  <c r="A204" i="13"/>
  <c r="F203" i="13"/>
  <c r="A203" i="13"/>
  <c r="E203" i="13" s="1"/>
  <c r="W205" i="12"/>
  <c r="A205" i="12"/>
  <c r="B205" i="12" s="1"/>
  <c r="W204" i="12"/>
  <c r="A204" i="12"/>
  <c r="B204" i="12" s="1"/>
  <c r="X203" i="12"/>
  <c r="W203" i="12"/>
  <c r="A203" i="12"/>
  <c r="F146" i="13"/>
  <c r="A146" i="13"/>
  <c r="F145" i="13"/>
  <c r="A145" i="13"/>
  <c r="W146" i="12"/>
  <c r="A146" i="12"/>
  <c r="V146" i="12" s="1"/>
  <c r="W145" i="12"/>
  <c r="A145" i="12"/>
  <c r="V145" i="12" s="1"/>
  <c r="F133" i="13"/>
  <c r="A133" i="13"/>
  <c r="F132" i="13"/>
  <c r="A132" i="13"/>
  <c r="F131" i="13"/>
  <c r="A131" i="13"/>
  <c r="F130" i="13"/>
  <c r="A130" i="13"/>
  <c r="F129" i="13"/>
  <c r="A129" i="13"/>
  <c r="F128" i="13"/>
  <c r="A128" i="13"/>
  <c r="W133" i="12"/>
  <c r="A133" i="12"/>
  <c r="V133" i="12" s="1"/>
  <c r="W132" i="12"/>
  <c r="A132" i="12"/>
  <c r="V132" i="12" s="1"/>
  <c r="W131" i="12"/>
  <c r="A131" i="12"/>
  <c r="V131" i="12" s="1"/>
  <c r="X130" i="12"/>
  <c r="W130" i="12"/>
  <c r="A130" i="12"/>
  <c r="W129" i="12"/>
  <c r="A129" i="12"/>
  <c r="V129" i="12" s="1"/>
  <c r="X128" i="12"/>
  <c r="W128" i="12"/>
  <c r="A128" i="12"/>
  <c r="F105" i="13"/>
  <c r="A105" i="13"/>
  <c r="F104" i="13"/>
  <c r="A104" i="13"/>
  <c r="F103" i="13"/>
  <c r="A103" i="13"/>
  <c r="F102" i="13"/>
  <c r="A102" i="13"/>
  <c r="F101" i="13"/>
  <c r="A101" i="13"/>
  <c r="F100" i="13"/>
  <c r="A100" i="13"/>
  <c r="F99" i="13"/>
  <c r="A99" i="13"/>
  <c r="F98" i="13"/>
  <c r="A98" i="13"/>
  <c r="F97" i="13"/>
  <c r="A97" i="13"/>
  <c r="F96" i="13"/>
  <c r="A96" i="13"/>
  <c r="F95" i="13"/>
  <c r="A95" i="13"/>
  <c r="F94" i="13"/>
  <c r="A94" i="13"/>
  <c r="W105" i="12"/>
  <c r="A105" i="12"/>
  <c r="V105" i="12" s="1"/>
  <c r="W104" i="12"/>
  <c r="A104" i="12"/>
  <c r="V104" i="12" s="1"/>
  <c r="W103" i="12"/>
  <c r="A103" i="12"/>
  <c r="H103" i="12" s="1"/>
  <c r="W102" i="12"/>
  <c r="A102" i="12"/>
  <c r="H102" i="12" s="1"/>
  <c r="W101" i="12"/>
  <c r="A101" i="12"/>
  <c r="H101" i="12" s="1"/>
  <c r="W100" i="12"/>
  <c r="A100" i="12"/>
  <c r="H100" i="12" s="1"/>
  <c r="X99" i="12"/>
  <c r="W99" i="12"/>
  <c r="A99" i="12"/>
  <c r="W98" i="12"/>
  <c r="A98" i="12"/>
  <c r="V98" i="12" s="1"/>
  <c r="W97" i="12"/>
  <c r="A97" i="12"/>
  <c r="V97" i="12" s="1"/>
  <c r="W96" i="12"/>
  <c r="A96" i="12"/>
  <c r="V96" i="12" s="1"/>
  <c r="W95" i="12"/>
  <c r="A95" i="12"/>
  <c r="V95" i="12" s="1"/>
  <c r="X94" i="12"/>
  <c r="W94" i="12"/>
  <c r="A94" i="12"/>
  <c r="F78" i="13"/>
  <c r="A78" i="13"/>
  <c r="F77" i="13"/>
  <c r="A77" i="13"/>
  <c r="F76" i="13"/>
  <c r="A76" i="13"/>
  <c r="F75" i="13"/>
  <c r="A75" i="13"/>
  <c r="F74" i="13"/>
  <c r="A74" i="13"/>
  <c r="W78" i="12"/>
  <c r="A78" i="12"/>
  <c r="W77" i="12"/>
  <c r="A77" i="12"/>
  <c r="W76" i="12"/>
  <c r="A76" i="12"/>
  <c r="W75" i="12"/>
  <c r="A75" i="12"/>
  <c r="X74" i="12"/>
  <c r="W74" i="12"/>
  <c r="C74" i="13"/>
  <c r="A74" i="12"/>
  <c r="F72" i="13"/>
  <c r="A72" i="13"/>
  <c r="F71" i="13"/>
  <c r="A71" i="13"/>
  <c r="F70" i="13"/>
  <c r="A70" i="13"/>
  <c r="F69" i="13"/>
  <c r="A69" i="13"/>
  <c r="F68" i="13"/>
  <c r="A68" i="13"/>
  <c r="W72" i="12"/>
  <c r="A72" i="12"/>
  <c r="V72" i="12" s="1"/>
  <c r="W71" i="12"/>
  <c r="A71" i="12"/>
  <c r="V71" i="12" s="1"/>
  <c r="W70" i="12"/>
  <c r="A70" i="12"/>
  <c r="V70" i="12" s="1"/>
  <c r="W69" i="12"/>
  <c r="A69" i="12"/>
  <c r="V69" i="12" s="1"/>
  <c r="X68" i="12"/>
  <c r="W68" i="12"/>
  <c r="A68" i="12"/>
  <c r="F65" i="13"/>
  <c r="A65" i="13"/>
  <c r="F64" i="13"/>
  <c r="A64" i="13"/>
  <c r="F63" i="13"/>
  <c r="A63" i="13"/>
  <c r="F62" i="13"/>
  <c r="A62" i="13"/>
  <c r="F61" i="13"/>
  <c r="A61" i="13"/>
  <c r="F60" i="13"/>
  <c r="A60" i="13"/>
  <c r="F59" i="13"/>
  <c r="A59" i="13"/>
  <c r="F58" i="13"/>
  <c r="A58" i="13"/>
  <c r="W65" i="12"/>
  <c r="A65" i="12"/>
  <c r="V65" i="12" s="1"/>
  <c r="W64" i="12"/>
  <c r="A64" i="12"/>
  <c r="V64" i="12" s="1"/>
  <c r="W63" i="12"/>
  <c r="A63" i="12"/>
  <c r="V63" i="12" s="1"/>
  <c r="W62" i="12"/>
  <c r="A62" i="12"/>
  <c r="V62" i="12" s="1"/>
  <c r="W61" i="12"/>
  <c r="A61" i="12"/>
  <c r="V61" i="12" s="1"/>
  <c r="W60" i="12"/>
  <c r="A60" i="12"/>
  <c r="V60" i="12" s="1"/>
  <c r="W59" i="12"/>
  <c r="A59" i="12"/>
  <c r="V59" i="12" s="1"/>
  <c r="X58" i="12"/>
  <c r="W58" i="12"/>
  <c r="A58" i="12"/>
  <c r="F38" i="13"/>
  <c r="A38" i="13"/>
  <c r="F37" i="13"/>
  <c r="A37" i="13"/>
  <c r="F36" i="13"/>
  <c r="A36" i="13"/>
  <c r="F35" i="13"/>
  <c r="A35" i="13"/>
  <c r="W38" i="12"/>
  <c r="A38" i="12"/>
  <c r="V38" i="12" s="1"/>
  <c r="W37" i="12"/>
  <c r="A37" i="12"/>
  <c r="V37" i="12" s="1"/>
  <c r="W36" i="12"/>
  <c r="A36" i="12"/>
  <c r="V36" i="12" s="1"/>
  <c r="X35" i="12"/>
  <c r="W35" i="12"/>
  <c r="A35" i="12"/>
  <c r="F25" i="13"/>
  <c r="A25" i="13"/>
  <c r="X25" i="12"/>
  <c r="W25" i="12"/>
  <c r="A25" i="12"/>
  <c r="F34" i="13"/>
  <c r="A34" i="13"/>
  <c r="F33" i="13"/>
  <c r="A33" i="13"/>
  <c r="F32" i="13"/>
  <c r="A32" i="13"/>
  <c r="F31" i="13"/>
  <c r="A31" i="13"/>
  <c r="W34" i="12"/>
  <c r="A34" i="12"/>
  <c r="V34" i="12" s="1"/>
  <c r="W33" i="12"/>
  <c r="A33" i="12"/>
  <c r="V33" i="12" s="1"/>
  <c r="W32" i="12"/>
  <c r="A32" i="12"/>
  <c r="V32" i="12" s="1"/>
  <c r="X31" i="12"/>
  <c r="W31" i="12"/>
  <c r="A31" i="12"/>
  <c r="D35" i="13" l="1"/>
  <c r="D74" i="13"/>
  <c r="D130" i="13"/>
  <c r="D25" i="13"/>
  <c r="D393" i="13"/>
  <c r="D414" i="13"/>
  <c r="D58" i="13"/>
  <c r="D203" i="13"/>
  <c r="D399" i="13"/>
  <c r="D229" i="13"/>
  <c r="D408" i="13"/>
  <c r="D106" i="13"/>
  <c r="B107" i="12"/>
  <c r="I107" i="12"/>
  <c r="E107" i="13"/>
  <c r="H107" i="12"/>
  <c r="H98" i="12"/>
  <c r="V100" i="12"/>
  <c r="H96" i="12"/>
  <c r="V102" i="12"/>
  <c r="H476" i="12"/>
  <c r="V476" i="12"/>
  <c r="I476" i="12"/>
  <c r="E476" i="13"/>
  <c r="B476" i="12"/>
  <c r="H475" i="12"/>
  <c r="V475" i="12"/>
  <c r="I475" i="12"/>
  <c r="E475" i="13"/>
  <c r="B475" i="12"/>
  <c r="C414" i="13"/>
  <c r="E414" i="13"/>
  <c r="C408" i="13"/>
  <c r="E406" i="13"/>
  <c r="I406" i="12"/>
  <c r="B406" i="12"/>
  <c r="B407" i="12"/>
  <c r="E407" i="13"/>
  <c r="I407" i="12"/>
  <c r="H406" i="12"/>
  <c r="H407" i="12"/>
  <c r="C399" i="13"/>
  <c r="E399" i="13"/>
  <c r="C396" i="13"/>
  <c r="E396" i="13"/>
  <c r="C393" i="13"/>
  <c r="E393" i="13"/>
  <c r="V377" i="12"/>
  <c r="I377" i="12"/>
  <c r="E377" i="13"/>
  <c r="B377" i="12"/>
  <c r="H368" i="12"/>
  <c r="V368" i="12"/>
  <c r="I368" i="12"/>
  <c r="E368" i="13"/>
  <c r="B368" i="12"/>
  <c r="V253" i="12"/>
  <c r="I253" i="12"/>
  <c r="E253" i="13"/>
  <c r="B253" i="12"/>
  <c r="H97" i="12"/>
  <c r="V101" i="12"/>
  <c r="H95" i="12"/>
  <c r="V103" i="12"/>
  <c r="E229" i="13"/>
  <c r="E226" i="13"/>
  <c r="E205" i="13"/>
  <c r="E224" i="13"/>
  <c r="H223" i="12"/>
  <c r="V223" i="12"/>
  <c r="H224" i="12"/>
  <c r="V224" i="12"/>
  <c r="H225" i="12"/>
  <c r="V225" i="12"/>
  <c r="H226" i="12"/>
  <c r="V226" i="12"/>
  <c r="H227" i="12"/>
  <c r="V227" i="12"/>
  <c r="I223" i="12"/>
  <c r="I224" i="12"/>
  <c r="I225" i="12"/>
  <c r="I226" i="12"/>
  <c r="I227" i="12"/>
  <c r="E223" i="13"/>
  <c r="E225" i="13"/>
  <c r="E227" i="13"/>
  <c r="B223" i="12"/>
  <c r="B224" i="12"/>
  <c r="B225" i="12"/>
  <c r="B226" i="12"/>
  <c r="B227" i="12"/>
  <c r="E204" i="13"/>
  <c r="C203" i="13"/>
  <c r="H204" i="12"/>
  <c r="V204" i="12"/>
  <c r="H205" i="12"/>
  <c r="V205" i="12"/>
  <c r="E145" i="13"/>
  <c r="I204" i="12"/>
  <c r="I205" i="12"/>
  <c r="I146" i="12"/>
  <c r="B145" i="12"/>
  <c r="B146" i="12"/>
  <c r="E146" i="13"/>
  <c r="I145" i="12"/>
  <c r="H145" i="12"/>
  <c r="H146" i="12"/>
  <c r="D128" i="13"/>
  <c r="I129" i="12"/>
  <c r="I132" i="12"/>
  <c r="I133" i="12"/>
  <c r="E128" i="13"/>
  <c r="E130" i="13"/>
  <c r="E132" i="13"/>
  <c r="B129" i="12"/>
  <c r="B131" i="12"/>
  <c r="B132" i="12"/>
  <c r="B133" i="12"/>
  <c r="I131" i="12"/>
  <c r="E129" i="13"/>
  <c r="E131" i="13"/>
  <c r="E133" i="13"/>
  <c r="H129" i="12"/>
  <c r="H131" i="12"/>
  <c r="H132" i="12"/>
  <c r="H133" i="12"/>
  <c r="D99" i="13"/>
  <c r="C99" i="13"/>
  <c r="D94" i="13"/>
  <c r="E95" i="13"/>
  <c r="E103" i="13"/>
  <c r="E99" i="13"/>
  <c r="I95" i="12"/>
  <c r="I98" i="12"/>
  <c r="I100" i="12"/>
  <c r="I102" i="12"/>
  <c r="B105" i="12"/>
  <c r="B95" i="12"/>
  <c r="B96" i="12"/>
  <c r="B97" i="12"/>
  <c r="B98" i="12"/>
  <c r="B100" i="12"/>
  <c r="B101" i="12"/>
  <c r="B102" i="12"/>
  <c r="B103" i="12"/>
  <c r="H104" i="12"/>
  <c r="H105" i="12"/>
  <c r="I96" i="12"/>
  <c r="I97" i="12"/>
  <c r="I101" i="12"/>
  <c r="I103" i="12"/>
  <c r="B104" i="12"/>
  <c r="I104" i="12"/>
  <c r="I105" i="12"/>
  <c r="E97" i="13"/>
  <c r="E101" i="13"/>
  <c r="E105" i="13"/>
  <c r="E94" i="13"/>
  <c r="E96" i="13"/>
  <c r="E98" i="13"/>
  <c r="E100" i="13"/>
  <c r="E102" i="13"/>
  <c r="E104" i="13"/>
  <c r="E75" i="13"/>
  <c r="E77" i="13"/>
  <c r="H75" i="12"/>
  <c r="V75" i="12"/>
  <c r="H76" i="12"/>
  <c r="V76" i="12"/>
  <c r="H77" i="12"/>
  <c r="V77" i="12"/>
  <c r="H78" i="12"/>
  <c r="V78" i="12"/>
  <c r="I75" i="12"/>
  <c r="I76" i="12"/>
  <c r="I77" i="12"/>
  <c r="I78" i="12"/>
  <c r="E74" i="13"/>
  <c r="E76" i="13"/>
  <c r="E78" i="13"/>
  <c r="B75" i="12"/>
  <c r="B76" i="12"/>
  <c r="B77" i="12"/>
  <c r="B78" i="12"/>
  <c r="H32" i="12"/>
  <c r="H33" i="12"/>
  <c r="H34" i="12"/>
  <c r="D68" i="13"/>
  <c r="I69" i="12"/>
  <c r="I70" i="12"/>
  <c r="I71" i="12"/>
  <c r="I72" i="12"/>
  <c r="E68" i="13"/>
  <c r="E70" i="13"/>
  <c r="E72" i="13"/>
  <c r="B69" i="12"/>
  <c r="B70" i="12"/>
  <c r="B71" i="12"/>
  <c r="B72" i="12"/>
  <c r="E69" i="13"/>
  <c r="E71" i="13"/>
  <c r="H69" i="12"/>
  <c r="H70" i="12"/>
  <c r="H71" i="12"/>
  <c r="H72" i="12"/>
  <c r="I59" i="12"/>
  <c r="I60" i="12"/>
  <c r="I61" i="12"/>
  <c r="I62" i="12"/>
  <c r="I63" i="12"/>
  <c r="I64" i="12"/>
  <c r="I65" i="12"/>
  <c r="E58" i="13"/>
  <c r="E60" i="13"/>
  <c r="E62" i="13"/>
  <c r="E64" i="13"/>
  <c r="B59" i="12"/>
  <c r="B60" i="12"/>
  <c r="B61" i="12"/>
  <c r="B62" i="12"/>
  <c r="B63" i="12"/>
  <c r="B64" i="12"/>
  <c r="B65" i="12"/>
  <c r="E59" i="13"/>
  <c r="E61" i="13"/>
  <c r="E63" i="13"/>
  <c r="E65" i="13"/>
  <c r="H59" i="12"/>
  <c r="H60" i="12"/>
  <c r="H61" i="12"/>
  <c r="H62" i="12"/>
  <c r="H63" i="12"/>
  <c r="H64" i="12"/>
  <c r="H65" i="12"/>
  <c r="I36" i="12"/>
  <c r="I37" i="12"/>
  <c r="I38" i="12"/>
  <c r="E35" i="13"/>
  <c r="E37" i="13"/>
  <c r="B36" i="12"/>
  <c r="B37" i="12"/>
  <c r="B38" i="12"/>
  <c r="E36" i="13"/>
  <c r="E38" i="13"/>
  <c r="H36" i="12"/>
  <c r="H37" i="12"/>
  <c r="H38" i="12"/>
  <c r="E25" i="13"/>
  <c r="D31" i="13"/>
  <c r="I32" i="12"/>
  <c r="I33" i="12"/>
  <c r="I34" i="12"/>
  <c r="E31" i="13"/>
  <c r="E33" i="13"/>
  <c r="B32" i="12"/>
  <c r="B33" i="12"/>
  <c r="B34" i="12"/>
  <c r="C31" i="13"/>
  <c r="E32" i="13"/>
  <c r="E34" i="13"/>
  <c r="F23" i="13"/>
  <c r="A23" i="13"/>
  <c r="W23" i="12"/>
  <c r="A23" i="12"/>
  <c r="F18" i="13"/>
  <c r="A18" i="13"/>
  <c r="W18" i="12"/>
  <c r="A18" i="12"/>
  <c r="V18" i="12" s="1"/>
  <c r="C106" i="13" l="1"/>
  <c r="C130" i="13"/>
  <c r="C128" i="13"/>
  <c r="C94" i="13"/>
  <c r="C68" i="13"/>
  <c r="C58" i="13"/>
  <c r="C35" i="13"/>
  <c r="C25" i="13"/>
  <c r="H18" i="12"/>
  <c r="H23" i="12"/>
  <c r="V23" i="12"/>
  <c r="I23" i="12"/>
  <c r="E23" i="13"/>
  <c r="B23" i="12"/>
  <c r="C18" i="13"/>
  <c r="D18" i="13"/>
  <c r="I18" i="12"/>
  <c r="E18" i="13"/>
  <c r="B18" i="12"/>
  <c r="P111" i="12" l="1"/>
  <c r="F491" i="13" l="1"/>
  <c r="A491" i="13"/>
  <c r="X491" i="12"/>
  <c r="D491" i="13" s="1"/>
  <c r="W491" i="12"/>
  <c r="A491" i="12"/>
  <c r="F601" i="13"/>
  <c r="A601" i="13"/>
  <c r="F600" i="13"/>
  <c r="A600" i="13"/>
  <c r="F544" i="13"/>
  <c r="A544" i="13"/>
  <c r="F543" i="13"/>
  <c r="A543" i="13"/>
  <c r="F542" i="13"/>
  <c r="A542" i="13"/>
  <c r="F541" i="13"/>
  <c r="A541" i="13"/>
  <c r="F540" i="13"/>
  <c r="A540" i="13"/>
  <c r="F539" i="13"/>
  <c r="A539" i="13"/>
  <c r="F538" i="13"/>
  <c r="A538" i="13"/>
  <c r="F536" i="13"/>
  <c r="A536" i="13"/>
  <c r="F535" i="13"/>
  <c r="A535" i="13"/>
  <c r="F534" i="13"/>
  <c r="A534" i="13"/>
  <c r="F533" i="13"/>
  <c r="A533" i="13"/>
  <c r="F532" i="13"/>
  <c r="A532" i="13"/>
  <c r="F531" i="13"/>
  <c r="A531" i="13"/>
  <c r="F530" i="13"/>
  <c r="A530" i="13"/>
  <c r="F529" i="13"/>
  <c r="A529" i="13"/>
  <c r="F528" i="13"/>
  <c r="A528" i="13"/>
  <c r="F527" i="13"/>
  <c r="A527" i="13"/>
  <c r="F526" i="13"/>
  <c r="A526" i="13"/>
  <c r="F525" i="13"/>
  <c r="A525" i="13"/>
  <c r="F524" i="13"/>
  <c r="A524" i="13"/>
  <c r="F523" i="13"/>
  <c r="A523" i="13"/>
  <c r="F522" i="13"/>
  <c r="A522" i="13"/>
  <c r="F521" i="13"/>
  <c r="A521" i="13"/>
  <c r="F520" i="13"/>
  <c r="A520" i="13"/>
  <c r="F519" i="13"/>
  <c r="A519" i="13"/>
  <c r="F518" i="13"/>
  <c r="A518" i="13"/>
  <c r="F517" i="13"/>
  <c r="A517" i="13"/>
  <c r="F516" i="13"/>
  <c r="A516" i="13"/>
  <c r="F515" i="13"/>
  <c r="A515" i="13"/>
  <c r="F514" i="13"/>
  <c r="A514" i="13"/>
  <c r="F513" i="13"/>
  <c r="A513" i="13"/>
  <c r="F512" i="13"/>
  <c r="A512" i="13"/>
  <c r="F511" i="13"/>
  <c r="A511" i="13"/>
  <c r="F510" i="13"/>
  <c r="A510" i="13"/>
  <c r="F509" i="13"/>
  <c r="A509" i="13"/>
  <c r="F508" i="13"/>
  <c r="A508" i="13"/>
  <c r="F506" i="13"/>
  <c r="A506" i="13"/>
  <c r="F505" i="13"/>
  <c r="A505" i="13"/>
  <c r="F504" i="13"/>
  <c r="A504" i="13"/>
  <c r="F503" i="13"/>
  <c r="A503" i="13"/>
  <c r="F502" i="13"/>
  <c r="A502" i="13"/>
  <c r="F501" i="13"/>
  <c r="A501" i="13"/>
  <c r="F500" i="13"/>
  <c r="A500" i="13"/>
  <c r="F499" i="13"/>
  <c r="A499" i="13"/>
  <c r="F498" i="13"/>
  <c r="A498" i="13"/>
  <c r="F497" i="13"/>
  <c r="A497" i="13"/>
  <c r="F496" i="13"/>
  <c r="A496" i="13"/>
  <c r="F495" i="13"/>
  <c r="A495" i="13"/>
  <c r="F494" i="13"/>
  <c r="A494" i="13"/>
  <c r="F493" i="13"/>
  <c r="A493" i="13"/>
  <c r="F492" i="13"/>
  <c r="A492" i="13"/>
  <c r="F490" i="13"/>
  <c r="A490" i="13"/>
  <c r="F489" i="13"/>
  <c r="A489" i="13"/>
  <c r="W601" i="12"/>
  <c r="A601" i="12"/>
  <c r="V601" i="12" s="1"/>
  <c r="W600" i="12"/>
  <c r="A600" i="12"/>
  <c r="W544" i="12"/>
  <c r="A544" i="12"/>
  <c r="W543" i="12"/>
  <c r="A543" i="12"/>
  <c r="V543" i="12" s="1"/>
  <c r="W542" i="12"/>
  <c r="A542" i="12"/>
  <c r="V542" i="12" s="1"/>
  <c r="W541" i="12"/>
  <c r="A541" i="12"/>
  <c r="V541" i="12" s="1"/>
  <c r="W540" i="12"/>
  <c r="A540" i="12"/>
  <c r="V540" i="12" s="1"/>
  <c r="W539" i="12"/>
  <c r="A539" i="12"/>
  <c r="B539" i="12" s="1"/>
  <c r="W538" i="12"/>
  <c r="A538" i="12"/>
  <c r="V538" i="12" s="1"/>
  <c r="W536" i="12"/>
  <c r="A536" i="12"/>
  <c r="V536" i="12" s="1"/>
  <c r="X535" i="12"/>
  <c r="D535" i="13" s="1"/>
  <c r="W535" i="12"/>
  <c r="A535" i="12"/>
  <c r="W534" i="12"/>
  <c r="A534" i="12"/>
  <c r="V534" i="12" s="1"/>
  <c r="W533" i="12"/>
  <c r="A533" i="12"/>
  <c r="B533" i="12" s="1"/>
  <c r="W532" i="12"/>
  <c r="A532" i="12"/>
  <c r="V532" i="12" s="1"/>
  <c r="W531" i="12"/>
  <c r="A531" i="12"/>
  <c r="V531" i="12" s="1"/>
  <c r="W530" i="12"/>
  <c r="A530" i="12"/>
  <c r="V530" i="12" s="1"/>
  <c r="W529" i="12"/>
  <c r="A529" i="12"/>
  <c r="B529" i="12" s="1"/>
  <c r="W528" i="12"/>
  <c r="A528" i="12"/>
  <c r="V528" i="12" s="1"/>
  <c r="W527" i="12"/>
  <c r="A527" i="12"/>
  <c r="V527" i="12" s="1"/>
  <c r="W526" i="12"/>
  <c r="A526" i="12"/>
  <c r="V526" i="12" s="1"/>
  <c r="W525" i="12"/>
  <c r="A525" i="12"/>
  <c r="B525" i="12" s="1"/>
  <c r="W524" i="12"/>
  <c r="A524" i="12"/>
  <c r="V524" i="12" s="1"/>
  <c r="W523" i="12"/>
  <c r="A523" i="12"/>
  <c r="V523" i="12" s="1"/>
  <c r="W522" i="12"/>
  <c r="A522" i="12"/>
  <c r="V522" i="12" s="1"/>
  <c r="W521" i="12"/>
  <c r="A521" i="12"/>
  <c r="B521" i="12" s="1"/>
  <c r="W520" i="12"/>
  <c r="A520" i="12"/>
  <c r="V520" i="12" s="1"/>
  <c r="X519" i="12"/>
  <c r="D519" i="13" s="1"/>
  <c r="W519" i="12"/>
  <c r="A519" i="12"/>
  <c r="W518" i="12"/>
  <c r="A518" i="12"/>
  <c r="V518" i="12" s="1"/>
  <c r="W517" i="12"/>
  <c r="A517" i="12"/>
  <c r="V517" i="12" s="1"/>
  <c r="X516" i="12"/>
  <c r="W516" i="12"/>
  <c r="A516" i="12"/>
  <c r="W515" i="12"/>
  <c r="A515" i="12"/>
  <c r="V515" i="12" s="1"/>
  <c r="W514" i="12"/>
  <c r="A514" i="12"/>
  <c r="V514" i="12" s="1"/>
  <c r="X513" i="12"/>
  <c r="W513" i="12"/>
  <c r="A513" i="12"/>
  <c r="W512" i="12"/>
  <c r="A512" i="12"/>
  <c r="B512" i="12" s="1"/>
  <c r="W511" i="12"/>
  <c r="A511" i="12"/>
  <c r="V511" i="12" s="1"/>
  <c r="W510" i="12"/>
  <c r="A510" i="12"/>
  <c r="V510" i="12" s="1"/>
  <c r="W509" i="12"/>
  <c r="A509" i="12"/>
  <c r="V509" i="12" s="1"/>
  <c r="W508" i="12"/>
  <c r="A508" i="12"/>
  <c r="B508" i="12" s="1"/>
  <c r="X506" i="12"/>
  <c r="W506" i="12"/>
  <c r="A506" i="12"/>
  <c r="W505" i="12"/>
  <c r="A505" i="12"/>
  <c r="B505" i="12" s="1"/>
  <c r="W504" i="12"/>
  <c r="A504" i="12"/>
  <c r="V504" i="12" s="1"/>
  <c r="W503" i="12"/>
  <c r="A503" i="12"/>
  <c r="V503" i="12" s="1"/>
  <c r="X502" i="12"/>
  <c r="W502" i="12"/>
  <c r="A502" i="12"/>
  <c r="W501" i="12"/>
  <c r="A501" i="12"/>
  <c r="V501" i="12" s="1"/>
  <c r="W500" i="12"/>
  <c r="A500" i="12"/>
  <c r="V500" i="12" s="1"/>
  <c r="X499" i="12"/>
  <c r="W499" i="12"/>
  <c r="A499" i="12"/>
  <c r="W498" i="12"/>
  <c r="A498" i="12"/>
  <c r="V498" i="12" s="1"/>
  <c r="W497" i="12"/>
  <c r="A497" i="12"/>
  <c r="B497" i="12" s="1"/>
  <c r="W496" i="12"/>
  <c r="A496" i="12"/>
  <c r="V496" i="12" s="1"/>
  <c r="W495" i="12"/>
  <c r="A495" i="12"/>
  <c r="V495" i="12" s="1"/>
  <c r="W494" i="12"/>
  <c r="A494" i="12"/>
  <c r="V494" i="12" s="1"/>
  <c r="W493" i="12"/>
  <c r="A493" i="12"/>
  <c r="B493" i="12" s="1"/>
  <c r="W492" i="12"/>
  <c r="A492" i="12"/>
  <c r="V492" i="12" s="1"/>
  <c r="X490" i="12"/>
  <c r="D490" i="13" s="1"/>
  <c r="W490" i="12"/>
  <c r="A490" i="12"/>
  <c r="W489" i="12"/>
  <c r="A489" i="12"/>
  <c r="H489" i="12" s="1"/>
  <c r="F483" i="13"/>
  <c r="A483" i="13"/>
  <c r="F482" i="13"/>
  <c r="A482" i="13"/>
  <c r="F481" i="13"/>
  <c r="A481" i="13"/>
  <c r="F480" i="13"/>
  <c r="A480" i="13"/>
  <c r="F479" i="13"/>
  <c r="A479" i="13"/>
  <c r="F478" i="13"/>
  <c r="A478" i="13"/>
  <c r="F477" i="13"/>
  <c r="A477" i="13"/>
  <c r="F474" i="13"/>
  <c r="A474" i="13"/>
  <c r="F473" i="13"/>
  <c r="A473" i="13"/>
  <c r="F472" i="13"/>
  <c r="A472" i="13"/>
  <c r="F471" i="13"/>
  <c r="A471" i="13"/>
  <c r="F470" i="13"/>
  <c r="A470" i="13"/>
  <c r="F469" i="13"/>
  <c r="A469" i="13"/>
  <c r="F468" i="13"/>
  <c r="A468" i="13"/>
  <c r="F467" i="13"/>
  <c r="A467" i="13"/>
  <c r="F466" i="13"/>
  <c r="A466" i="13"/>
  <c r="F465" i="13"/>
  <c r="A465" i="13"/>
  <c r="F464" i="13"/>
  <c r="A464" i="13"/>
  <c r="F463" i="13"/>
  <c r="A463" i="13"/>
  <c r="F462" i="13"/>
  <c r="A462" i="13"/>
  <c r="F461" i="13"/>
  <c r="A461" i="13"/>
  <c r="F460" i="13"/>
  <c r="A460" i="13"/>
  <c r="F459" i="13"/>
  <c r="A459" i="13"/>
  <c r="F458" i="13"/>
  <c r="A458" i="13"/>
  <c r="F457" i="13"/>
  <c r="A457" i="13"/>
  <c r="F456" i="13"/>
  <c r="A456" i="13"/>
  <c r="F455" i="13"/>
  <c r="A455" i="13"/>
  <c r="F454" i="13"/>
  <c r="A454" i="13"/>
  <c r="F453" i="13"/>
  <c r="A453" i="13"/>
  <c r="F452" i="13"/>
  <c r="A452" i="13"/>
  <c r="F451" i="13"/>
  <c r="A451" i="13"/>
  <c r="F450" i="13"/>
  <c r="A450" i="13"/>
  <c r="F449" i="13"/>
  <c r="A449" i="13"/>
  <c r="F448" i="13"/>
  <c r="A448" i="13"/>
  <c r="F447" i="13"/>
  <c r="A447" i="13"/>
  <c r="F446" i="13"/>
  <c r="A446" i="13"/>
  <c r="F445" i="13"/>
  <c r="A445" i="13"/>
  <c r="F444" i="13"/>
  <c r="A444" i="13"/>
  <c r="F443" i="13"/>
  <c r="A443" i="13"/>
  <c r="F442" i="13"/>
  <c r="A442" i="13"/>
  <c r="F441" i="13"/>
  <c r="A441" i="13"/>
  <c r="F440" i="13"/>
  <c r="A440" i="13"/>
  <c r="F439" i="13"/>
  <c r="A439" i="13"/>
  <c r="F438" i="13"/>
  <c r="A438" i="13"/>
  <c r="F437" i="13"/>
  <c r="A437" i="13"/>
  <c r="F436" i="13"/>
  <c r="A436" i="13"/>
  <c r="F435" i="13"/>
  <c r="A435" i="13"/>
  <c r="F434" i="13"/>
  <c r="A434" i="13"/>
  <c r="F433" i="13"/>
  <c r="A433" i="13"/>
  <c r="F432" i="13"/>
  <c r="A432" i="13"/>
  <c r="F431" i="13"/>
  <c r="A431" i="13"/>
  <c r="F430" i="13"/>
  <c r="A430" i="13"/>
  <c r="F429" i="13"/>
  <c r="A429" i="13"/>
  <c r="F428" i="13"/>
  <c r="A428" i="13"/>
  <c r="F427" i="13"/>
  <c r="A427" i="13"/>
  <c r="F426" i="13"/>
  <c r="A426" i="13"/>
  <c r="F425" i="13"/>
  <c r="A425" i="13"/>
  <c r="F424" i="13"/>
  <c r="A424" i="13"/>
  <c r="F423" i="13"/>
  <c r="A423" i="13"/>
  <c r="F422" i="13"/>
  <c r="A422" i="13"/>
  <c r="F421" i="13"/>
  <c r="A421" i="13"/>
  <c r="F420" i="13"/>
  <c r="A420" i="13"/>
  <c r="F419" i="13"/>
  <c r="A419" i="13"/>
  <c r="F418" i="13"/>
  <c r="A418" i="13"/>
  <c r="F417" i="13"/>
  <c r="A417" i="13"/>
  <c r="F416" i="13"/>
  <c r="A416" i="13"/>
  <c r="F415" i="13"/>
  <c r="A415" i="13"/>
  <c r="F413" i="13"/>
  <c r="A413" i="13"/>
  <c r="F412" i="13"/>
  <c r="A412" i="13"/>
  <c r="F411" i="13"/>
  <c r="A411" i="13"/>
  <c r="F410" i="13"/>
  <c r="A410" i="13"/>
  <c r="F409" i="13"/>
  <c r="A409" i="13"/>
  <c r="F405" i="13"/>
  <c r="A405" i="13"/>
  <c r="F404" i="13"/>
  <c r="A404" i="13"/>
  <c r="F403" i="13"/>
  <c r="A403" i="13"/>
  <c r="F402" i="13"/>
  <c r="A402" i="13"/>
  <c r="F401" i="13"/>
  <c r="A401" i="13"/>
  <c r="F400" i="13"/>
  <c r="A400" i="13"/>
  <c r="F398" i="13"/>
  <c r="A398" i="13"/>
  <c r="F397" i="13"/>
  <c r="A397" i="13"/>
  <c r="F395" i="13"/>
  <c r="A395" i="13"/>
  <c r="F394" i="13"/>
  <c r="A394" i="13"/>
  <c r="W483" i="12"/>
  <c r="A483" i="12"/>
  <c r="I483" i="12" s="1"/>
  <c r="W482" i="12"/>
  <c r="A482" i="12"/>
  <c r="B482" i="12" s="1"/>
  <c r="W481" i="12"/>
  <c r="A481" i="12"/>
  <c r="W480" i="12"/>
  <c r="A480" i="12"/>
  <c r="I480" i="12" s="1"/>
  <c r="X479" i="12"/>
  <c r="W479" i="12"/>
  <c r="A479" i="12"/>
  <c r="X478" i="12"/>
  <c r="W478" i="12"/>
  <c r="A478" i="12"/>
  <c r="W477" i="12"/>
  <c r="A477" i="12"/>
  <c r="I477" i="12" s="1"/>
  <c r="W474" i="12"/>
  <c r="A474" i="12"/>
  <c r="W473" i="12"/>
  <c r="A473" i="12"/>
  <c r="B473" i="12" s="1"/>
  <c r="W472" i="12"/>
  <c r="A472" i="12"/>
  <c r="I472" i="12" s="1"/>
  <c r="W471" i="12"/>
  <c r="A471" i="12"/>
  <c r="B471" i="12" s="1"/>
  <c r="W470" i="12"/>
  <c r="A470" i="12"/>
  <c r="V470" i="12" s="1"/>
  <c r="W469" i="12"/>
  <c r="A469" i="12"/>
  <c r="B469" i="12" s="1"/>
  <c r="W468" i="12"/>
  <c r="A468" i="12"/>
  <c r="B468" i="12" s="1"/>
  <c r="W467" i="12"/>
  <c r="A467" i="12"/>
  <c r="B467" i="12" s="1"/>
  <c r="W466" i="12"/>
  <c r="A466" i="12"/>
  <c r="B466" i="12" s="1"/>
  <c r="W465" i="12"/>
  <c r="A465" i="12"/>
  <c r="B465" i="12" s="1"/>
  <c r="W464" i="12"/>
  <c r="A464" i="12"/>
  <c r="B464" i="12" s="1"/>
  <c r="X463" i="12"/>
  <c r="W463" i="12"/>
  <c r="A463" i="12"/>
  <c r="W462" i="12"/>
  <c r="A462" i="12"/>
  <c r="I462" i="12" s="1"/>
  <c r="W461" i="12"/>
  <c r="A461" i="12"/>
  <c r="I461" i="12" s="1"/>
  <c r="X460" i="12"/>
  <c r="W460" i="12"/>
  <c r="A460" i="12"/>
  <c r="W459" i="12"/>
  <c r="A459" i="12"/>
  <c r="W458" i="12"/>
  <c r="A458" i="12"/>
  <c r="I458" i="12" s="1"/>
  <c r="W457" i="12"/>
  <c r="A457" i="12"/>
  <c r="I457" i="12" s="1"/>
  <c r="W456" i="12"/>
  <c r="A456" i="12"/>
  <c r="W455" i="12"/>
  <c r="A455" i="12"/>
  <c r="I455" i="12" s="1"/>
  <c r="W454" i="12"/>
  <c r="A454" i="12"/>
  <c r="B454" i="12" s="1"/>
  <c r="W453" i="12"/>
  <c r="A453" i="12"/>
  <c r="V453" i="12" s="1"/>
  <c r="W452" i="12"/>
  <c r="A452" i="12"/>
  <c r="W451" i="12"/>
  <c r="A451" i="12"/>
  <c r="I451" i="12" s="1"/>
  <c r="X450" i="12"/>
  <c r="W450" i="12"/>
  <c r="A450" i="12"/>
  <c r="W449" i="12"/>
  <c r="A449" i="12"/>
  <c r="V449" i="12" s="1"/>
  <c r="W448" i="12"/>
  <c r="A448" i="12"/>
  <c r="W447" i="12"/>
  <c r="A447" i="12"/>
  <c r="V447" i="12" s="1"/>
  <c r="W446" i="12"/>
  <c r="A446" i="12"/>
  <c r="B446" i="12" s="1"/>
  <c r="W445" i="12"/>
  <c r="A445" i="12"/>
  <c r="V445" i="12" s="1"/>
  <c r="W444" i="12"/>
  <c r="A444" i="12"/>
  <c r="W443" i="12"/>
  <c r="A443" i="12"/>
  <c r="V443" i="12" s="1"/>
  <c r="W442" i="12"/>
  <c r="A442" i="12"/>
  <c r="B442" i="12" s="1"/>
  <c r="W441" i="12"/>
  <c r="A441" i="12"/>
  <c r="V441" i="12" s="1"/>
  <c r="X440" i="12"/>
  <c r="W440" i="12"/>
  <c r="A440" i="12"/>
  <c r="W439" i="12"/>
  <c r="A439" i="12"/>
  <c r="V439" i="12" s="1"/>
  <c r="W438" i="12"/>
  <c r="A438" i="12"/>
  <c r="B438" i="12" s="1"/>
  <c r="W437" i="12"/>
  <c r="A437" i="12"/>
  <c r="V437" i="12" s="1"/>
  <c r="W436" i="12"/>
  <c r="A436" i="12"/>
  <c r="W435" i="12"/>
  <c r="A435" i="12"/>
  <c r="V435" i="12" s="1"/>
  <c r="W434" i="12"/>
  <c r="A434" i="12"/>
  <c r="I434" i="12" s="1"/>
  <c r="W433" i="12"/>
  <c r="A433" i="12"/>
  <c r="V433" i="12" s="1"/>
  <c r="W432" i="12"/>
  <c r="A432" i="12"/>
  <c r="H432" i="12" s="1"/>
  <c r="W431" i="12"/>
  <c r="A431" i="12"/>
  <c r="V431" i="12" s="1"/>
  <c r="W430" i="12"/>
  <c r="A430" i="12"/>
  <c r="V430" i="12" s="1"/>
  <c r="W429" i="12"/>
  <c r="A429" i="12"/>
  <c r="V429" i="12" s="1"/>
  <c r="W428" i="12"/>
  <c r="A428" i="12"/>
  <c r="H428" i="12" s="1"/>
  <c r="W427" i="12"/>
  <c r="A427" i="12"/>
  <c r="V427" i="12" s="1"/>
  <c r="W426" i="12"/>
  <c r="A426" i="12"/>
  <c r="V426" i="12" s="1"/>
  <c r="W425" i="12"/>
  <c r="A425" i="12"/>
  <c r="V425" i="12" s="1"/>
  <c r="X424" i="12"/>
  <c r="W424" i="12"/>
  <c r="A424" i="12"/>
  <c r="W423" i="12"/>
  <c r="A423" i="12"/>
  <c r="V423" i="12" s="1"/>
  <c r="W422" i="12"/>
  <c r="A422" i="12"/>
  <c r="V422" i="12" s="1"/>
  <c r="W421" i="12"/>
  <c r="A421" i="12"/>
  <c r="V421" i="12" s="1"/>
  <c r="W420" i="12"/>
  <c r="A420" i="12"/>
  <c r="H420" i="12" s="1"/>
  <c r="X419" i="12"/>
  <c r="W419" i="12"/>
  <c r="A419" i="12"/>
  <c r="X418" i="12"/>
  <c r="W418" i="12"/>
  <c r="A418" i="12"/>
  <c r="W417" i="12"/>
  <c r="A417" i="12"/>
  <c r="V417" i="12" s="1"/>
  <c r="W416" i="12"/>
  <c r="A416" i="12"/>
  <c r="V416" i="12" s="1"/>
  <c r="W415" i="12"/>
  <c r="A415" i="12"/>
  <c r="V415" i="12" s="1"/>
  <c r="W413" i="12"/>
  <c r="A413" i="12"/>
  <c r="V413" i="12" s="1"/>
  <c r="W412" i="12"/>
  <c r="A412" i="12"/>
  <c r="V412" i="12" s="1"/>
  <c r="W411" i="12"/>
  <c r="A411" i="12"/>
  <c r="V411" i="12" s="1"/>
  <c r="W410" i="12"/>
  <c r="A410" i="12"/>
  <c r="V410" i="12" s="1"/>
  <c r="W409" i="12"/>
  <c r="A409" i="12"/>
  <c r="V409" i="12" s="1"/>
  <c r="W405" i="12"/>
  <c r="A405" i="12"/>
  <c r="V405" i="12" s="1"/>
  <c r="W404" i="12"/>
  <c r="A404" i="12"/>
  <c r="V404" i="12" s="1"/>
  <c r="W403" i="12"/>
  <c r="A403" i="12"/>
  <c r="V403" i="12" s="1"/>
  <c r="W402" i="12"/>
  <c r="A402" i="12"/>
  <c r="V402" i="12" s="1"/>
  <c r="W401" i="12"/>
  <c r="A401" i="12"/>
  <c r="V401" i="12" s="1"/>
  <c r="W400" i="12"/>
  <c r="A400" i="12"/>
  <c r="V400" i="12" s="1"/>
  <c r="W398" i="12"/>
  <c r="A398" i="12"/>
  <c r="V398" i="12" s="1"/>
  <c r="W397" i="12"/>
  <c r="A397" i="12"/>
  <c r="V397" i="12" s="1"/>
  <c r="W395" i="12"/>
  <c r="A395" i="12"/>
  <c r="V395" i="12" s="1"/>
  <c r="W394" i="12"/>
  <c r="A394" i="12"/>
  <c r="V394" i="12" s="1"/>
  <c r="F484" i="13"/>
  <c r="A484" i="13"/>
  <c r="F392" i="13"/>
  <c r="A392" i="13"/>
  <c r="F391" i="13"/>
  <c r="A391" i="13"/>
  <c r="F390" i="13"/>
  <c r="A390" i="13"/>
  <c r="F389" i="13"/>
  <c r="A389" i="13"/>
  <c r="F388" i="13"/>
  <c r="A388" i="13"/>
  <c r="F387" i="13"/>
  <c r="A387" i="13"/>
  <c r="F386" i="13"/>
  <c r="A386" i="13"/>
  <c r="F385" i="13"/>
  <c r="A385" i="13"/>
  <c r="F384" i="13"/>
  <c r="A384" i="13"/>
  <c r="F383" i="13"/>
  <c r="A383" i="13"/>
  <c r="F382" i="13"/>
  <c r="A382" i="13"/>
  <c r="F381" i="13"/>
  <c r="A381" i="13"/>
  <c r="F380" i="13"/>
  <c r="A380" i="13"/>
  <c r="F379" i="13"/>
  <c r="A379" i="13"/>
  <c r="F378" i="13"/>
  <c r="A378" i="13"/>
  <c r="F376" i="13"/>
  <c r="A376" i="13"/>
  <c r="F375" i="13"/>
  <c r="A375" i="13"/>
  <c r="F374" i="13"/>
  <c r="A374" i="13"/>
  <c r="F373" i="13"/>
  <c r="A373" i="13"/>
  <c r="F372" i="13"/>
  <c r="A372" i="13"/>
  <c r="F371" i="13"/>
  <c r="A371" i="13"/>
  <c r="F370" i="13"/>
  <c r="A370" i="13"/>
  <c r="F369" i="13"/>
  <c r="A369" i="13"/>
  <c r="F367" i="13"/>
  <c r="A367" i="13"/>
  <c r="F366" i="13"/>
  <c r="A366" i="13"/>
  <c r="F365" i="13"/>
  <c r="A365" i="13"/>
  <c r="F364" i="13"/>
  <c r="A364" i="13"/>
  <c r="F363" i="13"/>
  <c r="A363" i="13"/>
  <c r="F362" i="13"/>
  <c r="A362" i="13"/>
  <c r="F361" i="13"/>
  <c r="A361" i="13"/>
  <c r="F360" i="13"/>
  <c r="A360" i="13"/>
  <c r="F359" i="13"/>
  <c r="A359" i="13"/>
  <c r="F358" i="13"/>
  <c r="A358" i="13"/>
  <c r="F357" i="13"/>
  <c r="A357" i="13"/>
  <c r="F356" i="13"/>
  <c r="A356" i="13"/>
  <c r="F355" i="13"/>
  <c r="A355" i="13"/>
  <c r="F354" i="13"/>
  <c r="A354" i="13"/>
  <c r="F353" i="13"/>
  <c r="A353" i="13"/>
  <c r="F352" i="13"/>
  <c r="A352" i="13"/>
  <c r="F351" i="13"/>
  <c r="A351" i="13"/>
  <c r="F350" i="13"/>
  <c r="A350" i="13"/>
  <c r="F349" i="13"/>
  <c r="A349" i="13"/>
  <c r="F348" i="13"/>
  <c r="A348" i="13"/>
  <c r="F347" i="13"/>
  <c r="A347" i="13"/>
  <c r="F346" i="13"/>
  <c r="A346" i="13"/>
  <c r="F345" i="13"/>
  <c r="A345" i="13"/>
  <c r="F344" i="13"/>
  <c r="A344" i="13"/>
  <c r="F343" i="13"/>
  <c r="A343" i="13"/>
  <c r="F342" i="13"/>
  <c r="A342" i="13"/>
  <c r="F341" i="13"/>
  <c r="A341" i="13"/>
  <c r="F340" i="13"/>
  <c r="A340" i="13"/>
  <c r="F339" i="13"/>
  <c r="A339" i="13"/>
  <c r="F338" i="13"/>
  <c r="A338" i="13"/>
  <c r="F337" i="13"/>
  <c r="A337" i="13"/>
  <c r="F336" i="13"/>
  <c r="A336" i="13"/>
  <c r="F335" i="13"/>
  <c r="A335" i="13"/>
  <c r="F334" i="13"/>
  <c r="A334" i="13"/>
  <c r="F333" i="13"/>
  <c r="A333" i="13"/>
  <c r="F332" i="13"/>
  <c r="A332" i="13"/>
  <c r="F331" i="13"/>
  <c r="A331" i="13"/>
  <c r="F330" i="13"/>
  <c r="A330" i="13"/>
  <c r="F329" i="13"/>
  <c r="A329" i="13"/>
  <c r="F328" i="13"/>
  <c r="A328" i="13"/>
  <c r="F327" i="13"/>
  <c r="A327" i="13"/>
  <c r="F326" i="13"/>
  <c r="A326" i="13"/>
  <c r="F325" i="13"/>
  <c r="A325" i="13"/>
  <c r="F324" i="13"/>
  <c r="A324" i="13"/>
  <c r="F323" i="13"/>
  <c r="A323" i="13"/>
  <c r="F322" i="13"/>
  <c r="A322" i="13"/>
  <c r="F321" i="13"/>
  <c r="A321" i="13"/>
  <c r="F320" i="13"/>
  <c r="A320" i="13"/>
  <c r="F319" i="13"/>
  <c r="A319" i="13"/>
  <c r="F318" i="13"/>
  <c r="A318" i="13"/>
  <c r="F317" i="13"/>
  <c r="A317" i="13"/>
  <c r="F316" i="13"/>
  <c r="A316" i="13"/>
  <c r="F315" i="13"/>
  <c r="A315" i="13"/>
  <c r="F314" i="13"/>
  <c r="A314" i="13"/>
  <c r="F313" i="13"/>
  <c r="A313" i="13"/>
  <c r="W484" i="12"/>
  <c r="A484" i="12"/>
  <c r="V484" i="12" s="1"/>
  <c r="X392" i="12"/>
  <c r="W392" i="12"/>
  <c r="A392" i="12"/>
  <c r="W391" i="12"/>
  <c r="A391" i="12"/>
  <c r="V391" i="12" s="1"/>
  <c r="W390" i="12"/>
  <c r="A390" i="12"/>
  <c r="V390" i="12" s="1"/>
  <c r="W389" i="12"/>
  <c r="A389" i="12"/>
  <c r="V389" i="12" s="1"/>
  <c r="W388" i="12"/>
  <c r="A388" i="12"/>
  <c r="V388" i="12" s="1"/>
  <c r="W387" i="12"/>
  <c r="A387" i="12"/>
  <c r="V387" i="12" s="1"/>
  <c r="W386" i="12"/>
  <c r="A386" i="12"/>
  <c r="V386" i="12" s="1"/>
  <c r="W385" i="12"/>
  <c r="A385" i="12"/>
  <c r="V385" i="12" s="1"/>
  <c r="W384" i="12"/>
  <c r="A384" i="12"/>
  <c r="V384" i="12" s="1"/>
  <c r="W383" i="12"/>
  <c r="A383" i="12"/>
  <c r="V383" i="12" s="1"/>
  <c r="W382" i="12"/>
  <c r="A382" i="12"/>
  <c r="V382" i="12" s="1"/>
  <c r="W381" i="12"/>
  <c r="A381" i="12"/>
  <c r="V381" i="12" s="1"/>
  <c r="W380" i="12"/>
  <c r="A380" i="12"/>
  <c r="V380" i="12" s="1"/>
  <c r="W379" i="12"/>
  <c r="A379" i="12"/>
  <c r="V379" i="12" s="1"/>
  <c r="X378" i="12"/>
  <c r="W378" i="12"/>
  <c r="A378" i="12"/>
  <c r="W376" i="12"/>
  <c r="A376" i="12"/>
  <c r="V376" i="12" s="1"/>
  <c r="W375" i="12"/>
  <c r="A375" i="12"/>
  <c r="V375" i="12" s="1"/>
  <c r="W374" i="12"/>
  <c r="A374" i="12"/>
  <c r="V374" i="12" s="1"/>
  <c r="W373" i="12"/>
  <c r="A373" i="12"/>
  <c r="V373" i="12" s="1"/>
  <c r="W372" i="12"/>
  <c r="A372" i="12"/>
  <c r="V372" i="12" s="1"/>
  <c r="W371" i="12"/>
  <c r="A371" i="12"/>
  <c r="V371" i="12" s="1"/>
  <c r="W370" i="12"/>
  <c r="A370" i="12"/>
  <c r="V370" i="12" s="1"/>
  <c r="W369" i="12"/>
  <c r="A369" i="12"/>
  <c r="V369" i="12" s="1"/>
  <c r="W367" i="12"/>
  <c r="A367" i="12"/>
  <c r="V367" i="12" s="1"/>
  <c r="W366" i="12"/>
  <c r="A366" i="12"/>
  <c r="V366" i="12" s="1"/>
  <c r="W365" i="12"/>
  <c r="A365" i="12"/>
  <c r="V365" i="12" s="1"/>
  <c r="W364" i="12"/>
  <c r="A364" i="12"/>
  <c r="V364" i="12" s="1"/>
  <c r="W363" i="12"/>
  <c r="A363" i="12"/>
  <c r="V363" i="12" s="1"/>
  <c r="W362" i="12"/>
  <c r="A362" i="12"/>
  <c r="V362" i="12" s="1"/>
  <c r="W361" i="12"/>
  <c r="A361" i="12"/>
  <c r="V361" i="12" s="1"/>
  <c r="W360" i="12"/>
  <c r="A360" i="12"/>
  <c r="H360" i="12" s="1"/>
  <c r="W359" i="12"/>
  <c r="A359" i="12"/>
  <c r="V359" i="12" s="1"/>
  <c r="W358" i="12"/>
  <c r="A358" i="12"/>
  <c r="V358" i="12" s="1"/>
  <c r="W357" i="12"/>
  <c r="A357" i="12"/>
  <c r="V357" i="12" s="1"/>
  <c r="W356" i="12"/>
  <c r="A356" i="12"/>
  <c r="V356" i="12" s="1"/>
  <c r="W355" i="12"/>
  <c r="A355" i="12"/>
  <c r="V355" i="12" s="1"/>
  <c r="W354" i="12"/>
  <c r="A354" i="12"/>
  <c r="V354" i="12" s="1"/>
  <c r="W353" i="12"/>
  <c r="A353" i="12"/>
  <c r="V353" i="12" s="1"/>
  <c r="W352" i="12"/>
  <c r="A352" i="12"/>
  <c r="V352" i="12" s="1"/>
  <c r="W351" i="12"/>
  <c r="A351" i="12"/>
  <c r="V351" i="12" s="1"/>
  <c r="W350" i="12"/>
  <c r="A350" i="12"/>
  <c r="V350" i="12" s="1"/>
  <c r="W349" i="12"/>
  <c r="A349" i="12"/>
  <c r="V349" i="12" s="1"/>
  <c r="W348" i="12"/>
  <c r="A348" i="12"/>
  <c r="H348" i="12" s="1"/>
  <c r="W347" i="12"/>
  <c r="A347" i="12"/>
  <c r="V347" i="12" s="1"/>
  <c r="W346" i="12"/>
  <c r="A346" i="12"/>
  <c r="V346" i="12" s="1"/>
  <c r="W345" i="12"/>
  <c r="A345" i="12"/>
  <c r="H345" i="12" s="1"/>
  <c r="W344" i="12"/>
  <c r="A344" i="12"/>
  <c r="V344" i="12" s="1"/>
  <c r="X343" i="12"/>
  <c r="W343" i="12"/>
  <c r="A343" i="12"/>
  <c r="W342" i="12"/>
  <c r="A342" i="12"/>
  <c r="H342" i="12" s="1"/>
  <c r="W341" i="12"/>
  <c r="A341" i="12"/>
  <c r="H341" i="12" s="1"/>
  <c r="X340" i="12"/>
  <c r="W340" i="12"/>
  <c r="A340" i="12"/>
  <c r="W339" i="12"/>
  <c r="A339" i="12"/>
  <c r="V339" i="12" s="1"/>
  <c r="W338" i="12"/>
  <c r="A338" i="12"/>
  <c r="V338" i="12" s="1"/>
  <c r="W337" i="12"/>
  <c r="A337" i="12"/>
  <c r="V337" i="12" s="1"/>
  <c r="W336" i="12"/>
  <c r="A336" i="12"/>
  <c r="V336" i="12" s="1"/>
  <c r="W335" i="12"/>
  <c r="A335" i="12"/>
  <c r="V335" i="12" s="1"/>
  <c r="W334" i="12"/>
  <c r="A334" i="12"/>
  <c r="V334" i="12" s="1"/>
  <c r="W333" i="12"/>
  <c r="A333" i="12"/>
  <c r="V333" i="12" s="1"/>
  <c r="W332" i="12"/>
  <c r="A332" i="12"/>
  <c r="V332" i="12" s="1"/>
  <c r="W331" i="12"/>
  <c r="A331" i="12"/>
  <c r="V331" i="12" s="1"/>
  <c r="W330" i="12"/>
  <c r="A330" i="12"/>
  <c r="V330" i="12" s="1"/>
  <c r="W329" i="12"/>
  <c r="A329" i="12"/>
  <c r="V329" i="12" s="1"/>
  <c r="W328" i="12"/>
  <c r="A328" i="12"/>
  <c r="V328" i="12" s="1"/>
  <c r="W327" i="12"/>
  <c r="A327" i="12"/>
  <c r="V327" i="12" s="1"/>
  <c r="W326" i="12"/>
  <c r="A326" i="12"/>
  <c r="H326" i="12" s="1"/>
  <c r="W325" i="12"/>
  <c r="A325" i="12"/>
  <c r="H325" i="12" s="1"/>
  <c r="W324" i="12"/>
  <c r="A324" i="12"/>
  <c r="V324" i="12" s="1"/>
  <c r="W323" i="12"/>
  <c r="A323" i="12"/>
  <c r="V323" i="12" s="1"/>
  <c r="W322" i="12"/>
  <c r="A322" i="12"/>
  <c r="V322" i="12" s="1"/>
  <c r="W321" i="12"/>
  <c r="A321" i="12"/>
  <c r="V321" i="12" s="1"/>
  <c r="W320" i="12"/>
  <c r="A320" i="12"/>
  <c r="V320" i="12" s="1"/>
  <c r="W319" i="12"/>
  <c r="A319" i="12"/>
  <c r="V319" i="12" s="1"/>
  <c r="W318" i="12"/>
  <c r="A318" i="12"/>
  <c r="V318" i="12" s="1"/>
  <c r="W317" i="12"/>
  <c r="A317" i="12"/>
  <c r="V317" i="12" s="1"/>
  <c r="W316" i="12"/>
  <c r="A316" i="12"/>
  <c r="V316" i="12" s="1"/>
  <c r="W315" i="12"/>
  <c r="A315" i="12"/>
  <c r="V315" i="12" s="1"/>
  <c r="W314" i="12"/>
  <c r="A314" i="12"/>
  <c r="V314" i="12" s="1"/>
  <c r="W313" i="12"/>
  <c r="A313" i="12"/>
  <c r="V313" i="12" s="1"/>
  <c r="F180" i="13"/>
  <c r="A180" i="13"/>
  <c r="W180" i="12"/>
  <c r="A180" i="12"/>
  <c r="F246" i="13"/>
  <c r="A246" i="13"/>
  <c r="X246" i="12"/>
  <c r="W246" i="12"/>
  <c r="A246" i="12"/>
  <c r="X600" i="12"/>
  <c r="D600" i="13" l="1"/>
  <c r="D378" i="13"/>
  <c r="D463" i="13"/>
  <c r="D499" i="13"/>
  <c r="D479" i="13"/>
  <c r="D478" i="13"/>
  <c r="H425" i="12"/>
  <c r="B518" i="12"/>
  <c r="H529" i="12"/>
  <c r="B520" i="12"/>
  <c r="B543" i="12"/>
  <c r="H533" i="12"/>
  <c r="H539" i="12"/>
  <c r="B494" i="12"/>
  <c r="H525" i="12"/>
  <c r="B532" i="12"/>
  <c r="V489" i="12"/>
  <c r="H540" i="12"/>
  <c r="H505" i="12"/>
  <c r="B528" i="12"/>
  <c r="B530" i="12"/>
  <c r="B534" i="12"/>
  <c r="V539" i="12"/>
  <c r="B492" i="12"/>
  <c r="H497" i="12"/>
  <c r="B509" i="12"/>
  <c r="B514" i="12"/>
  <c r="H528" i="12"/>
  <c r="H337" i="12"/>
  <c r="H389" i="12"/>
  <c r="B489" i="12"/>
  <c r="H508" i="12"/>
  <c r="B511" i="12"/>
  <c r="B522" i="12"/>
  <c r="H532" i="12"/>
  <c r="B541" i="12"/>
  <c r="B601" i="12"/>
  <c r="B461" i="12"/>
  <c r="H492" i="12"/>
  <c r="H493" i="12"/>
  <c r="B496" i="12"/>
  <c r="B498" i="12"/>
  <c r="B504" i="12"/>
  <c r="H511" i="12"/>
  <c r="H512" i="12"/>
  <c r="H518" i="12"/>
  <c r="H520" i="12"/>
  <c r="H521" i="12"/>
  <c r="B524" i="12"/>
  <c r="B526" i="12"/>
  <c r="B536" i="12"/>
  <c r="H543" i="12"/>
  <c r="H423" i="12"/>
  <c r="H445" i="12"/>
  <c r="H496" i="12"/>
  <c r="H504" i="12"/>
  <c r="H524" i="12"/>
  <c r="B500" i="12"/>
  <c r="B540" i="12"/>
  <c r="H318" i="12"/>
  <c r="H431" i="12"/>
  <c r="I473" i="12"/>
  <c r="V493" i="12"/>
  <c r="H494" i="12"/>
  <c r="B495" i="12"/>
  <c r="V497" i="12"/>
  <c r="H498" i="12"/>
  <c r="H500" i="12"/>
  <c r="B501" i="12"/>
  <c r="B503" i="12"/>
  <c r="V505" i="12"/>
  <c r="V508" i="12"/>
  <c r="H509" i="12"/>
  <c r="B510" i="12"/>
  <c r="V512" i="12"/>
  <c r="H514" i="12"/>
  <c r="B515" i="12"/>
  <c r="B517" i="12"/>
  <c r="V521" i="12"/>
  <c r="H522" i="12"/>
  <c r="B523" i="12"/>
  <c r="V525" i="12"/>
  <c r="H526" i="12"/>
  <c r="B527" i="12"/>
  <c r="V529" i="12"/>
  <c r="H530" i="12"/>
  <c r="B531" i="12"/>
  <c r="V533" i="12"/>
  <c r="H534" i="12"/>
  <c r="H536" i="12"/>
  <c r="B538" i="12"/>
  <c r="H541" i="12"/>
  <c r="B542" i="12"/>
  <c r="H601" i="12"/>
  <c r="B437" i="12"/>
  <c r="B457" i="12"/>
  <c r="B472" i="12"/>
  <c r="H495" i="12"/>
  <c r="H501" i="12"/>
  <c r="H503" i="12"/>
  <c r="H510" i="12"/>
  <c r="H515" i="12"/>
  <c r="H517" i="12"/>
  <c r="H523" i="12"/>
  <c r="H527" i="12"/>
  <c r="H531" i="12"/>
  <c r="H538" i="12"/>
  <c r="H542" i="12"/>
  <c r="C516" i="13"/>
  <c r="C491" i="13"/>
  <c r="E491" i="13"/>
  <c r="E489" i="13"/>
  <c r="E514" i="13"/>
  <c r="E518" i="13"/>
  <c r="E543" i="13"/>
  <c r="E498" i="13"/>
  <c r="E530" i="13"/>
  <c r="E601" i="13"/>
  <c r="C506" i="13"/>
  <c r="C502" i="13"/>
  <c r="D502" i="13"/>
  <c r="D506" i="13"/>
  <c r="C499" i="13"/>
  <c r="E490" i="13"/>
  <c r="E495" i="13"/>
  <c r="E503" i="13"/>
  <c r="E492" i="13"/>
  <c r="C518" i="13"/>
  <c r="D516" i="13"/>
  <c r="C519" i="13"/>
  <c r="E500" i="13"/>
  <c r="E504" i="13"/>
  <c r="E534" i="13"/>
  <c r="E497" i="13"/>
  <c r="E499" i="13"/>
  <c r="C600" i="13"/>
  <c r="C490" i="13"/>
  <c r="E496" i="13"/>
  <c r="E505" i="13"/>
  <c r="D513" i="13"/>
  <c r="E516" i="13"/>
  <c r="E502" i="13"/>
  <c r="E494" i="13"/>
  <c r="E511" i="13"/>
  <c r="E532" i="13"/>
  <c r="I489" i="12"/>
  <c r="I492" i="12"/>
  <c r="I493" i="12"/>
  <c r="I494" i="12"/>
  <c r="I495" i="12"/>
  <c r="I496" i="12"/>
  <c r="I497" i="12"/>
  <c r="I498" i="12"/>
  <c r="I500" i="12"/>
  <c r="I501" i="12"/>
  <c r="I503" i="12"/>
  <c r="I504" i="12"/>
  <c r="I505" i="12"/>
  <c r="I508" i="12"/>
  <c r="I509" i="12"/>
  <c r="I510" i="12"/>
  <c r="I511" i="12"/>
  <c r="I512" i="12"/>
  <c r="I514" i="12"/>
  <c r="I515" i="12"/>
  <c r="I517" i="12"/>
  <c r="I518" i="12"/>
  <c r="I520" i="12"/>
  <c r="I521" i="12"/>
  <c r="I522" i="12"/>
  <c r="I523" i="12"/>
  <c r="I524" i="12"/>
  <c r="I525" i="12"/>
  <c r="I526" i="12"/>
  <c r="I527" i="12"/>
  <c r="I528" i="12"/>
  <c r="I529" i="12"/>
  <c r="I530" i="12"/>
  <c r="I531" i="12"/>
  <c r="I532" i="12"/>
  <c r="I533" i="12"/>
  <c r="I534" i="12"/>
  <c r="I536" i="12"/>
  <c r="I538" i="12"/>
  <c r="I539" i="12"/>
  <c r="I540" i="12"/>
  <c r="I541" i="12"/>
  <c r="I542" i="12"/>
  <c r="I543" i="12"/>
  <c r="I601" i="12"/>
  <c r="E526" i="13"/>
  <c r="E493" i="13"/>
  <c r="E501" i="13"/>
  <c r="E536" i="13"/>
  <c r="E539" i="13"/>
  <c r="E506" i="13"/>
  <c r="E520" i="13"/>
  <c r="E522" i="13"/>
  <c r="E509" i="13"/>
  <c r="E528" i="13"/>
  <c r="E508" i="13"/>
  <c r="E524" i="13"/>
  <c r="E541" i="13"/>
  <c r="E510" i="13"/>
  <c r="E512" i="13"/>
  <c r="E513" i="13"/>
  <c r="E515" i="13"/>
  <c r="E517" i="13"/>
  <c r="E519" i="13"/>
  <c r="E521" i="13"/>
  <c r="E523" i="13"/>
  <c r="E525" i="13"/>
  <c r="E527" i="13"/>
  <c r="E529" i="13"/>
  <c r="E531" i="13"/>
  <c r="E533" i="13"/>
  <c r="E535" i="13"/>
  <c r="E538" i="13"/>
  <c r="E540" i="13"/>
  <c r="E542" i="13"/>
  <c r="E544" i="13"/>
  <c r="E600" i="13"/>
  <c r="V420" i="12"/>
  <c r="V428" i="12"/>
  <c r="H433" i="12"/>
  <c r="B441" i="12"/>
  <c r="H442" i="12"/>
  <c r="I447" i="12"/>
  <c r="V451" i="12"/>
  <c r="H441" i="12"/>
  <c r="H328" i="12"/>
  <c r="B356" i="12"/>
  <c r="H381" i="12"/>
  <c r="I439" i="12"/>
  <c r="B449" i="12"/>
  <c r="B470" i="12"/>
  <c r="H330" i="12"/>
  <c r="H336" i="12"/>
  <c r="H347" i="12"/>
  <c r="B366" i="12"/>
  <c r="H429" i="12"/>
  <c r="V432" i="12"/>
  <c r="I435" i="12"/>
  <c r="H438" i="12"/>
  <c r="I443" i="12"/>
  <c r="H449" i="12"/>
  <c r="B453" i="12"/>
  <c r="H454" i="12"/>
  <c r="B483" i="12"/>
  <c r="H332" i="12"/>
  <c r="H335" i="12"/>
  <c r="H339" i="12"/>
  <c r="B374" i="12"/>
  <c r="H453" i="12"/>
  <c r="H313" i="12"/>
  <c r="H334" i="12"/>
  <c r="H338" i="12"/>
  <c r="H421" i="12"/>
  <c r="H427" i="12"/>
  <c r="B445" i="12"/>
  <c r="H446" i="12"/>
  <c r="B477" i="12"/>
  <c r="H321" i="12"/>
  <c r="H329" i="12"/>
  <c r="H333" i="12"/>
  <c r="V360" i="12"/>
  <c r="H385" i="12"/>
  <c r="H394" i="12"/>
  <c r="H395" i="12"/>
  <c r="H397" i="12"/>
  <c r="H398" i="12"/>
  <c r="H400" i="12"/>
  <c r="H401" i="12"/>
  <c r="H402" i="12"/>
  <c r="H403" i="12"/>
  <c r="H404" i="12"/>
  <c r="H405" i="12"/>
  <c r="H409" i="12"/>
  <c r="H410" i="12"/>
  <c r="H411" i="12"/>
  <c r="H412" i="12"/>
  <c r="H413" i="12"/>
  <c r="H415" i="12"/>
  <c r="H416" i="12"/>
  <c r="H417" i="12"/>
  <c r="H422" i="12"/>
  <c r="H426" i="12"/>
  <c r="H430" i="12"/>
  <c r="H434" i="12"/>
  <c r="I438" i="12"/>
  <c r="I442" i="12"/>
  <c r="I446" i="12"/>
  <c r="I454" i="12"/>
  <c r="B458" i="12"/>
  <c r="B462" i="12"/>
  <c r="V438" i="12"/>
  <c r="V442" i="12"/>
  <c r="V446" i="12"/>
  <c r="H315" i="12"/>
  <c r="H327" i="12"/>
  <c r="H331" i="12"/>
  <c r="H350" i="12"/>
  <c r="B370" i="12"/>
  <c r="H437" i="12"/>
  <c r="E395" i="13"/>
  <c r="E398" i="13"/>
  <c r="E401" i="13"/>
  <c r="E426" i="13"/>
  <c r="E438" i="13"/>
  <c r="E470" i="13"/>
  <c r="E474" i="13"/>
  <c r="E423" i="13"/>
  <c r="C424" i="13"/>
  <c r="C418" i="13"/>
  <c r="C419" i="13"/>
  <c r="D418" i="13"/>
  <c r="D419" i="13"/>
  <c r="D424" i="13"/>
  <c r="E410" i="13"/>
  <c r="E419" i="13"/>
  <c r="E418" i="13"/>
  <c r="C463" i="13"/>
  <c r="E394" i="13"/>
  <c r="E400" i="13"/>
  <c r="E415" i="13"/>
  <c r="E409" i="13"/>
  <c r="E442" i="13"/>
  <c r="E458" i="13"/>
  <c r="D440" i="13"/>
  <c r="V444" i="12"/>
  <c r="I444" i="12"/>
  <c r="H444" i="12"/>
  <c r="B444" i="12"/>
  <c r="V456" i="12"/>
  <c r="H456" i="12"/>
  <c r="I456" i="12"/>
  <c r="B456" i="12"/>
  <c r="V448" i="12"/>
  <c r="I448" i="12"/>
  <c r="H448" i="12"/>
  <c r="B448" i="12"/>
  <c r="V459" i="12"/>
  <c r="H459" i="12"/>
  <c r="I459" i="12"/>
  <c r="B459" i="12"/>
  <c r="D460" i="13"/>
  <c r="V436" i="12"/>
  <c r="I436" i="12"/>
  <c r="H436" i="12"/>
  <c r="B436" i="12"/>
  <c r="V452" i="12"/>
  <c r="I452" i="12"/>
  <c r="H452" i="12"/>
  <c r="B452" i="12"/>
  <c r="V455" i="12"/>
  <c r="H455" i="12"/>
  <c r="B455" i="12"/>
  <c r="I394" i="12"/>
  <c r="I395" i="12"/>
  <c r="I397" i="12"/>
  <c r="I398" i="12"/>
  <c r="I400" i="12"/>
  <c r="I401" i="12"/>
  <c r="I402" i="12"/>
  <c r="I403" i="12"/>
  <c r="I404" i="12"/>
  <c r="I405" i="12"/>
  <c r="I409" i="12"/>
  <c r="I410" i="12"/>
  <c r="I411" i="12"/>
  <c r="I412" i="12"/>
  <c r="I413" i="12"/>
  <c r="I415" i="12"/>
  <c r="I416" i="12"/>
  <c r="I417" i="12"/>
  <c r="I420" i="12"/>
  <c r="I421" i="12"/>
  <c r="I422" i="12"/>
  <c r="I423" i="12"/>
  <c r="I425" i="12"/>
  <c r="I426" i="12"/>
  <c r="I427" i="12"/>
  <c r="I428" i="12"/>
  <c r="I429" i="12"/>
  <c r="I430" i="12"/>
  <c r="I431" i="12"/>
  <c r="I432" i="12"/>
  <c r="I433" i="12"/>
  <c r="V434" i="12"/>
  <c r="I437" i="12"/>
  <c r="I441" i="12"/>
  <c r="I445" i="12"/>
  <c r="I449" i="12"/>
  <c r="I453" i="12"/>
  <c r="E403" i="13"/>
  <c r="E411" i="13"/>
  <c r="B394" i="12"/>
  <c r="B395" i="12"/>
  <c r="B397" i="12"/>
  <c r="B398" i="12"/>
  <c r="B400" i="12"/>
  <c r="B401" i="12"/>
  <c r="B402" i="12"/>
  <c r="B403" i="12"/>
  <c r="B404" i="12"/>
  <c r="B405" i="12"/>
  <c r="B409" i="12"/>
  <c r="B410" i="12"/>
  <c r="B411" i="12"/>
  <c r="B412" i="12"/>
  <c r="B413" i="12"/>
  <c r="B415" i="12"/>
  <c r="B416" i="12"/>
  <c r="B417" i="12"/>
  <c r="B420" i="12"/>
  <c r="B421" i="12"/>
  <c r="B422" i="12"/>
  <c r="B423" i="12"/>
  <c r="B425" i="12"/>
  <c r="B426" i="12"/>
  <c r="B427" i="12"/>
  <c r="B428" i="12"/>
  <c r="B429" i="12"/>
  <c r="B430" i="12"/>
  <c r="B431" i="12"/>
  <c r="B432" i="12"/>
  <c r="B433" i="12"/>
  <c r="B434" i="12"/>
  <c r="B435" i="12"/>
  <c r="H435" i="12"/>
  <c r="B439" i="12"/>
  <c r="H439" i="12"/>
  <c r="B443" i="12"/>
  <c r="H443" i="12"/>
  <c r="B447" i="12"/>
  <c r="H447" i="12"/>
  <c r="D450" i="13"/>
  <c r="B451" i="12"/>
  <c r="H451" i="12"/>
  <c r="V454" i="12"/>
  <c r="E405" i="13"/>
  <c r="V457" i="12"/>
  <c r="H457" i="12"/>
  <c r="V474" i="12"/>
  <c r="H474" i="12"/>
  <c r="I474" i="12"/>
  <c r="B474" i="12"/>
  <c r="V481" i="12"/>
  <c r="H481" i="12"/>
  <c r="I481" i="12"/>
  <c r="B481" i="12"/>
  <c r="E417" i="13"/>
  <c r="E422" i="13"/>
  <c r="V458" i="12"/>
  <c r="H458" i="12"/>
  <c r="V462" i="12"/>
  <c r="H462" i="12"/>
  <c r="E413" i="13"/>
  <c r="E460" i="13"/>
  <c r="V461" i="12"/>
  <c r="H461" i="12"/>
  <c r="V482" i="12"/>
  <c r="H482" i="12"/>
  <c r="I482" i="12"/>
  <c r="E404" i="13"/>
  <c r="E428" i="13"/>
  <c r="V471" i="12"/>
  <c r="H471" i="12"/>
  <c r="I471" i="12"/>
  <c r="E448" i="13"/>
  <c r="E450" i="13"/>
  <c r="E454" i="13"/>
  <c r="H464" i="12"/>
  <c r="V464" i="12"/>
  <c r="H465" i="12"/>
  <c r="V465" i="12"/>
  <c r="H466" i="12"/>
  <c r="V466" i="12"/>
  <c r="H467" i="12"/>
  <c r="V467" i="12"/>
  <c r="H468" i="12"/>
  <c r="V468" i="12"/>
  <c r="H469" i="12"/>
  <c r="V469" i="12"/>
  <c r="H470" i="12"/>
  <c r="V473" i="12"/>
  <c r="H473" i="12"/>
  <c r="V477" i="12"/>
  <c r="H477" i="12"/>
  <c r="E402" i="13"/>
  <c r="E432" i="13"/>
  <c r="E434" i="13"/>
  <c r="E464" i="13"/>
  <c r="E466" i="13"/>
  <c r="I464" i="12"/>
  <c r="I465" i="12"/>
  <c r="I466" i="12"/>
  <c r="I467" i="12"/>
  <c r="I468" i="12"/>
  <c r="I469" i="12"/>
  <c r="I470" i="12"/>
  <c r="V472" i="12"/>
  <c r="H472" i="12"/>
  <c r="E397" i="13"/>
  <c r="E412" i="13"/>
  <c r="E421" i="13"/>
  <c r="E444" i="13"/>
  <c r="V480" i="12"/>
  <c r="H480" i="12"/>
  <c r="E424" i="13"/>
  <c r="E440" i="13"/>
  <c r="E456" i="13"/>
  <c r="E472" i="13"/>
  <c r="B480" i="12"/>
  <c r="V483" i="12"/>
  <c r="H483" i="12"/>
  <c r="E416" i="13"/>
  <c r="E420" i="13"/>
  <c r="E430" i="13"/>
  <c r="E436" i="13"/>
  <c r="E446" i="13"/>
  <c r="E452" i="13"/>
  <c r="E462" i="13"/>
  <c r="E468" i="13"/>
  <c r="E478" i="13"/>
  <c r="E480" i="13"/>
  <c r="E482" i="13"/>
  <c r="E425" i="13"/>
  <c r="E427" i="13"/>
  <c r="E429" i="13"/>
  <c r="E431" i="13"/>
  <c r="E433" i="13"/>
  <c r="E435" i="13"/>
  <c r="E437" i="13"/>
  <c r="E439" i="13"/>
  <c r="E441" i="13"/>
  <c r="E443" i="13"/>
  <c r="E445" i="13"/>
  <c r="E447" i="13"/>
  <c r="E449" i="13"/>
  <c r="E451" i="13"/>
  <c r="E453" i="13"/>
  <c r="E455" i="13"/>
  <c r="E457" i="13"/>
  <c r="E459" i="13"/>
  <c r="E461" i="13"/>
  <c r="E463" i="13"/>
  <c r="E465" i="13"/>
  <c r="E467" i="13"/>
  <c r="E469" i="13"/>
  <c r="E471" i="13"/>
  <c r="E473" i="13"/>
  <c r="E477" i="13"/>
  <c r="E479" i="13"/>
  <c r="E481" i="13"/>
  <c r="E483" i="13"/>
  <c r="H319" i="12"/>
  <c r="V341" i="12"/>
  <c r="H346" i="12"/>
  <c r="B352" i="12"/>
  <c r="B358" i="12"/>
  <c r="B364" i="12"/>
  <c r="B372" i="12"/>
  <c r="H383" i="12"/>
  <c r="H391" i="12"/>
  <c r="H352" i="12"/>
  <c r="H358" i="12"/>
  <c r="H314" i="12"/>
  <c r="H317" i="12"/>
  <c r="H323" i="12"/>
  <c r="V326" i="12"/>
  <c r="B350" i="12"/>
  <c r="B360" i="12"/>
  <c r="B376" i="12"/>
  <c r="H379" i="12"/>
  <c r="H387" i="12"/>
  <c r="H484" i="12"/>
  <c r="H316" i="12"/>
  <c r="H320" i="12"/>
  <c r="H324" i="12"/>
  <c r="V342" i="12"/>
  <c r="V345" i="12"/>
  <c r="B354" i="12"/>
  <c r="H356" i="12"/>
  <c r="B362" i="12"/>
  <c r="H364" i="12"/>
  <c r="H372" i="12"/>
  <c r="H376" i="12"/>
  <c r="H354" i="12"/>
  <c r="H362" i="12"/>
  <c r="H322" i="12"/>
  <c r="H366" i="12"/>
  <c r="H370" i="12"/>
  <c r="H374" i="12"/>
  <c r="B379" i="12"/>
  <c r="B381" i="12"/>
  <c r="B383" i="12"/>
  <c r="B385" i="12"/>
  <c r="B387" i="12"/>
  <c r="B389" i="12"/>
  <c r="B391" i="12"/>
  <c r="B484" i="12"/>
  <c r="B349" i="12"/>
  <c r="B351" i="12"/>
  <c r="B353" i="12"/>
  <c r="B355" i="12"/>
  <c r="B357" i="12"/>
  <c r="B359" i="12"/>
  <c r="B361" i="12"/>
  <c r="B363" i="12"/>
  <c r="B365" i="12"/>
  <c r="B367" i="12"/>
  <c r="B369" i="12"/>
  <c r="B371" i="12"/>
  <c r="B373" i="12"/>
  <c r="B375" i="12"/>
  <c r="B380" i="12"/>
  <c r="B382" i="12"/>
  <c r="B384" i="12"/>
  <c r="B386" i="12"/>
  <c r="B388" i="12"/>
  <c r="B390" i="12"/>
  <c r="H349" i="12"/>
  <c r="H351" i="12"/>
  <c r="H353" i="12"/>
  <c r="H355" i="12"/>
  <c r="H357" i="12"/>
  <c r="H359" i="12"/>
  <c r="H361" i="12"/>
  <c r="H363" i="12"/>
  <c r="H365" i="12"/>
  <c r="H367" i="12"/>
  <c r="H369" i="12"/>
  <c r="H371" i="12"/>
  <c r="H373" i="12"/>
  <c r="H375" i="12"/>
  <c r="H380" i="12"/>
  <c r="H382" i="12"/>
  <c r="H384" i="12"/>
  <c r="H386" i="12"/>
  <c r="H388" i="12"/>
  <c r="H390" i="12"/>
  <c r="E360" i="13"/>
  <c r="C378" i="13"/>
  <c r="E344" i="13"/>
  <c r="E349" i="13"/>
  <c r="E351" i="13"/>
  <c r="C343" i="13"/>
  <c r="D343" i="13"/>
  <c r="D340" i="13"/>
  <c r="E336" i="13"/>
  <c r="E313" i="13"/>
  <c r="E346" i="13"/>
  <c r="E348" i="13"/>
  <c r="E350" i="13"/>
  <c r="E352" i="13"/>
  <c r="E315" i="13"/>
  <c r="E317" i="13"/>
  <c r="E319" i="13"/>
  <c r="E321" i="13"/>
  <c r="E323" i="13"/>
  <c r="E325" i="13"/>
  <c r="E329" i="13"/>
  <c r="E337" i="13"/>
  <c r="E341" i="13"/>
  <c r="E342" i="13"/>
  <c r="E357" i="13"/>
  <c r="E359" i="13"/>
  <c r="E314" i="13"/>
  <c r="E322" i="13"/>
  <c r="E326" i="13"/>
  <c r="E328" i="13"/>
  <c r="E332" i="13"/>
  <c r="E343" i="13"/>
  <c r="E354" i="13"/>
  <c r="E356" i="13"/>
  <c r="E358" i="13"/>
  <c r="E345" i="13"/>
  <c r="E353" i="13"/>
  <c r="E318" i="13"/>
  <c r="E327" i="13"/>
  <c r="E340" i="13"/>
  <c r="E347" i="13"/>
  <c r="E355" i="13"/>
  <c r="E320" i="13"/>
  <c r="E333" i="13"/>
  <c r="C340" i="13"/>
  <c r="E316" i="13"/>
  <c r="E324" i="13"/>
  <c r="B317" i="12"/>
  <c r="V325" i="12"/>
  <c r="B313" i="12"/>
  <c r="I313" i="12"/>
  <c r="B316" i="12"/>
  <c r="B314" i="12"/>
  <c r="I314" i="12"/>
  <c r="B315" i="12"/>
  <c r="I315" i="12"/>
  <c r="I316" i="12"/>
  <c r="I317" i="12"/>
  <c r="B318" i="12"/>
  <c r="I318" i="12"/>
  <c r="B319" i="12"/>
  <c r="I319" i="12"/>
  <c r="B320" i="12"/>
  <c r="I320" i="12"/>
  <c r="B321" i="12"/>
  <c r="I321" i="12"/>
  <c r="B322" i="12"/>
  <c r="I322" i="12"/>
  <c r="B323" i="12"/>
  <c r="I323" i="12"/>
  <c r="B324" i="12"/>
  <c r="I324" i="12"/>
  <c r="B325" i="12"/>
  <c r="I325" i="12"/>
  <c r="I326" i="12"/>
  <c r="I327" i="12"/>
  <c r="I328" i="12"/>
  <c r="I329" i="12"/>
  <c r="I330" i="12"/>
  <c r="I331" i="12"/>
  <c r="I332" i="12"/>
  <c r="I333" i="12"/>
  <c r="I334" i="12"/>
  <c r="I335" i="12"/>
  <c r="I336" i="12"/>
  <c r="I337" i="12"/>
  <c r="I338" i="12"/>
  <c r="I339" i="12"/>
  <c r="I341" i="12"/>
  <c r="I342" i="12"/>
  <c r="B344" i="12"/>
  <c r="B345" i="12"/>
  <c r="I345" i="12"/>
  <c r="B346" i="12"/>
  <c r="I346" i="12"/>
  <c r="B347" i="12"/>
  <c r="I347" i="12"/>
  <c r="V348" i="12"/>
  <c r="B348" i="12"/>
  <c r="I348" i="12"/>
  <c r="B326" i="12"/>
  <c r="B327" i="12"/>
  <c r="B328" i="12"/>
  <c r="B329" i="12"/>
  <c r="B330" i="12"/>
  <c r="B331" i="12"/>
  <c r="B332" i="12"/>
  <c r="B333" i="12"/>
  <c r="B334" i="12"/>
  <c r="B335" i="12"/>
  <c r="B336" i="12"/>
  <c r="B337" i="12"/>
  <c r="B338" i="12"/>
  <c r="B339" i="12"/>
  <c r="B341" i="12"/>
  <c r="B342" i="12"/>
  <c r="H344" i="12"/>
  <c r="I344" i="12"/>
  <c r="D392" i="13"/>
  <c r="E335" i="13"/>
  <c r="E364" i="13"/>
  <c r="E389" i="13"/>
  <c r="E334" i="13"/>
  <c r="I349" i="12"/>
  <c r="I350" i="12"/>
  <c r="I351" i="12"/>
  <c r="I352" i="12"/>
  <c r="I353" i="12"/>
  <c r="I354" i="12"/>
  <c r="I355" i="12"/>
  <c r="I356" i="12"/>
  <c r="I357" i="12"/>
  <c r="I358" i="12"/>
  <c r="I359" i="12"/>
  <c r="I360" i="12"/>
  <c r="I361" i="12"/>
  <c r="I362" i="12"/>
  <c r="I363" i="12"/>
  <c r="I364" i="12"/>
  <c r="I365" i="12"/>
  <c r="I366" i="12"/>
  <c r="I367" i="12"/>
  <c r="I369" i="12"/>
  <c r="I370" i="12"/>
  <c r="I371" i="12"/>
  <c r="I372" i="12"/>
  <c r="I373" i="12"/>
  <c r="I374" i="12"/>
  <c r="I375" i="12"/>
  <c r="I376" i="12"/>
  <c r="I379" i="12"/>
  <c r="I380" i="12"/>
  <c r="E372" i="13"/>
  <c r="E381" i="13"/>
  <c r="I381" i="12"/>
  <c r="I382" i="12"/>
  <c r="I383" i="12"/>
  <c r="I384" i="12"/>
  <c r="I385" i="12"/>
  <c r="I386" i="12"/>
  <c r="I387" i="12"/>
  <c r="I388" i="12"/>
  <c r="I389" i="12"/>
  <c r="I390" i="12"/>
  <c r="I391" i="12"/>
  <c r="I484" i="12"/>
  <c r="E330" i="13"/>
  <c r="E331" i="13"/>
  <c r="E338" i="13"/>
  <c r="E339" i="13"/>
  <c r="E376" i="13"/>
  <c r="E385" i="13"/>
  <c r="E484" i="13"/>
  <c r="E362" i="13"/>
  <c r="E366" i="13"/>
  <c r="E370" i="13"/>
  <c r="E374" i="13"/>
  <c r="E378" i="13"/>
  <c r="E379" i="13"/>
  <c r="E383" i="13"/>
  <c r="E387" i="13"/>
  <c r="E391" i="13"/>
  <c r="E361" i="13"/>
  <c r="E363" i="13"/>
  <c r="E365" i="13"/>
  <c r="E367" i="13"/>
  <c r="E369" i="13"/>
  <c r="E371" i="13"/>
  <c r="E373" i="13"/>
  <c r="E375" i="13"/>
  <c r="E380" i="13"/>
  <c r="E382" i="13"/>
  <c r="E384" i="13"/>
  <c r="E386" i="13"/>
  <c r="E388" i="13"/>
  <c r="E390" i="13"/>
  <c r="E392" i="13"/>
  <c r="H180" i="12"/>
  <c r="V180" i="12"/>
  <c r="E180" i="13"/>
  <c r="I180" i="12"/>
  <c r="B180" i="12"/>
  <c r="D246" i="13"/>
  <c r="E246" i="13"/>
  <c r="C535" i="13" l="1"/>
  <c r="C513" i="13"/>
  <c r="C517" i="13"/>
  <c r="C450" i="13"/>
  <c r="C479" i="13"/>
  <c r="C478" i="13"/>
  <c r="C440" i="13"/>
  <c r="C460" i="13"/>
  <c r="C392" i="13"/>
  <c r="C246" i="13"/>
  <c r="F488" i="13"/>
  <c r="A488" i="13"/>
  <c r="F487" i="13"/>
  <c r="A487" i="13"/>
  <c r="F486" i="13"/>
  <c r="A486" i="13"/>
  <c r="F485" i="13"/>
  <c r="A485" i="13"/>
  <c r="F312" i="13"/>
  <c r="A312" i="13"/>
  <c r="F311" i="13"/>
  <c r="A311" i="13"/>
  <c r="F310" i="13"/>
  <c r="A310" i="13"/>
  <c r="F309" i="13"/>
  <c r="A309" i="13"/>
  <c r="F308" i="13"/>
  <c r="A308" i="13"/>
  <c r="F307" i="13"/>
  <c r="A307" i="13"/>
  <c r="F306" i="13"/>
  <c r="A306" i="13"/>
  <c r="F305" i="13"/>
  <c r="A305" i="13"/>
  <c r="F304" i="13"/>
  <c r="A304" i="13"/>
  <c r="F303" i="13"/>
  <c r="A303" i="13"/>
  <c r="F302" i="13"/>
  <c r="A302" i="13"/>
  <c r="F301" i="13"/>
  <c r="A301" i="13"/>
  <c r="F300" i="13"/>
  <c r="A300" i="13"/>
  <c r="F299" i="13"/>
  <c r="A299" i="13"/>
  <c r="F298" i="13"/>
  <c r="A298" i="13"/>
  <c r="F297" i="13"/>
  <c r="A297" i="13"/>
  <c r="F296" i="13"/>
  <c r="A296" i="13"/>
  <c r="F295" i="13"/>
  <c r="A295" i="13"/>
  <c r="F294" i="13"/>
  <c r="A294" i="13"/>
  <c r="F293" i="13"/>
  <c r="A293" i="13"/>
  <c r="F292" i="13"/>
  <c r="A292" i="13"/>
  <c r="F291" i="13"/>
  <c r="A291" i="13"/>
  <c r="F290" i="13"/>
  <c r="A290" i="13"/>
  <c r="F289" i="13"/>
  <c r="A289" i="13"/>
  <c r="F288" i="13"/>
  <c r="A288" i="13"/>
  <c r="F287" i="13"/>
  <c r="A287" i="13"/>
  <c r="F286" i="13"/>
  <c r="A286" i="13"/>
  <c r="F285" i="13"/>
  <c r="A285" i="13"/>
  <c r="F284" i="13"/>
  <c r="A284" i="13"/>
  <c r="F283" i="13"/>
  <c r="A283" i="13"/>
  <c r="F282" i="13"/>
  <c r="A282" i="13"/>
  <c r="F281" i="13"/>
  <c r="A281" i="13"/>
  <c r="F280" i="13"/>
  <c r="A280" i="13"/>
  <c r="F279" i="13"/>
  <c r="A279" i="13"/>
  <c r="F278" i="13"/>
  <c r="A278" i="13"/>
  <c r="F277" i="13"/>
  <c r="A277" i="13"/>
  <c r="F276" i="13"/>
  <c r="A276" i="13"/>
  <c r="F275" i="13"/>
  <c r="A275" i="13"/>
  <c r="F274" i="13"/>
  <c r="A274" i="13"/>
  <c r="F273" i="13"/>
  <c r="A273" i="13"/>
  <c r="F272" i="13"/>
  <c r="A272" i="13"/>
  <c r="F271" i="13"/>
  <c r="A271" i="13"/>
  <c r="F270" i="13"/>
  <c r="A270" i="13"/>
  <c r="F269" i="13"/>
  <c r="A269" i="13"/>
  <c r="F268" i="13"/>
  <c r="A268" i="13"/>
  <c r="F267" i="13"/>
  <c r="A267" i="13"/>
  <c r="F266" i="13"/>
  <c r="A266" i="13"/>
  <c r="F265" i="13"/>
  <c r="A265" i="13"/>
  <c r="F264" i="13"/>
  <c r="A264" i="13"/>
  <c r="F263" i="13"/>
  <c r="A263" i="13"/>
  <c r="F262" i="13"/>
  <c r="A262" i="13"/>
  <c r="F261" i="13"/>
  <c r="A261" i="13"/>
  <c r="F260" i="13"/>
  <c r="A260" i="13"/>
  <c r="F259" i="13"/>
  <c r="A259" i="13"/>
  <c r="F258" i="13"/>
  <c r="A258" i="13"/>
  <c r="F257" i="13"/>
  <c r="A257" i="13"/>
  <c r="F256" i="13"/>
  <c r="A256" i="13"/>
  <c r="F255" i="13"/>
  <c r="A255" i="13"/>
  <c r="F254" i="13"/>
  <c r="A254" i="13"/>
  <c r="F252" i="13"/>
  <c r="A252" i="13"/>
  <c r="F251" i="13"/>
  <c r="A251" i="13"/>
  <c r="F250" i="13"/>
  <c r="A250" i="13"/>
  <c r="F249" i="13"/>
  <c r="A249" i="13"/>
  <c r="F248" i="13"/>
  <c r="A248" i="13"/>
  <c r="F247" i="13"/>
  <c r="A247" i="13"/>
  <c r="F245" i="13"/>
  <c r="A245" i="13"/>
  <c r="A244" i="13"/>
  <c r="A243" i="13"/>
  <c r="F242" i="13"/>
  <c r="A242" i="13"/>
  <c r="F241" i="13"/>
  <c r="A241" i="13"/>
  <c r="F239" i="13"/>
  <c r="A239" i="13"/>
  <c r="F238" i="13"/>
  <c r="A238" i="13"/>
  <c r="F237" i="13"/>
  <c r="A237" i="13"/>
  <c r="F236" i="13"/>
  <c r="A236" i="13"/>
  <c r="F235" i="13"/>
  <c r="A235" i="13"/>
  <c r="F234" i="13"/>
  <c r="A234" i="13"/>
  <c r="F233" i="13"/>
  <c r="A233" i="13"/>
  <c r="F232" i="13"/>
  <c r="A232" i="13"/>
  <c r="F231" i="13"/>
  <c r="A231" i="13"/>
  <c r="F230" i="13"/>
  <c r="A230" i="13"/>
  <c r="F228" i="13"/>
  <c r="A228" i="13"/>
  <c r="F222" i="13"/>
  <c r="A222" i="13"/>
  <c r="W488" i="12"/>
  <c r="A488" i="12"/>
  <c r="I488" i="12" s="1"/>
  <c r="W487" i="12"/>
  <c r="A487" i="12"/>
  <c r="H487" i="12" s="1"/>
  <c r="W486" i="12"/>
  <c r="A486" i="12"/>
  <c r="V486" i="12" s="1"/>
  <c r="X485" i="12"/>
  <c r="W485" i="12"/>
  <c r="A485" i="12"/>
  <c r="W312" i="12"/>
  <c r="A312" i="12"/>
  <c r="V312" i="12" s="1"/>
  <c r="W311" i="12"/>
  <c r="A311" i="12"/>
  <c r="H311" i="12" s="1"/>
  <c r="X310" i="12"/>
  <c r="W310" i="12"/>
  <c r="A310" i="12"/>
  <c r="X309" i="12"/>
  <c r="W309" i="12"/>
  <c r="A309" i="12"/>
  <c r="W308" i="12"/>
  <c r="A308" i="12"/>
  <c r="V308" i="12" s="1"/>
  <c r="W307" i="12"/>
  <c r="A307" i="12"/>
  <c r="X306" i="12"/>
  <c r="W306" i="12"/>
  <c r="A306" i="12"/>
  <c r="W305" i="12"/>
  <c r="A305" i="12"/>
  <c r="H305" i="12" s="1"/>
  <c r="W304" i="12"/>
  <c r="A304" i="12"/>
  <c r="H304" i="12" s="1"/>
  <c r="W303" i="12"/>
  <c r="A303" i="12"/>
  <c r="H303" i="12" s="1"/>
  <c r="W302" i="12"/>
  <c r="A302" i="12"/>
  <c r="W301" i="12"/>
  <c r="A301" i="12"/>
  <c r="H301" i="12" s="1"/>
  <c r="W300" i="12"/>
  <c r="A300" i="12"/>
  <c r="H300" i="12" s="1"/>
  <c r="X299" i="12"/>
  <c r="W299" i="12"/>
  <c r="A299" i="12"/>
  <c r="X298" i="12"/>
  <c r="W298" i="12"/>
  <c r="A298" i="12"/>
  <c r="W297" i="12"/>
  <c r="A297" i="12"/>
  <c r="H297" i="12" s="1"/>
  <c r="X296" i="12"/>
  <c r="W296" i="12"/>
  <c r="A296" i="12"/>
  <c r="W295" i="12"/>
  <c r="A295" i="12"/>
  <c r="H295" i="12" s="1"/>
  <c r="W294" i="12"/>
  <c r="A294" i="12"/>
  <c r="W293" i="12"/>
  <c r="A293" i="12"/>
  <c r="H293" i="12" s="1"/>
  <c r="W292" i="12"/>
  <c r="A292" i="12"/>
  <c r="H292" i="12" s="1"/>
  <c r="W291" i="12"/>
  <c r="A291" i="12"/>
  <c r="H291" i="12" s="1"/>
  <c r="W290" i="12"/>
  <c r="A290" i="12"/>
  <c r="X289" i="12"/>
  <c r="W289" i="12"/>
  <c r="A289" i="12"/>
  <c r="W288" i="12"/>
  <c r="A288" i="12"/>
  <c r="W287" i="12"/>
  <c r="A287" i="12"/>
  <c r="B287" i="12" s="1"/>
  <c r="W286" i="12"/>
  <c r="A286" i="12"/>
  <c r="W285" i="12"/>
  <c r="A285" i="12"/>
  <c r="B285" i="12" s="1"/>
  <c r="W284" i="12"/>
  <c r="A284" i="12"/>
  <c r="W283" i="12"/>
  <c r="A283" i="12"/>
  <c r="B283" i="12" s="1"/>
  <c r="W282" i="12"/>
  <c r="A282" i="12"/>
  <c r="W281" i="12"/>
  <c r="A281" i="12"/>
  <c r="B281" i="12" s="1"/>
  <c r="W280" i="12"/>
  <c r="A280" i="12"/>
  <c r="V280" i="12" s="1"/>
  <c r="W279" i="12"/>
  <c r="A279" i="12"/>
  <c r="V279" i="12" s="1"/>
  <c r="W278" i="12"/>
  <c r="A278" i="12"/>
  <c r="V278" i="12" s="1"/>
  <c r="W277" i="12"/>
  <c r="A277" i="12"/>
  <c r="W276" i="12"/>
  <c r="A276" i="12"/>
  <c r="V276" i="12" s="1"/>
  <c r="W275" i="12"/>
  <c r="A275" i="12"/>
  <c r="I275" i="12" s="1"/>
  <c r="W274" i="12"/>
  <c r="A274" i="12"/>
  <c r="V274" i="12" s="1"/>
  <c r="W273" i="12"/>
  <c r="A273" i="12"/>
  <c r="V273" i="12" s="1"/>
  <c r="W272" i="12"/>
  <c r="A272" i="12"/>
  <c r="V272" i="12" s="1"/>
  <c r="W271" i="12"/>
  <c r="A271" i="12"/>
  <c r="H271" i="12" s="1"/>
  <c r="W270" i="12"/>
  <c r="A270" i="12"/>
  <c r="V270" i="12" s="1"/>
  <c r="W269" i="12"/>
  <c r="A269" i="12"/>
  <c r="V269" i="12" s="1"/>
  <c r="W268" i="12"/>
  <c r="A268" i="12"/>
  <c r="V268" i="12" s="1"/>
  <c r="W267" i="12"/>
  <c r="A267" i="12"/>
  <c r="H267" i="12" s="1"/>
  <c r="W266" i="12"/>
  <c r="A266" i="12"/>
  <c r="V266" i="12" s="1"/>
  <c r="W265" i="12"/>
  <c r="A265" i="12"/>
  <c r="V265" i="12" s="1"/>
  <c r="W264" i="12"/>
  <c r="A264" i="12"/>
  <c r="V264" i="12" s="1"/>
  <c r="W263" i="12"/>
  <c r="A263" i="12"/>
  <c r="H263" i="12" s="1"/>
  <c r="W262" i="12"/>
  <c r="A262" i="12"/>
  <c r="V262" i="12" s="1"/>
  <c r="W261" i="12"/>
  <c r="A261" i="12"/>
  <c r="V261" i="12" s="1"/>
  <c r="W260" i="12"/>
  <c r="A260" i="12"/>
  <c r="V260" i="12" s="1"/>
  <c r="W259" i="12"/>
  <c r="A259" i="12"/>
  <c r="H259" i="12" s="1"/>
  <c r="W258" i="12"/>
  <c r="A258" i="12"/>
  <c r="V258" i="12" s="1"/>
  <c r="W257" i="12"/>
  <c r="A257" i="12"/>
  <c r="V257" i="12" s="1"/>
  <c r="W256" i="12"/>
  <c r="A256" i="12"/>
  <c r="V256" i="12" s="1"/>
  <c r="W255" i="12"/>
  <c r="A255" i="12"/>
  <c r="H255" i="12" s="1"/>
  <c r="W254" i="12"/>
  <c r="A254" i="12"/>
  <c r="V254" i="12" s="1"/>
  <c r="W252" i="12"/>
  <c r="A252" i="12"/>
  <c r="V252" i="12" s="1"/>
  <c r="W251" i="12"/>
  <c r="A251" i="12"/>
  <c r="H251" i="12" s="1"/>
  <c r="W250" i="12"/>
  <c r="A250" i="12"/>
  <c r="V250" i="12" s="1"/>
  <c r="W249" i="12"/>
  <c r="A249" i="12"/>
  <c r="V249" i="12" s="1"/>
  <c r="W248" i="12"/>
  <c r="A248" i="12"/>
  <c r="V248" i="12" s="1"/>
  <c r="W247" i="12"/>
  <c r="A247" i="12"/>
  <c r="H247" i="12" s="1"/>
  <c r="X245" i="12"/>
  <c r="W245" i="12"/>
  <c r="A245" i="12"/>
  <c r="W244" i="12"/>
  <c r="A244" i="12"/>
  <c r="V244" i="12" s="1"/>
  <c r="W243" i="12"/>
  <c r="A243" i="12"/>
  <c r="V243" i="12" s="1"/>
  <c r="X242" i="12"/>
  <c r="W242" i="12"/>
  <c r="A242" i="12"/>
  <c r="W241" i="12"/>
  <c r="A241" i="12"/>
  <c r="V241" i="12" s="1"/>
  <c r="X239" i="12"/>
  <c r="W239" i="12"/>
  <c r="A239" i="12"/>
  <c r="W238" i="12"/>
  <c r="A238" i="12"/>
  <c r="V238" i="12" s="1"/>
  <c r="W237" i="12"/>
  <c r="A237" i="12"/>
  <c r="B237" i="12" s="1"/>
  <c r="X236" i="12"/>
  <c r="W236" i="12"/>
  <c r="A236" i="12"/>
  <c r="W235" i="12"/>
  <c r="A235" i="12"/>
  <c r="V235" i="12" s="1"/>
  <c r="W234" i="12"/>
  <c r="A234" i="12"/>
  <c r="V234" i="12" s="1"/>
  <c r="W233" i="12"/>
  <c r="A233" i="12"/>
  <c r="B233" i="12" s="1"/>
  <c r="W232" i="12"/>
  <c r="A232" i="12"/>
  <c r="H232" i="12" s="1"/>
  <c r="W231" i="12"/>
  <c r="A231" i="12"/>
  <c r="V231" i="12" s="1"/>
  <c r="W230" i="12"/>
  <c r="A230" i="12"/>
  <c r="V230" i="12" s="1"/>
  <c r="X228" i="12"/>
  <c r="W228" i="12"/>
  <c r="A228" i="12"/>
  <c r="W222" i="12"/>
  <c r="A222" i="12"/>
  <c r="V222" i="12" s="1"/>
  <c r="F244" i="13"/>
  <c r="F135" i="13"/>
  <c r="A135" i="13"/>
  <c r="X135" i="12"/>
  <c r="W135" i="12"/>
  <c r="C135" i="13"/>
  <c r="A135" i="12"/>
  <c r="F120" i="13"/>
  <c r="A120" i="13"/>
  <c r="X120" i="12"/>
  <c r="W120" i="12"/>
  <c r="A120" i="12"/>
  <c r="P117" i="12"/>
  <c r="F602" i="13"/>
  <c r="A602" i="13"/>
  <c r="F221" i="13"/>
  <c r="A221" i="13"/>
  <c r="F220" i="13"/>
  <c r="A220" i="13"/>
  <c r="F219" i="13"/>
  <c r="A219" i="13"/>
  <c r="F218" i="13"/>
  <c r="A218" i="13"/>
  <c r="F217" i="13"/>
  <c r="A217" i="13"/>
  <c r="F216" i="13"/>
  <c r="A216" i="13"/>
  <c r="F215" i="13"/>
  <c r="A215" i="13"/>
  <c r="F214" i="13"/>
  <c r="A214" i="13"/>
  <c r="F213" i="13"/>
  <c r="A213" i="13"/>
  <c r="F212" i="13"/>
  <c r="A212" i="13"/>
  <c r="F211" i="13"/>
  <c r="A211" i="13"/>
  <c r="F210" i="13"/>
  <c r="A210" i="13"/>
  <c r="F209" i="13"/>
  <c r="A209" i="13"/>
  <c r="F208" i="13"/>
  <c r="A208" i="13"/>
  <c r="F207" i="13"/>
  <c r="A207" i="13"/>
  <c r="F206" i="13"/>
  <c r="A206" i="13"/>
  <c r="F202" i="13"/>
  <c r="A202" i="13"/>
  <c r="F201" i="13"/>
  <c r="A201" i="13"/>
  <c r="F200" i="13"/>
  <c r="A200" i="13"/>
  <c r="F199" i="13"/>
  <c r="A199" i="13"/>
  <c r="F198" i="13"/>
  <c r="A198" i="13"/>
  <c r="F197" i="13"/>
  <c r="A197" i="13"/>
  <c r="F196" i="13"/>
  <c r="A196" i="13"/>
  <c r="F195" i="13"/>
  <c r="A195" i="13"/>
  <c r="F194" i="13"/>
  <c r="A194" i="13"/>
  <c r="F193" i="13"/>
  <c r="A193" i="13"/>
  <c r="F192" i="13"/>
  <c r="A192" i="13"/>
  <c r="F191" i="13"/>
  <c r="A191" i="13"/>
  <c r="F190" i="13"/>
  <c r="A190" i="13"/>
  <c r="F189" i="13"/>
  <c r="A189" i="13"/>
  <c r="F188" i="13"/>
  <c r="A188" i="13"/>
  <c r="F187" i="13"/>
  <c r="A187" i="13"/>
  <c r="F186" i="13"/>
  <c r="A186" i="13"/>
  <c r="F185" i="13"/>
  <c r="A185" i="13"/>
  <c r="F184" i="13"/>
  <c r="A184" i="13"/>
  <c r="F183" i="13"/>
  <c r="A183" i="13"/>
  <c r="F182" i="13"/>
  <c r="A182" i="13"/>
  <c r="F179" i="13"/>
  <c r="A179" i="13"/>
  <c r="F178" i="13"/>
  <c r="A178" i="13"/>
  <c r="F177" i="13"/>
  <c r="A177" i="13"/>
  <c r="F176" i="13"/>
  <c r="A176" i="13"/>
  <c r="F175" i="13"/>
  <c r="A175" i="13"/>
  <c r="F174" i="13"/>
  <c r="A174" i="13"/>
  <c r="F173" i="13"/>
  <c r="A173" i="13"/>
  <c r="F172" i="13"/>
  <c r="A172" i="13"/>
  <c r="F171" i="13"/>
  <c r="A171" i="13"/>
  <c r="F170" i="13"/>
  <c r="A170" i="13"/>
  <c r="F169" i="13"/>
  <c r="A169" i="13"/>
  <c r="F168" i="13"/>
  <c r="A168" i="13"/>
  <c r="F167" i="13"/>
  <c r="A167" i="13"/>
  <c r="F166" i="13"/>
  <c r="A166" i="13"/>
  <c r="F165" i="13"/>
  <c r="A165" i="13"/>
  <c r="F164" i="13"/>
  <c r="A164" i="13"/>
  <c r="F163" i="13"/>
  <c r="A163" i="13"/>
  <c r="F162" i="13"/>
  <c r="A162" i="13"/>
  <c r="F161" i="13"/>
  <c r="A161" i="13"/>
  <c r="F160" i="13"/>
  <c r="A160" i="13"/>
  <c r="F159" i="13"/>
  <c r="A159" i="13"/>
  <c r="F158" i="13"/>
  <c r="A158" i="13"/>
  <c r="F157" i="13"/>
  <c r="A157" i="13"/>
  <c r="F156" i="13"/>
  <c r="A156" i="13"/>
  <c r="F155" i="13"/>
  <c r="A155" i="13"/>
  <c r="F154" i="13"/>
  <c r="A154" i="13"/>
  <c r="F153" i="13"/>
  <c r="A153" i="13"/>
  <c r="F152" i="13"/>
  <c r="A152" i="13"/>
  <c r="F151" i="13"/>
  <c r="A151" i="13"/>
  <c r="F150" i="13"/>
  <c r="A150" i="13"/>
  <c r="F149" i="13"/>
  <c r="A149" i="13"/>
  <c r="F148" i="13"/>
  <c r="A148" i="13"/>
  <c r="F147" i="13"/>
  <c r="A147" i="13"/>
  <c r="F144" i="13"/>
  <c r="A144" i="13"/>
  <c r="F143" i="13"/>
  <c r="A143" i="13"/>
  <c r="F142" i="13"/>
  <c r="A142" i="13"/>
  <c r="F141" i="13"/>
  <c r="A141" i="13"/>
  <c r="F140" i="13"/>
  <c r="A140" i="13"/>
  <c r="F139" i="13"/>
  <c r="A139" i="13"/>
  <c r="F138" i="13"/>
  <c r="A138" i="13"/>
  <c r="F137" i="13"/>
  <c r="A137" i="13"/>
  <c r="F136" i="13"/>
  <c r="A136" i="13"/>
  <c r="F134" i="13"/>
  <c r="A134" i="13"/>
  <c r="F127" i="13"/>
  <c r="A127" i="13"/>
  <c r="F126" i="13"/>
  <c r="A126" i="13"/>
  <c r="F125" i="13"/>
  <c r="A125" i="13"/>
  <c r="F124" i="13"/>
  <c r="A124" i="13"/>
  <c r="F123" i="13"/>
  <c r="A123" i="13"/>
  <c r="F122" i="13"/>
  <c r="A122" i="13"/>
  <c r="F121" i="13"/>
  <c r="A121" i="13"/>
  <c r="W602" i="12"/>
  <c r="A602" i="12"/>
  <c r="W221" i="12"/>
  <c r="A221" i="12"/>
  <c r="X220" i="12"/>
  <c r="W220" i="12"/>
  <c r="A220" i="12"/>
  <c r="W219" i="12"/>
  <c r="A219" i="12"/>
  <c r="W218" i="12"/>
  <c r="A218" i="12"/>
  <c r="V218" i="12" s="1"/>
  <c r="W217" i="12"/>
  <c r="A217" i="12"/>
  <c r="W216" i="12"/>
  <c r="A216" i="12"/>
  <c r="V216" i="12" s="1"/>
  <c r="W215" i="12"/>
  <c r="A215" i="12"/>
  <c r="W214" i="12"/>
  <c r="A214" i="12"/>
  <c r="V214" i="12" s="1"/>
  <c r="W213" i="12"/>
  <c r="A213" i="12"/>
  <c r="W212" i="12"/>
  <c r="A212" i="12"/>
  <c r="V212" i="12" s="1"/>
  <c r="W211" i="12"/>
  <c r="A211" i="12"/>
  <c r="W210" i="12"/>
  <c r="A210" i="12"/>
  <c r="V210" i="12" s="1"/>
  <c r="W209" i="12"/>
  <c r="A209" i="12"/>
  <c r="W208" i="12"/>
  <c r="A208" i="12"/>
  <c r="V208" i="12" s="1"/>
  <c r="X207" i="12"/>
  <c r="W207" i="12"/>
  <c r="A207" i="12"/>
  <c r="X206" i="12"/>
  <c r="W206" i="12"/>
  <c r="A206" i="12"/>
  <c r="W202" i="12"/>
  <c r="A202" i="12"/>
  <c r="W201" i="12"/>
  <c r="A201" i="12"/>
  <c r="W200" i="12"/>
  <c r="A200" i="12"/>
  <c r="V200" i="12" s="1"/>
  <c r="W199" i="12"/>
  <c r="A199" i="12"/>
  <c r="W198" i="12"/>
  <c r="A198" i="12"/>
  <c r="W197" i="12"/>
  <c r="A197" i="12"/>
  <c r="V197" i="12" s="1"/>
  <c r="W196" i="12"/>
  <c r="A196" i="12"/>
  <c r="V196" i="12" s="1"/>
  <c r="W195" i="12"/>
  <c r="A195" i="12"/>
  <c r="V195" i="12" s="1"/>
  <c r="W194" i="12"/>
  <c r="A194" i="12"/>
  <c r="V194" i="12" s="1"/>
  <c r="W193" i="12"/>
  <c r="A193" i="12"/>
  <c r="H193" i="12" s="1"/>
  <c r="W192" i="12"/>
  <c r="A192" i="12"/>
  <c r="B192" i="12" s="1"/>
  <c r="W191" i="12"/>
  <c r="A191" i="12"/>
  <c r="H191" i="12" s="1"/>
  <c r="X190" i="12"/>
  <c r="W190" i="12"/>
  <c r="A190" i="12"/>
  <c r="X189" i="12"/>
  <c r="W189" i="12"/>
  <c r="A189" i="12"/>
  <c r="W188" i="12"/>
  <c r="A188" i="12"/>
  <c r="B188" i="12" s="1"/>
  <c r="W187" i="12"/>
  <c r="A187" i="12"/>
  <c r="H187" i="12" s="1"/>
  <c r="W186" i="12"/>
  <c r="A186" i="12"/>
  <c r="W185" i="12"/>
  <c r="A185" i="12"/>
  <c r="B185" i="12" s="1"/>
  <c r="W184" i="12"/>
  <c r="A184" i="12"/>
  <c r="H184" i="12" s="1"/>
  <c r="W183" i="12"/>
  <c r="A183" i="12"/>
  <c r="V183" i="12" s="1"/>
  <c r="W182" i="12"/>
  <c r="A182" i="12"/>
  <c r="H182" i="12" s="1"/>
  <c r="X179" i="12"/>
  <c r="W179" i="12"/>
  <c r="A179" i="12"/>
  <c r="W178" i="12"/>
  <c r="A178" i="12"/>
  <c r="H178" i="12" s="1"/>
  <c r="W177" i="12"/>
  <c r="A177" i="12"/>
  <c r="V177" i="12" s="1"/>
  <c r="W176" i="12"/>
  <c r="A176" i="12"/>
  <c r="V176" i="12" s="1"/>
  <c r="W175" i="12"/>
  <c r="A175" i="12"/>
  <c r="B175" i="12" s="1"/>
  <c r="W174" i="12"/>
  <c r="A174" i="12"/>
  <c r="H174" i="12" s="1"/>
  <c r="W173" i="12"/>
  <c r="A173" i="12"/>
  <c r="V173" i="12" s="1"/>
  <c r="W172" i="12"/>
  <c r="A172" i="12"/>
  <c r="B172" i="12" s="1"/>
  <c r="X171" i="12"/>
  <c r="W171" i="12"/>
  <c r="A171" i="12"/>
  <c r="W170" i="12"/>
  <c r="A170" i="12"/>
  <c r="B170" i="12" s="1"/>
  <c r="X169" i="12"/>
  <c r="W169" i="12"/>
  <c r="A169" i="12"/>
  <c r="W168" i="12"/>
  <c r="A168" i="12"/>
  <c r="B168" i="12" s="1"/>
  <c r="W167" i="12"/>
  <c r="A167" i="12"/>
  <c r="B167" i="12" s="1"/>
  <c r="W166" i="12"/>
  <c r="A166" i="12"/>
  <c r="H166" i="12" s="1"/>
  <c r="W165" i="12"/>
  <c r="A165" i="12"/>
  <c r="V165" i="12" s="1"/>
  <c r="W164" i="12"/>
  <c r="A164" i="12"/>
  <c r="V164" i="12" s="1"/>
  <c r="W163" i="12"/>
  <c r="A163" i="12"/>
  <c r="B163" i="12" s="1"/>
  <c r="W162" i="12"/>
  <c r="A162" i="12"/>
  <c r="H162" i="12" s="1"/>
  <c r="W161" i="12"/>
  <c r="A161" i="12"/>
  <c r="V161" i="12" s="1"/>
  <c r="W160" i="12"/>
  <c r="A160" i="12"/>
  <c r="H160" i="12" s="1"/>
  <c r="W159" i="12"/>
  <c r="A159" i="12"/>
  <c r="B159" i="12" s="1"/>
  <c r="W158" i="12"/>
  <c r="A158" i="12"/>
  <c r="H158" i="12" s="1"/>
  <c r="W157" i="12"/>
  <c r="A157" i="12"/>
  <c r="V157" i="12" s="1"/>
  <c r="W156" i="12"/>
  <c r="A156" i="12"/>
  <c r="H156" i="12" s="1"/>
  <c r="W155" i="12"/>
  <c r="A155" i="12"/>
  <c r="B155" i="12" s="1"/>
  <c r="W154" i="12"/>
  <c r="A154" i="12"/>
  <c r="H154" i="12" s="1"/>
  <c r="X153" i="12"/>
  <c r="W153" i="12"/>
  <c r="A153" i="12"/>
  <c r="W152" i="12"/>
  <c r="A152" i="12"/>
  <c r="H152" i="12" s="1"/>
  <c r="W151" i="12"/>
  <c r="A151" i="12"/>
  <c r="V151" i="12" s="1"/>
  <c r="W150" i="12"/>
  <c r="A150" i="12"/>
  <c r="V150" i="12" s="1"/>
  <c r="W149" i="12"/>
  <c r="A149" i="12"/>
  <c r="B149" i="12" s="1"/>
  <c r="W148" i="12"/>
  <c r="A148" i="12"/>
  <c r="H148" i="12" s="1"/>
  <c r="X147" i="12"/>
  <c r="W147" i="12"/>
  <c r="A147" i="12"/>
  <c r="W144" i="12"/>
  <c r="A144" i="12"/>
  <c r="V144" i="12" s="1"/>
  <c r="X143" i="12"/>
  <c r="W143" i="12"/>
  <c r="A143" i="12"/>
  <c r="W142" i="12"/>
  <c r="A142" i="12"/>
  <c r="V142" i="12" s="1"/>
  <c r="W141" i="12"/>
  <c r="A141" i="12"/>
  <c r="B141" i="12" s="1"/>
  <c r="W140" i="12"/>
  <c r="A140" i="12"/>
  <c r="B140" i="12" s="1"/>
  <c r="W139" i="12"/>
  <c r="A139" i="12"/>
  <c r="H139" i="12" s="1"/>
  <c r="W138" i="12"/>
  <c r="A138" i="12"/>
  <c r="V138" i="12" s="1"/>
  <c r="W137" i="12"/>
  <c r="A137" i="12"/>
  <c r="V137" i="12" s="1"/>
  <c r="W136" i="12"/>
  <c r="A136" i="12"/>
  <c r="B136" i="12" s="1"/>
  <c r="X134" i="12"/>
  <c r="W134" i="12"/>
  <c r="A134" i="12"/>
  <c r="W127" i="12"/>
  <c r="A127" i="12"/>
  <c r="B127" i="12" s="1"/>
  <c r="W126" i="12"/>
  <c r="A126" i="12"/>
  <c r="B126" i="12" s="1"/>
  <c r="W125" i="12"/>
  <c r="A125" i="12"/>
  <c r="B125" i="12" s="1"/>
  <c r="W124" i="12"/>
  <c r="A124" i="12"/>
  <c r="B124" i="12" s="1"/>
  <c r="W123" i="12"/>
  <c r="A123" i="12"/>
  <c r="B123" i="12" s="1"/>
  <c r="X122" i="12"/>
  <c r="W122" i="12"/>
  <c r="A122" i="12"/>
  <c r="W121" i="12"/>
  <c r="A121" i="12"/>
  <c r="B121" i="12" s="1"/>
  <c r="D134" i="13" l="1"/>
  <c r="D190" i="13"/>
  <c r="D122" i="13"/>
  <c r="D153" i="13"/>
  <c r="D120" i="13"/>
  <c r="D296" i="13"/>
  <c r="D299" i="13"/>
  <c r="D171" i="13"/>
  <c r="D189" i="13"/>
  <c r="D179" i="13"/>
  <c r="D207" i="13"/>
  <c r="D306" i="13"/>
  <c r="V172" i="12"/>
  <c r="V193" i="12"/>
  <c r="V170" i="12"/>
  <c r="H188" i="12"/>
  <c r="V178" i="12"/>
  <c r="B182" i="12"/>
  <c r="V232" i="12"/>
  <c r="F118" i="13"/>
  <c r="V152" i="12"/>
  <c r="B193" i="12"/>
  <c r="V160" i="12"/>
  <c r="V166" i="12"/>
  <c r="H192" i="12"/>
  <c r="H222" i="12"/>
  <c r="B234" i="12"/>
  <c r="H278" i="12"/>
  <c r="H486" i="12"/>
  <c r="F243" i="13"/>
  <c r="E243" i="13" s="1"/>
  <c r="H141" i="12"/>
  <c r="B156" i="12"/>
  <c r="B164" i="12"/>
  <c r="V168" i="12"/>
  <c r="H185" i="12"/>
  <c r="B230" i="12"/>
  <c r="H233" i="12"/>
  <c r="H273" i="12"/>
  <c r="H150" i="12"/>
  <c r="V156" i="12"/>
  <c r="H164" i="12"/>
  <c r="B176" i="12"/>
  <c r="B187" i="12"/>
  <c r="H149" i="12"/>
  <c r="B160" i="12"/>
  <c r="H176" i="12"/>
  <c r="B222" i="12"/>
  <c r="H308" i="12"/>
  <c r="V139" i="12"/>
  <c r="V140" i="12"/>
  <c r="B150" i="12"/>
  <c r="B158" i="12"/>
  <c r="H159" i="12"/>
  <c r="B166" i="12"/>
  <c r="H167" i="12"/>
  <c r="H168" i="12"/>
  <c r="H170" i="12"/>
  <c r="H172" i="12"/>
  <c r="B178" i="12"/>
  <c r="V182" i="12"/>
  <c r="V191" i="12"/>
  <c r="H230" i="12"/>
  <c r="B231" i="12"/>
  <c r="V233" i="12"/>
  <c r="H234" i="12"/>
  <c r="B235" i="12"/>
  <c r="H237" i="12"/>
  <c r="H243" i="12"/>
  <c r="V247" i="12"/>
  <c r="H248" i="12"/>
  <c r="V251" i="12"/>
  <c r="H252" i="12"/>
  <c r="V255" i="12"/>
  <c r="H256" i="12"/>
  <c r="V259" i="12"/>
  <c r="H260" i="12"/>
  <c r="V263" i="12"/>
  <c r="H264" i="12"/>
  <c r="V267" i="12"/>
  <c r="H268" i="12"/>
  <c r="V271" i="12"/>
  <c r="H272" i="12"/>
  <c r="I278" i="12"/>
  <c r="B279" i="12"/>
  <c r="B137" i="12"/>
  <c r="V141" i="12"/>
  <c r="B148" i="12"/>
  <c r="V158" i="12"/>
  <c r="B184" i="12"/>
  <c r="H231" i="12"/>
  <c r="B232" i="12"/>
  <c r="H235" i="12"/>
  <c r="V237" i="12"/>
  <c r="B238" i="12"/>
  <c r="B241" i="12"/>
  <c r="H244" i="12"/>
  <c r="H249" i="12"/>
  <c r="H257" i="12"/>
  <c r="H261" i="12"/>
  <c r="H265" i="12"/>
  <c r="H269" i="12"/>
  <c r="H279" i="12"/>
  <c r="V311" i="12"/>
  <c r="H312" i="12"/>
  <c r="H137" i="12"/>
  <c r="V148" i="12"/>
  <c r="B154" i="12"/>
  <c r="H155" i="12"/>
  <c r="B162" i="12"/>
  <c r="H163" i="12"/>
  <c r="B174" i="12"/>
  <c r="H175" i="12"/>
  <c r="V184" i="12"/>
  <c r="H238" i="12"/>
  <c r="H241" i="12"/>
  <c r="H250" i="12"/>
  <c r="H254" i="12"/>
  <c r="H258" i="12"/>
  <c r="H262" i="12"/>
  <c r="H266" i="12"/>
  <c r="H270" i="12"/>
  <c r="H274" i="12"/>
  <c r="B278" i="12"/>
  <c r="I279" i="12"/>
  <c r="H140" i="12"/>
  <c r="B152" i="12"/>
  <c r="V154" i="12"/>
  <c r="V162" i="12"/>
  <c r="V174" i="12"/>
  <c r="V187" i="12"/>
  <c r="B191" i="12"/>
  <c r="C309" i="13"/>
  <c r="V487" i="12"/>
  <c r="E311" i="13"/>
  <c r="D298" i="13"/>
  <c r="C310" i="13"/>
  <c r="E239" i="13"/>
  <c r="E247" i="13"/>
  <c r="E279" i="13"/>
  <c r="E232" i="13"/>
  <c r="E222" i="13"/>
  <c r="E236" i="13"/>
  <c r="D228" i="13"/>
  <c r="C228" i="13"/>
  <c r="D309" i="13"/>
  <c r="C485" i="13"/>
  <c r="C236" i="13"/>
  <c r="C245" i="13"/>
  <c r="D310" i="13"/>
  <c r="E231" i="13"/>
  <c r="E238" i="13"/>
  <c r="E233" i="13"/>
  <c r="E235" i="13"/>
  <c r="E241" i="13"/>
  <c r="E263" i="13"/>
  <c r="D239" i="13"/>
  <c r="C242" i="13"/>
  <c r="D485" i="13"/>
  <c r="E295" i="13"/>
  <c r="C239" i="13"/>
  <c r="D236" i="13"/>
  <c r="D242" i="13"/>
  <c r="D245" i="13"/>
  <c r="E259" i="13"/>
  <c r="B138" i="12"/>
  <c r="B142" i="12"/>
  <c r="B144" i="12"/>
  <c r="V149" i="12"/>
  <c r="B151" i="12"/>
  <c r="V155" i="12"/>
  <c r="B157" i="12"/>
  <c r="V159" i="12"/>
  <c r="B161" i="12"/>
  <c r="V163" i="12"/>
  <c r="B165" i="12"/>
  <c r="V167" i="12"/>
  <c r="B173" i="12"/>
  <c r="V175" i="12"/>
  <c r="B177" i="12"/>
  <c r="B183" i="12"/>
  <c r="V185" i="12"/>
  <c r="V188" i="12"/>
  <c r="V192" i="12"/>
  <c r="I194" i="12"/>
  <c r="I195" i="12"/>
  <c r="I196" i="12"/>
  <c r="I197" i="12"/>
  <c r="H200" i="12"/>
  <c r="I222" i="12"/>
  <c r="I230" i="12"/>
  <c r="I231" i="12"/>
  <c r="I232" i="12"/>
  <c r="I233" i="12"/>
  <c r="I234" i="12"/>
  <c r="I235" i="12"/>
  <c r="I237" i="12"/>
  <c r="I238" i="12"/>
  <c r="I241" i="12"/>
  <c r="B243" i="12"/>
  <c r="B244" i="12"/>
  <c r="B247" i="12"/>
  <c r="I247" i="12"/>
  <c r="B248" i="12"/>
  <c r="I248" i="12"/>
  <c r="B249" i="12"/>
  <c r="I249" i="12"/>
  <c r="B250" i="12"/>
  <c r="I250" i="12"/>
  <c r="B251" i="12"/>
  <c r="I251" i="12"/>
  <c r="B252" i="12"/>
  <c r="I252" i="12"/>
  <c r="B254" i="12"/>
  <c r="I254" i="12"/>
  <c r="B255" i="12"/>
  <c r="I255" i="12"/>
  <c r="B256" i="12"/>
  <c r="I256" i="12"/>
  <c r="B257" i="12"/>
  <c r="I257" i="12"/>
  <c r="B258" i="12"/>
  <c r="I258" i="12"/>
  <c r="B259" i="12"/>
  <c r="I259" i="12"/>
  <c r="B260" i="12"/>
  <c r="I260" i="12"/>
  <c r="B261" i="12"/>
  <c r="I261" i="12"/>
  <c r="B262" i="12"/>
  <c r="I262" i="12"/>
  <c r="B263" i="12"/>
  <c r="I263" i="12"/>
  <c r="B264" i="12"/>
  <c r="I264" i="12"/>
  <c r="B265" i="12"/>
  <c r="I265" i="12"/>
  <c r="B266" i="12"/>
  <c r="I266" i="12"/>
  <c r="B267" i="12"/>
  <c r="I267" i="12"/>
  <c r="B302" i="12"/>
  <c r="V302" i="12"/>
  <c r="I302" i="12"/>
  <c r="H302" i="12"/>
  <c r="H138" i="12"/>
  <c r="B139" i="12"/>
  <c r="H151" i="12"/>
  <c r="H157" i="12"/>
  <c r="H161" i="12"/>
  <c r="H165" i="12"/>
  <c r="H173" i="12"/>
  <c r="H177" i="12"/>
  <c r="H183" i="12"/>
  <c r="V277" i="12"/>
  <c r="I277" i="12"/>
  <c r="H277" i="12"/>
  <c r="B277" i="12"/>
  <c r="E237" i="13"/>
  <c r="E291" i="13"/>
  <c r="H142" i="12"/>
  <c r="H144" i="12"/>
  <c r="I243" i="12"/>
  <c r="I244" i="12"/>
  <c r="D289" i="13"/>
  <c r="B294" i="12"/>
  <c r="V294" i="12"/>
  <c r="I294" i="12"/>
  <c r="H294" i="12"/>
  <c r="I268" i="12"/>
  <c r="I269" i="12"/>
  <c r="I270" i="12"/>
  <c r="I271" i="12"/>
  <c r="I272" i="12"/>
  <c r="I273" i="12"/>
  <c r="I274" i="12"/>
  <c r="V275" i="12"/>
  <c r="V282" i="12"/>
  <c r="H282" i="12"/>
  <c r="I282" i="12"/>
  <c r="V284" i="12"/>
  <c r="H284" i="12"/>
  <c r="I284" i="12"/>
  <c r="V286" i="12"/>
  <c r="H286" i="12"/>
  <c r="I286" i="12"/>
  <c r="V288" i="12"/>
  <c r="H288" i="12"/>
  <c r="I288" i="12"/>
  <c r="V290" i="12"/>
  <c r="H290" i="12"/>
  <c r="I290" i="12"/>
  <c r="B291" i="12"/>
  <c r="V291" i="12"/>
  <c r="I291" i="12"/>
  <c r="B295" i="12"/>
  <c r="V295" i="12"/>
  <c r="I295" i="12"/>
  <c r="B303" i="12"/>
  <c r="V303" i="12"/>
  <c r="I303" i="12"/>
  <c r="B307" i="12"/>
  <c r="I307" i="12"/>
  <c r="B268" i="12"/>
  <c r="B269" i="12"/>
  <c r="B270" i="12"/>
  <c r="B271" i="12"/>
  <c r="B272" i="12"/>
  <c r="B273" i="12"/>
  <c r="B274" i="12"/>
  <c r="B275" i="12"/>
  <c r="B276" i="12"/>
  <c r="H276" i="12"/>
  <c r="B280" i="12"/>
  <c r="H280" i="12"/>
  <c r="B282" i="12"/>
  <c r="B284" i="12"/>
  <c r="B286" i="12"/>
  <c r="B288" i="12"/>
  <c r="B290" i="12"/>
  <c r="B292" i="12"/>
  <c r="V292" i="12"/>
  <c r="I292" i="12"/>
  <c r="B300" i="12"/>
  <c r="V300" i="12"/>
  <c r="I300" i="12"/>
  <c r="B304" i="12"/>
  <c r="V304" i="12"/>
  <c r="I304" i="12"/>
  <c r="V307" i="12"/>
  <c r="E234" i="13"/>
  <c r="E265" i="13"/>
  <c r="E297" i="13"/>
  <c r="H275" i="12"/>
  <c r="I276" i="12"/>
  <c r="I280" i="12"/>
  <c r="V281" i="12"/>
  <c r="H281" i="12"/>
  <c r="I281" i="12"/>
  <c r="V283" i="12"/>
  <c r="H283" i="12"/>
  <c r="I283" i="12"/>
  <c r="V285" i="12"/>
  <c r="H285" i="12"/>
  <c r="I285" i="12"/>
  <c r="V287" i="12"/>
  <c r="H287" i="12"/>
  <c r="I287" i="12"/>
  <c r="B293" i="12"/>
  <c r="V293" i="12"/>
  <c r="I293" i="12"/>
  <c r="B297" i="12"/>
  <c r="V297" i="12"/>
  <c r="I297" i="12"/>
  <c r="B301" i="12"/>
  <c r="V301" i="12"/>
  <c r="I301" i="12"/>
  <c r="B305" i="12"/>
  <c r="V305" i="12"/>
  <c r="I305" i="12"/>
  <c r="H307" i="12"/>
  <c r="E269" i="13"/>
  <c r="E271" i="13"/>
  <c r="E301" i="13"/>
  <c r="E303" i="13"/>
  <c r="E228" i="13"/>
  <c r="E230" i="13"/>
  <c r="E249" i="13"/>
  <c r="E281" i="13"/>
  <c r="E242" i="13"/>
  <c r="E255" i="13"/>
  <c r="E275" i="13"/>
  <c r="E285" i="13"/>
  <c r="E287" i="13"/>
  <c r="E307" i="13"/>
  <c r="E487" i="13"/>
  <c r="I308" i="12"/>
  <c r="I311" i="12"/>
  <c r="I312" i="12"/>
  <c r="I486" i="12"/>
  <c r="I487" i="12"/>
  <c r="V488" i="12"/>
  <c r="H488" i="12"/>
  <c r="E244" i="13"/>
  <c r="E261" i="13"/>
  <c r="E277" i="13"/>
  <c r="E293" i="13"/>
  <c r="E309" i="13"/>
  <c r="B308" i="12"/>
  <c r="B311" i="12"/>
  <c r="B312" i="12"/>
  <c r="B486" i="12"/>
  <c r="B487" i="12"/>
  <c r="B488" i="12"/>
  <c r="E251" i="13"/>
  <c r="E257" i="13"/>
  <c r="E267" i="13"/>
  <c r="E273" i="13"/>
  <c r="E283" i="13"/>
  <c r="E289" i="13"/>
  <c r="E299" i="13"/>
  <c r="E305" i="13"/>
  <c r="E485" i="13"/>
  <c r="E245" i="13"/>
  <c r="E248" i="13"/>
  <c r="E250" i="13"/>
  <c r="E252" i="13"/>
  <c r="E254" i="13"/>
  <c r="E256" i="13"/>
  <c r="E258" i="13"/>
  <c r="E260" i="13"/>
  <c r="E262" i="13"/>
  <c r="E264" i="13"/>
  <c r="E266" i="13"/>
  <c r="E268" i="13"/>
  <c r="E270" i="13"/>
  <c r="E272" i="13"/>
  <c r="E274" i="13"/>
  <c r="E276" i="13"/>
  <c r="E278" i="13"/>
  <c r="E280" i="13"/>
  <c r="E282" i="13"/>
  <c r="E284" i="13"/>
  <c r="E286" i="13"/>
  <c r="E288" i="13"/>
  <c r="E290" i="13"/>
  <c r="E292" i="13"/>
  <c r="E294" i="13"/>
  <c r="E296" i="13"/>
  <c r="E298" i="13"/>
  <c r="E300" i="13"/>
  <c r="E302" i="13"/>
  <c r="E304" i="13"/>
  <c r="E306" i="13"/>
  <c r="E308" i="13"/>
  <c r="E310" i="13"/>
  <c r="E312" i="13"/>
  <c r="E486" i="13"/>
  <c r="E488" i="13"/>
  <c r="C148" i="13"/>
  <c r="C150" i="13"/>
  <c r="D135" i="13"/>
  <c r="E135" i="13"/>
  <c r="C120" i="13"/>
  <c r="E120" i="13"/>
  <c r="E124" i="13"/>
  <c r="E126" i="13"/>
  <c r="C142" i="13"/>
  <c r="C152" i="13"/>
  <c r="C185" i="13"/>
  <c r="C156" i="13"/>
  <c r="E134" i="13"/>
  <c r="C139" i="13"/>
  <c r="C147" i="13"/>
  <c r="D143" i="13"/>
  <c r="C189" i="13"/>
  <c r="C138" i="13"/>
  <c r="C157" i="13"/>
  <c r="C177" i="13"/>
  <c r="E122" i="13"/>
  <c r="C143" i="13"/>
  <c r="D147" i="13"/>
  <c r="D206" i="13"/>
  <c r="D220" i="13"/>
  <c r="C206" i="13"/>
  <c r="C140" i="13"/>
  <c r="C171" i="13"/>
  <c r="C179" i="13"/>
  <c r="C137" i="13"/>
  <c r="C167" i="13"/>
  <c r="C161" i="13"/>
  <c r="C163" i="13"/>
  <c r="C159" i="13"/>
  <c r="D169" i="13"/>
  <c r="B199" i="12"/>
  <c r="I199" i="12"/>
  <c r="H199" i="12"/>
  <c r="V199" i="12"/>
  <c r="H121" i="12"/>
  <c r="V121" i="12"/>
  <c r="H123" i="12"/>
  <c r="V123" i="12"/>
  <c r="H124" i="12"/>
  <c r="V124" i="12"/>
  <c r="H125" i="12"/>
  <c r="V125" i="12"/>
  <c r="H126" i="12"/>
  <c r="V126" i="12"/>
  <c r="H127" i="12"/>
  <c r="V127" i="12"/>
  <c r="H136" i="12"/>
  <c r="V136" i="12"/>
  <c r="E159" i="13"/>
  <c r="C169" i="13"/>
  <c r="I121" i="12"/>
  <c r="I123" i="12"/>
  <c r="I124" i="12"/>
  <c r="I125" i="12"/>
  <c r="I126" i="12"/>
  <c r="I127" i="12"/>
  <c r="I136" i="12"/>
  <c r="B209" i="12"/>
  <c r="I209" i="12"/>
  <c r="H209" i="12"/>
  <c r="V209" i="12"/>
  <c r="B211" i="12"/>
  <c r="I211" i="12"/>
  <c r="H211" i="12"/>
  <c r="V211" i="12"/>
  <c r="B213" i="12"/>
  <c r="I213" i="12"/>
  <c r="H213" i="12"/>
  <c r="V213" i="12"/>
  <c r="B215" i="12"/>
  <c r="I215" i="12"/>
  <c r="H215" i="12"/>
  <c r="V215" i="12"/>
  <c r="B217" i="12"/>
  <c r="I217" i="12"/>
  <c r="H217" i="12"/>
  <c r="V217" i="12"/>
  <c r="B219" i="12"/>
  <c r="I219" i="12"/>
  <c r="H219" i="12"/>
  <c r="V219" i="12"/>
  <c r="B221" i="12"/>
  <c r="I221" i="12"/>
  <c r="H221" i="12"/>
  <c r="V221" i="12"/>
  <c r="E139" i="13"/>
  <c r="E175" i="13"/>
  <c r="B200" i="12"/>
  <c r="I200" i="12"/>
  <c r="E191" i="13"/>
  <c r="E144" i="13"/>
  <c r="E207" i="13"/>
  <c r="B194" i="12"/>
  <c r="B195" i="12"/>
  <c r="B196" i="12"/>
  <c r="B197" i="12"/>
  <c r="B198" i="12"/>
  <c r="I198" i="12"/>
  <c r="B201" i="12"/>
  <c r="I201" i="12"/>
  <c r="H201" i="12"/>
  <c r="V201" i="12"/>
  <c r="E140" i="13"/>
  <c r="E143" i="13"/>
  <c r="I137" i="12"/>
  <c r="I138" i="12"/>
  <c r="I139" i="12"/>
  <c r="I140" i="12"/>
  <c r="I141" i="12"/>
  <c r="I142" i="12"/>
  <c r="I144" i="12"/>
  <c r="I148" i="12"/>
  <c r="I149" i="12"/>
  <c r="I150" i="12"/>
  <c r="I151" i="12"/>
  <c r="I152" i="12"/>
  <c r="I154" i="12"/>
  <c r="I155" i="12"/>
  <c r="I156" i="12"/>
  <c r="I157" i="12"/>
  <c r="I158" i="12"/>
  <c r="I159" i="12"/>
  <c r="I160" i="12"/>
  <c r="I161" i="12"/>
  <c r="I162" i="12"/>
  <c r="I163" i="12"/>
  <c r="I164" i="12"/>
  <c r="I165" i="12"/>
  <c r="I166" i="12"/>
  <c r="I167" i="12"/>
  <c r="I168" i="12"/>
  <c r="I170" i="12"/>
  <c r="I172" i="12"/>
  <c r="I173" i="12"/>
  <c r="I174" i="12"/>
  <c r="I175" i="12"/>
  <c r="I176" i="12"/>
  <c r="I177" i="12"/>
  <c r="I178" i="12"/>
  <c r="I182" i="12"/>
  <c r="I183" i="12"/>
  <c r="I184" i="12"/>
  <c r="I185" i="12"/>
  <c r="I187" i="12"/>
  <c r="I188" i="12"/>
  <c r="I191" i="12"/>
  <c r="I192" i="12"/>
  <c r="I193" i="12"/>
  <c r="H194" i="12"/>
  <c r="H195" i="12"/>
  <c r="H196" i="12"/>
  <c r="H197" i="12"/>
  <c r="H198" i="12"/>
  <c r="V198" i="12"/>
  <c r="B202" i="12"/>
  <c r="I202" i="12"/>
  <c r="H202" i="12"/>
  <c r="V202" i="12"/>
  <c r="B208" i="12"/>
  <c r="I208" i="12"/>
  <c r="H208" i="12"/>
  <c r="B210" i="12"/>
  <c r="I210" i="12"/>
  <c r="H210" i="12"/>
  <c r="B212" i="12"/>
  <c r="I212" i="12"/>
  <c r="H212" i="12"/>
  <c r="B214" i="12"/>
  <c r="I214" i="12"/>
  <c r="H214" i="12"/>
  <c r="B216" i="12"/>
  <c r="I216" i="12"/>
  <c r="H216" i="12"/>
  <c r="B218" i="12"/>
  <c r="I218" i="12"/>
  <c r="H218" i="12"/>
  <c r="B602" i="12"/>
  <c r="I602" i="12"/>
  <c r="V602" i="12"/>
  <c r="H602" i="12"/>
  <c r="E151" i="13"/>
  <c r="E167" i="13"/>
  <c r="E183" i="13"/>
  <c r="E199" i="13"/>
  <c r="E215" i="13"/>
  <c r="E138" i="13"/>
  <c r="E142" i="13"/>
  <c r="E137" i="13"/>
  <c r="E141" i="13"/>
  <c r="E147" i="13"/>
  <c r="E155" i="13"/>
  <c r="E163" i="13"/>
  <c r="E171" i="13"/>
  <c r="E179" i="13"/>
  <c r="E187" i="13"/>
  <c r="E195" i="13"/>
  <c r="E211" i="13"/>
  <c r="E219" i="13"/>
  <c r="E121" i="13"/>
  <c r="E123" i="13"/>
  <c r="E125" i="13"/>
  <c r="E127" i="13"/>
  <c r="E136" i="13"/>
  <c r="E149" i="13"/>
  <c r="E153" i="13"/>
  <c r="E157" i="13"/>
  <c r="E161" i="13"/>
  <c r="E165" i="13"/>
  <c r="E169" i="13"/>
  <c r="E173" i="13"/>
  <c r="E177" i="13"/>
  <c r="E185" i="13"/>
  <c r="E189" i="13"/>
  <c r="E193" i="13"/>
  <c r="E197" i="13"/>
  <c r="E201" i="13"/>
  <c r="E209" i="13"/>
  <c r="E213" i="13"/>
  <c r="E217" i="13"/>
  <c r="E221" i="13"/>
  <c r="E148" i="13"/>
  <c r="E150" i="13"/>
  <c r="E152" i="13"/>
  <c r="E154" i="13"/>
  <c r="E156" i="13"/>
  <c r="E158" i="13"/>
  <c r="E160" i="13"/>
  <c r="E162" i="13"/>
  <c r="E164" i="13"/>
  <c r="E166" i="13"/>
  <c r="E168" i="13"/>
  <c r="E170" i="13"/>
  <c r="E172" i="13"/>
  <c r="E174" i="13"/>
  <c r="E176" i="13"/>
  <c r="E178" i="13"/>
  <c r="E182" i="13"/>
  <c r="E184" i="13"/>
  <c r="E186" i="13"/>
  <c r="E188" i="13"/>
  <c r="E190" i="13"/>
  <c r="E192" i="13"/>
  <c r="E194" i="13"/>
  <c r="E196" i="13"/>
  <c r="E198" i="13"/>
  <c r="E200" i="13"/>
  <c r="E202" i="13"/>
  <c r="E206" i="13"/>
  <c r="E208" i="13"/>
  <c r="E210" i="13"/>
  <c r="E212" i="13"/>
  <c r="E214" i="13"/>
  <c r="E216" i="13"/>
  <c r="E218" i="13"/>
  <c r="E220" i="13"/>
  <c r="E602" i="13"/>
  <c r="J50" i="18"/>
  <c r="J49" i="18"/>
  <c r="J48" i="18"/>
  <c r="J47" i="18"/>
  <c r="A45" i="18"/>
  <c r="A46" i="18" s="1"/>
  <c r="C44" i="18"/>
  <c r="C39" i="18"/>
  <c r="A39" i="18"/>
  <c r="A40" i="18" s="1"/>
  <c r="C38" i="18"/>
  <c r="I35" i="18"/>
  <c r="M32" i="18"/>
  <c r="I29" i="18"/>
  <c r="A29" i="18"/>
  <c r="A32" i="18" s="1"/>
  <c r="A28" i="18"/>
  <c r="C28" i="18" s="1"/>
  <c r="O27" i="18"/>
  <c r="C27" i="18"/>
  <c r="N24" i="18"/>
  <c r="A24" i="18"/>
  <c r="A25" i="18" s="1"/>
  <c r="A23" i="18"/>
  <c r="C23" i="18" s="1"/>
  <c r="M22" i="18"/>
  <c r="I22" i="18"/>
  <c r="C22" i="18"/>
  <c r="A22" i="18"/>
  <c r="M21" i="18"/>
  <c r="I21" i="18"/>
  <c r="C21" i="18"/>
  <c r="M20" i="18"/>
  <c r="I20" i="18"/>
  <c r="M19" i="18"/>
  <c r="P19" i="18" s="1"/>
  <c r="I19" i="18"/>
  <c r="P18" i="18"/>
  <c r="M18" i="18"/>
  <c r="Q18" i="18" s="1"/>
  <c r="I18" i="18"/>
  <c r="A18" i="18"/>
  <c r="A19" i="18" s="1"/>
  <c r="A17" i="18"/>
  <c r="C17" i="18" s="1"/>
  <c r="C15" i="18"/>
  <c r="A15" i="18"/>
  <c r="C14" i="18"/>
  <c r="C13" i="18"/>
  <c r="C12" i="18"/>
  <c r="Q11" i="18"/>
  <c r="I37" i="18" s="1"/>
  <c r="C11" i="18"/>
  <c r="C10" i="18"/>
  <c r="C9" i="18"/>
  <c r="I8" i="18"/>
  <c r="C8" i="18"/>
  <c r="K5" i="18"/>
  <c r="I5" i="18"/>
  <c r="A4" i="18"/>
  <c r="A5" i="18" s="1"/>
  <c r="A3" i="18"/>
  <c r="C3" i="18" s="1"/>
  <c r="C2" i="18"/>
  <c r="N1" i="18"/>
  <c r="F15" i="13"/>
  <c r="F119" i="13"/>
  <c r="A119" i="13"/>
  <c r="A118" i="13"/>
  <c r="F117" i="13"/>
  <c r="A117" i="13"/>
  <c r="F116" i="13"/>
  <c r="A116" i="13"/>
  <c r="F115" i="13"/>
  <c r="A115" i="13"/>
  <c r="F114" i="13"/>
  <c r="A114" i="13"/>
  <c r="F113" i="13"/>
  <c r="A113" i="13"/>
  <c r="F112" i="13"/>
  <c r="A112" i="13"/>
  <c r="F111" i="13"/>
  <c r="A111" i="13"/>
  <c r="F110" i="13"/>
  <c r="A110" i="13"/>
  <c r="F109" i="13"/>
  <c r="A109" i="13"/>
  <c r="F108" i="13"/>
  <c r="A108" i="13"/>
  <c r="F93" i="13"/>
  <c r="A93" i="13"/>
  <c r="F92" i="13"/>
  <c r="A92" i="13"/>
  <c r="F91" i="13"/>
  <c r="A91" i="13"/>
  <c r="F90" i="13"/>
  <c r="A90" i="13"/>
  <c r="F89" i="13"/>
  <c r="A89" i="13"/>
  <c r="F88" i="13"/>
  <c r="A88" i="13"/>
  <c r="F87" i="13"/>
  <c r="A87" i="13"/>
  <c r="F86" i="13"/>
  <c r="A86" i="13"/>
  <c r="F85" i="13"/>
  <c r="A85" i="13"/>
  <c r="F84" i="13"/>
  <c r="A84" i="13"/>
  <c r="F83" i="13"/>
  <c r="A83" i="13"/>
  <c r="F82" i="13"/>
  <c r="A82" i="13"/>
  <c r="F81" i="13"/>
  <c r="A81" i="13"/>
  <c r="F80" i="13"/>
  <c r="A80" i="13"/>
  <c r="F79" i="13"/>
  <c r="A79" i="13"/>
  <c r="F57" i="13"/>
  <c r="A57" i="13"/>
  <c r="F56" i="13"/>
  <c r="A56" i="13"/>
  <c r="F55" i="13"/>
  <c r="A55" i="13"/>
  <c r="F54" i="13"/>
  <c r="A54" i="13"/>
  <c r="F53" i="13"/>
  <c r="A53" i="13"/>
  <c r="F52" i="13"/>
  <c r="A52" i="13"/>
  <c r="F50" i="13"/>
  <c r="A50" i="13"/>
  <c r="F49" i="13"/>
  <c r="A49" i="13"/>
  <c r="F48" i="13"/>
  <c r="A48" i="13"/>
  <c r="F47" i="13"/>
  <c r="A47" i="13"/>
  <c r="F45" i="13"/>
  <c r="A45" i="13"/>
  <c r="F44" i="13"/>
  <c r="A44" i="13"/>
  <c r="F43" i="13"/>
  <c r="A43" i="13"/>
  <c r="F42" i="13"/>
  <c r="A42" i="13"/>
  <c r="F41" i="13"/>
  <c r="A41" i="13"/>
  <c r="F40" i="13"/>
  <c r="A40" i="13"/>
  <c r="F39" i="13"/>
  <c r="A39" i="13"/>
  <c r="F30" i="13"/>
  <c r="A30" i="13"/>
  <c r="F29" i="13"/>
  <c r="A29" i="13"/>
  <c r="F28" i="13"/>
  <c r="A28" i="13"/>
  <c r="F27" i="13"/>
  <c r="A27" i="13"/>
  <c r="F26" i="13"/>
  <c r="A26" i="13"/>
  <c r="F24" i="13"/>
  <c r="A24" i="13"/>
  <c r="F22" i="13"/>
  <c r="A22" i="13"/>
  <c r="F21" i="13"/>
  <c r="A21" i="13"/>
  <c r="F20" i="13"/>
  <c r="A20" i="13"/>
  <c r="F19" i="13"/>
  <c r="A19" i="13"/>
  <c r="F16" i="13"/>
  <c r="A16" i="13"/>
  <c r="A15" i="13"/>
  <c r="F14" i="13"/>
  <c r="A14" i="13"/>
  <c r="X119" i="12"/>
  <c r="W119" i="12"/>
  <c r="A119" i="12"/>
  <c r="W118" i="12"/>
  <c r="A118" i="12"/>
  <c r="W117" i="12"/>
  <c r="A117" i="12"/>
  <c r="W116" i="12"/>
  <c r="A116" i="12"/>
  <c r="H116" i="12" s="1"/>
  <c r="W115" i="12"/>
  <c r="A115" i="12"/>
  <c r="V115" i="12" s="1"/>
  <c r="X114" i="12"/>
  <c r="W114" i="12"/>
  <c r="A114" i="12"/>
  <c r="W113" i="12"/>
  <c r="A113" i="12"/>
  <c r="W112" i="12"/>
  <c r="A112" i="12"/>
  <c r="B112" i="12" s="1"/>
  <c r="W111" i="12"/>
  <c r="A111" i="12"/>
  <c r="W110" i="12"/>
  <c r="A110" i="12"/>
  <c r="B110" i="12" s="1"/>
  <c r="X109" i="12"/>
  <c r="W109" i="12"/>
  <c r="A109" i="12"/>
  <c r="X108" i="12"/>
  <c r="W108" i="12"/>
  <c r="A108" i="12"/>
  <c r="W93" i="12"/>
  <c r="A93" i="12"/>
  <c r="V93" i="12" s="1"/>
  <c r="X92" i="12"/>
  <c r="W92" i="12"/>
  <c r="A92" i="12"/>
  <c r="W91" i="12"/>
  <c r="A91" i="12"/>
  <c r="V91" i="12" s="1"/>
  <c r="W90" i="12"/>
  <c r="A90" i="12"/>
  <c r="B90" i="12" s="1"/>
  <c r="W89" i="12"/>
  <c r="A89" i="12"/>
  <c r="V89" i="12" s="1"/>
  <c r="W88" i="12"/>
  <c r="A88" i="12"/>
  <c r="W87" i="12"/>
  <c r="A87" i="12"/>
  <c r="V87" i="12" s="1"/>
  <c r="X86" i="12"/>
  <c r="W86" i="12"/>
  <c r="A86" i="12"/>
  <c r="W85" i="12"/>
  <c r="A85" i="12"/>
  <c r="V85" i="12" s="1"/>
  <c r="W84" i="12"/>
  <c r="A84" i="12"/>
  <c r="W83" i="12"/>
  <c r="A83" i="12"/>
  <c r="V83" i="12" s="1"/>
  <c r="W82" i="12"/>
  <c r="A82" i="12"/>
  <c r="B82" i="12" s="1"/>
  <c r="W81" i="12"/>
  <c r="A81" i="12"/>
  <c r="B81" i="12" s="1"/>
  <c r="W80" i="12"/>
  <c r="A80" i="12"/>
  <c r="X79" i="12"/>
  <c r="W79" i="12"/>
  <c r="A79" i="12"/>
  <c r="W57" i="12"/>
  <c r="A57" i="12"/>
  <c r="I57" i="12" s="1"/>
  <c r="W56" i="12"/>
  <c r="A56" i="12"/>
  <c r="W55" i="12"/>
  <c r="A55" i="12"/>
  <c r="I55" i="12" s="1"/>
  <c r="W54" i="12"/>
  <c r="A54" i="12"/>
  <c r="W53" i="12"/>
  <c r="A53" i="12"/>
  <c r="I53" i="12" s="1"/>
  <c r="W52" i="12"/>
  <c r="A52" i="12"/>
  <c r="W50" i="12"/>
  <c r="A50" i="12"/>
  <c r="X49" i="12"/>
  <c r="W49" i="12"/>
  <c r="A49" i="12"/>
  <c r="W48" i="12"/>
  <c r="A48" i="12"/>
  <c r="W47" i="12"/>
  <c r="A47" i="12"/>
  <c r="W45" i="12"/>
  <c r="A45" i="12"/>
  <c r="I45" i="12" s="1"/>
  <c r="W44" i="12"/>
  <c r="A44" i="12"/>
  <c r="W43" i="12"/>
  <c r="A43" i="12"/>
  <c r="I43" i="12" s="1"/>
  <c r="W42" i="12"/>
  <c r="A42" i="12"/>
  <c r="W41" i="12"/>
  <c r="A41" i="12"/>
  <c r="B41" i="12" s="1"/>
  <c r="W40" i="12"/>
  <c r="A40" i="12"/>
  <c r="W39" i="12"/>
  <c r="A39" i="12"/>
  <c r="W30" i="12"/>
  <c r="A30" i="12"/>
  <c r="H30" i="12" s="1"/>
  <c r="W29" i="12"/>
  <c r="A29" i="12"/>
  <c r="H29" i="12" s="1"/>
  <c r="W28" i="12"/>
  <c r="A28" i="12"/>
  <c r="H28" i="12" s="1"/>
  <c r="W27" i="12"/>
  <c r="A27" i="12"/>
  <c r="H27" i="12" s="1"/>
  <c r="W26" i="12"/>
  <c r="A26" i="12"/>
  <c r="H26" i="12" s="1"/>
  <c r="X24" i="12"/>
  <c r="W24" i="12"/>
  <c r="A24" i="12"/>
  <c r="W22" i="12"/>
  <c r="A22" i="12"/>
  <c r="H22" i="12" s="1"/>
  <c r="W21" i="12"/>
  <c r="A21" i="12"/>
  <c r="V21" i="12" s="1"/>
  <c r="W20" i="12"/>
  <c r="A20" i="12"/>
  <c r="H20" i="12" s="1"/>
  <c r="W19" i="12"/>
  <c r="A19" i="12"/>
  <c r="H19" i="12" s="1"/>
  <c r="W16" i="12"/>
  <c r="A16" i="12"/>
  <c r="V16" i="12" s="1"/>
  <c r="W15" i="12"/>
  <c r="A15" i="12"/>
  <c r="H15" i="12" s="1"/>
  <c r="W14" i="12"/>
  <c r="A14" i="12"/>
  <c r="V14" i="12" s="1"/>
  <c r="D92" i="13" l="1"/>
  <c r="D109" i="13"/>
  <c r="D108" i="13"/>
  <c r="D49" i="13"/>
  <c r="D86" i="13"/>
  <c r="D114" i="13"/>
  <c r="C289" i="13"/>
  <c r="C296" i="13"/>
  <c r="C299" i="13"/>
  <c r="C306" i="13"/>
  <c r="C298" i="13"/>
  <c r="C173" i="13"/>
  <c r="C220" i="13"/>
  <c r="C183" i="13"/>
  <c r="C175" i="13"/>
  <c r="C190" i="13"/>
  <c r="C182" i="13"/>
  <c r="C178" i="13"/>
  <c r="C174" i="13"/>
  <c r="C207" i="13"/>
  <c r="C168" i="13"/>
  <c r="C164" i="13"/>
  <c r="C160" i="13"/>
  <c r="C151" i="13"/>
  <c r="C134" i="13"/>
  <c r="C188" i="13"/>
  <c r="C184" i="13"/>
  <c r="C176" i="13"/>
  <c r="C172" i="13"/>
  <c r="C155" i="13"/>
  <c r="C149" i="13"/>
  <c r="C122" i="13"/>
  <c r="C165" i="13"/>
  <c r="C170" i="13"/>
  <c r="C166" i="13"/>
  <c r="C162" i="13"/>
  <c r="C158" i="13"/>
  <c r="C153" i="13"/>
  <c r="V116" i="12"/>
  <c r="H89" i="12"/>
  <c r="H90" i="12"/>
  <c r="B87" i="12"/>
  <c r="B91" i="12"/>
  <c r="H82" i="12"/>
  <c r="V82" i="12"/>
  <c r="B83" i="12"/>
  <c r="B85" i="12"/>
  <c r="V15" i="12"/>
  <c r="H21" i="12"/>
  <c r="H83" i="12"/>
  <c r="H85" i="12"/>
  <c r="H87" i="12"/>
  <c r="H91" i="12"/>
  <c r="B115" i="12"/>
  <c r="H81" i="12"/>
  <c r="B93" i="12"/>
  <c r="H112" i="12"/>
  <c r="H115" i="12"/>
  <c r="H110" i="12"/>
  <c r="B116" i="12"/>
  <c r="R18" i="18"/>
  <c r="Q20" i="18"/>
  <c r="P21" i="18"/>
  <c r="Q19" i="18"/>
  <c r="A20" i="18"/>
  <c r="C20" i="18" s="1"/>
  <c r="C19" i="18"/>
  <c r="C5" i="18"/>
  <c r="A6" i="18"/>
  <c r="A26" i="18"/>
  <c r="C26" i="18" s="1"/>
  <c r="C25" i="18"/>
  <c r="A41" i="18"/>
  <c r="C40" i="18"/>
  <c r="A33" i="18"/>
  <c r="C32" i="18"/>
  <c r="C46" i="18"/>
  <c r="A47" i="18"/>
  <c r="C4" i="18"/>
  <c r="C18" i="18"/>
  <c r="R19" i="18"/>
  <c r="C24" i="18"/>
  <c r="N25" i="18"/>
  <c r="O25" i="18" s="1"/>
  <c r="N26" i="18"/>
  <c r="C29" i="18"/>
  <c r="L32" i="18"/>
  <c r="M33" i="18"/>
  <c r="C45" i="18"/>
  <c r="E39" i="13"/>
  <c r="E111" i="13"/>
  <c r="E27" i="13"/>
  <c r="E29" i="13"/>
  <c r="E41" i="13"/>
  <c r="E49" i="13"/>
  <c r="E28" i="13"/>
  <c r="E43" i="13"/>
  <c r="E45" i="13"/>
  <c r="D79" i="13"/>
  <c r="E16" i="13"/>
  <c r="E24" i="13"/>
  <c r="E44" i="13"/>
  <c r="E20" i="13"/>
  <c r="E52" i="13"/>
  <c r="E79" i="13"/>
  <c r="V20" i="12"/>
  <c r="H14" i="12"/>
  <c r="C24" i="13"/>
  <c r="V109" i="12"/>
  <c r="V88" i="12"/>
  <c r="H88" i="12"/>
  <c r="B88" i="12"/>
  <c r="H117" i="12"/>
  <c r="B117" i="12"/>
  <c r="V19" i="12"/>
  <c r="H16" i="12"/>
  <c r="V22" i="12"/>
  <c r="H84" i="12"/>
  <c r="V84" i="12"/>
  <c r="B84" i="12"/>
  <c r="C86" i="13"/>
  <c r="V113" i="12"/>
  <c r="H113" i="12"/>
  <c r="B113" i="12"/>
  <c r="V117" i="12"/>
  <c r="H118" i="12"/>
  <c r="B118" i="12"/>
  <c r="D24" i="13"/>
  <c r="V111" i="12"/>
  <c r="H111" i="12"/>
  <c r="B111" i="12"/>
  <c r="V118" i="12"/>
  <c r="D119" i="13"/>
  <c r="C92" i="13"/>
  <c r="H93" i="12"/>
  <c r="V110" i="12"/>
  <c r="V112" i="12"/>
  <c r="C114" i="13"/>
  <c r="E30" i="13"/>
  <c r="E47" i="13"/>
  <c r="E91" i="13"/>
  <c r="V26" i="12"/>
  <c r="V27" i="12"/>
  <c r="V28" i="12"/>
  <c r="V29" i="12"/>
  <c r="V30" i="12"/>
  <c r="V81" i="12"/>
  <c r="V90" i="12"/>
  <c r="V114" i="12"/>
  <c r="E19" i="13"/>
  <c r="E21" i="13"/>
  <c r="E40" i="13"/>
  <c r="E48" i="13"/>
  <c r="B89" i="12"/>
  <c r="E26" i="13"/>
  <c r="E42" i="13"/>
  <c r="E50" i="13"/>
  <c r="E15" i="13"/>
  <c r="E14" i="13"/>
  <c r="B44" i="12"/>
  <c r="V44" i="12"/>
  <c r="H44" i="12"/>
  <c r="B47" i="12"/>
  <c r="V47" i="12"/>
  <c r="H47" i="12"/>
  <c r="B48" i="12"/>
  <c r="V48" i="12"/>
  <c r="H48" i="12"/>
  <c r="B50" i="12"/>
  <c r="V50" i="12"/>
  <c r="H50" i="12"/>
  <c r="B52" i="12"/>
  <c r="V52" i="12"/>
  <c r="H52" i="12"/>
  <c r="B54" i="12"/>
  <c r="V54" i="12"/>
  <c r="H54" i="12"/>
  <c r="B56" i="12"/>
  <c r="V56" i="12"/>
  <c r="H56" i="12"/>
  <c r="V42" i="12"/>
  <c r="H42" i="12"/>
  <c r="I42" i="12"/>
  <c r="I15" i="12"/>
  <c r="I16" i="12"/>
  <c r="I19" i="12"/>
  <c r="I21" i="12"/>
  <c r="I26" i="12"/>
  <c r="I27" i="12"/>
  <c r="I28" i="12"/>
  <c r="I29" i="12"/>
  <c r="I30" i="12"/>
  <c r="B42" i="12"/>
  <c r="B43" i="12"/>
  <c r="V43" i="12"/>
  <c r="H43" i="12"/>
  <c r="I44" i="12"/>
  <c r="B45" i="12"/>
  <c r="V45" i="12"/>
  <c r="H45" i="12"/>
  <c r="I47" i="12"/>
  <c r="I48" i="12"/>
  <c r="I50" i="12"/>
  <c r="I52" i="12"/>
  <c r="B53" i="12"/>
  <c r="V53" i="12"/>
  <c r="H53" i="12"/>
  <c r="I54" i="12"/>
  <c r="B55" i="12"/>
  <c r="V55" i="12"/>
  <c r="H55" i="12"/>
  <c r="I56" i="12"/>
  <c r="B57" i="12"/>
  <c r="V57" i="12"/>
  <c r="H57" i="12"/>
  <c r="I14" i="12"/>
  <c r="I20" i="12"/>
  <c r="I22" i="12"/>
  <c r="B14" i="12"/>
  <c r="B15" i="12"/>
  <c r="B16" i="12"/>
  <c r="B19" i="12"/>
  <c r="B20" i="12"/>
  <c r="B21" i="12"/>
  <c r="B22" i="12"/>
  <c r="B26" i="12"/>
  <c r="B27" i="12"/>
  <c r="B28" i="12"/>
  <c r="B29" i="12"/>
  <c r="B30" i="12"/>
  <c r="V41" i="12"/>
  <c r="H41" i="12"/>
  <c r="I41" i="12"/>
  <c r="E56" i="13"/>
  <c r="E81" i="13"/>
  <c r="E83" i="13"/>
  <c r="E109" i="13"/>
  <c r="E22" i="13"/>
  <c r="E93" i="13"/>
  <c r="I81" i="12"/>
  <c r="I82" i="12"/>
  <c r="I83" i="12"/>
  <c r="I84" i="12"/>
  <c r="I85" i="12"/>
  <c r="I87" i="12"/>
  <c r="I88" i="12"/>
  <c r="I89" i="12"/>
  <c r="I90" i="12"/>
  <c r="I91" i="12"/>
  <c r="I93" i="12"/>
  <c r="I110" i="12"/>
  <c r="I111" i="12"/>
  <c r="I112" i="12"/>
  <c r="I113" i="12"/>
  <c r="I115" i="12"/>
  <c r="I116" i="12"/>
  <c r="I117" i="12"/>
  <c r="I118" i="12"/>
  <c r="E87" i="13"/>
  <c r="E113" i="13"/>
  <c r="E115" i="13"/>
  <c r="E54" i="13"/>
  <c r="E89" i="13"/>
  <c r="E119" i="13"/>
  <c r="E85" i="13"/>
  <c r="E117" i="13"/>
  <c r="E53" i="13"/>
  <c r="E55" i="13"/>
  <c r="E57" i="13"/>
  <c r="E80" i="13"/>
  <c r="E82" i="13"/>
  <c r="E84" i="13"/>
  <c r="E86" i="13"/>
  <c r="E88" i="13"/>
  <c r="E90" i="13"/>
  <c r="E92" i="13"/>
  <c r="E108" i="13"/>
  <c r="E110" i="13"/>
  <c r="E112" i="13"/>
  <c r="E114" i="13"/>
  <c r="E116" i="13"/>
  <c r="E118" i="13"/>
  <c r="D493" i="13" l="1"/>
  <c r="D498" i="13"/>
  <c r="D496" i="13"/>
  <c r="D494" i="13"/>
  <c r="D495" i="13"/>
  <c r="N27" i="18"/>
  <c r="A48" i="18"/>
  <c r="C47" i="18"/>
  <c r="C6" i="18"/>
  <c r="Q26" i="18" s="1"/>
  <c r="A7" i="18"/>
  <c r="C7" i="18" s="1"/>
  <c r="R20" i="18"/>
  <c r="P20" i="18"/>
  <c r="P22" i="18"/>
  <c r="C41" i="18"/>
  <c r="A42" i="18"/>
  <c r="R21" i="18"/>
  <c r="Q21" i="18"/>
  <c r="A34" i="18"/>
  <c r="C34" i="18" s="1"/>
  <c r="C33" i="18"/>
  <c r="Q22" i="18"/>
  <c r="C119" i="13"/>
  <c r="C109" i="13"/>
  <c r="C79" i="13"/>
  <c r="C49" i="13"/>
  <c r="C108" i="13"/>
  <c r="D518" i="13" l="1"/>
  <c r="D517" i="13"/>
  <c r="D497" i="13"/>
  <c r="D492" i="13"/>
  <c r="C436" i="13"/>
  <c r="C437" i="13"/>
  <c r="C438" i="13"/>
  <c r="C439" i="13"/>
  <c r="C180" i="13"/>
  <c r="C42" i="18"/>
  <c r="A43" i="18"/>
  <c r="C43" i="18" s="1"/>
  <c r="A49" i="18"/>
  <c r="C49" i="18" s="1"/>
  <c r="C48" i="18"/>
  <c r="R22" i="18"/>
  <c r="R26" i="18"/>
  <c r="P26" i="18"/>
  <c r="F11" i="13"/>
  <c r="F13" i="13"/>
  <c r="X186" i="12"/>
  <c r="X80" i="12"/>
  <c r="X40" i="12"/>
  <c r="X39" i="12"/>
  <c r="C154" i="13" l="1"/>
  <c r="C141" i="13"/>
  <c r="O26" i="18"/>
  <c r="V27" i="18" s="1"/>
  <c r="T16" i="18" s="1"/>
  <c r="E7" i="13"/>
  <c r="P9" i="12"/>
  <c r="F10" i="13"/>
  <c r="G10" i="13" s="1"/>
  <c r="H10" i="13" s="1"/>
  <c r="I10" i="13" s="1"/>
  <c r="J10" i="13" s="1"/>
  <c r="K10" i="13" s="1"/>
  <c r="L10" i="13" s="1"/>
  <c r="M10" i="13" s="1"/>
  <c r="N10" i="13" s="1"/>
  <c r="O10" i="13" s="1"/>
  <c r="U10" i="13"/>
  <c r="AC9" i="11"/>
  <c r="AC10" i="11" s="1"/>
  <c r="K611" i="12"/>
  <c r="X13" i="12"/>
  <c r="W13" i="12"/>
  <c r="N24" i="17"/>
  <c r="N26" i="17" s="1"/>
  <c r="Q224" i="16"/>
  <c r="Q223" i="16"/>
  <c r="P2" i="11"/>
  <c r="A20" i="11"/>
  <c r="A23" i="11" s="1"/>
  <c r="A26" i="11" s="1"/>
  <c r="Q10" i="12"/>
  <c r="Q11" i="17"/>
  <c r="M33" i="17" s="1"/>
  <c r="N8" i="11"/>
  <c r="O9" i="11"/>
  <c r="P9" i="11" s="1"/>
  <c r="O10" i="11"/>
  <c r="A13" i="11"/>
  <c r="K13" i="11" s="1"/>
  <c r="N11" i="11" s="1"/>
  <c r="D17" i="11"/>
  <c r="L305" i="11"/>
  <c r="K617" i="12"/>
  <c r="A11" i="13"/>
  <c r="E11" i="13" s="1"/>
  <c r="X11" i="12"/>
  <c r="J12" i="12"/>
  <c r="A12" i="13" s="1"/>
  <c r="N12" i="12"/>
  <c r="U12" i="12" s="1"/>
  <c r="A13" i="13"/>
  <c r="E13" i="13" s="1"/>
  <c r="K614" i="12"/>
  <c r="N2" i="12"/>
  <c r="Y10" i="12"/>
  <c r="Z10" i="12"/>
  <c r="A11" i="12"/>
  <c r="G11" i="12" s="1"/>
  <c r="W11" i="12"/>
  <c r="A13" i="12"/>
  <c r="C13" i="13" s="1"/>
  <c r="N1" i="17"/>
  <c r="C2" i="17"/>
  <c r="A3" i="17"/>
  <c r="C3" i="17" s="1"/>
  <c r="I5" i="17"/>
  <c r="K5" i="17"/>
  <c r="C8" i="17"/>
  <c r="I8" i="17"/>
  <c r="C9" i="17"/>
  <c r="C10" i="17"/>
  <c r="C11" i="17"/>
  <c r="C12" i="17"/>
  <c r="C13" i="17"/>
  <c r="C14" i="17"/>
  <c r="A15" i="17"/>
  <c r="C15" i="17" s="1"/>
  <c r="A17" i="17"/>
  <c r="C17" i="17" s="1"/>
  <c r="I18" i="17"/>
  <c r="M18" i="17"/>
  <c r="I19" i="17"/>
  <c r="M19" i="17"/>
  <c r="I20" i="17"/>
  <c r="M20" i="17"/>
  <c r="C21" i="17"/>
  <c r="I21" i="17"/>
  <c r="M21" i="17"/>
  <c r="A22" i="17"/>
  <c r="C22" i="17" s="1"/>
  <c r="I22" i="17"/>
  <c r="M22" i="17"/>
  <c r="C27" i="17"/>
  <c r="A28" i="17"/>
  <c r="A29" i="17" s="1"/>
  <c r="A32" i="17" s="1"/>
  <c r="I29" i="17"/>
  <c r="M32" i="17"/>
  <c r="I35" i="17"/>
  <c r="C38" i="17"/>
  <c r="A39" i="17"/>
  <c r="C39" i="17" s="1"/>
  <c r="A40" i="17"/>
  <c r="A41" i="17" s="1"/>
  <c r="C44" i="17"/>
  <c r="A45" i="17"/>
  <c r="A46" i="17"/>
  <c r="C46" i="17" s="1"/>
  <c r="C45" i="17"/>
  <c r="J47" i="17"/>
  <c r="J48" i="17"/>
  <c r="J49" i="17"/>
  <c r="J50" i="17"/>
  <c r="A55" i="16"/>
  <c r="G55" i="16"/>
  <c r="A56" i="16"/>
  <c r="A57" i="16"/>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X38" i="16"/>
  <c r="W38" i="16"/>
  <c r="U38" i="16"/>
  <c r="V38" i="16"/>
  <c r="O11" i="12" l="1"/>
  <c r="D11" i="13" s="1"/>
  <c r="C187" i="13"/>
  <c r="C186" i="13"/>
  <c r="D186" i="13"/>
  <c r="C136" i="13"/>
  <c r="C80" i="13"/>
  <c r="D80" i="13"/>
  <c r="D40" i="13"/>
  <c r="C40" i="13"/>
  <c r="C39" i="13"/>
  <c r="D39" i="13"/>
  <c r="I50" i="17"/>
  <c r="I50" i="18"/>
  <c r="I49" i="17"/>
  <c r="I49" i="18"/>
  <c r="B605" i="13"/>
  <c r="I42" i="18"/>
  <c r="B608" i="13"/>
  <c r="O42" i="18"/>
  <c r="A29" i="11"/>
  <c r="A47" i="17"/>
  <c r="A48" i="17" s="1"/>
  <c r="C40" i="17"/>
  <c r="C28" i="17"/>
  <c r="G57" i="16"/>
  <c r="N25" i="17"/>
  <c r="O25" i="17" s="1"/>
  <c r="I37" i="17"/>
  <c r="L32" i="17"/>
  <c r="A49" i="17"/>
  <c r="C49" i="17" s="1"/>
  <c r="C48" i="17"/>
  <c r="A18" i="17"/>
  <c r="C47" i="17"/>
  <c r="A4" i="17"/>
  <c r="A23" i="17"/>
  <c r="D11" i="12"/>
  <c r="V11" i="12"/>
  <c r="F11" i="12"/>
  <c r="H11" i="12"/>
  <c r="E11" i="12"/>
  <c r="C11" i="12"/>
  <c r="B11" i="12"/>
  <c r="C13" i="12"/>
  <c r="V13" i="12"/>
  <c r="F13" i="12"/>
  <c r="F14" i="12" s="1"/>
  <c r="F15" i="12" s="1"/>
  <c r="F16" i="12" s="1"/>
  <c r="F17" i="12" s="1"/>
  <c r="L308" i="11"/>
  <c r="O42" i="17"/>
  <c r="L11" i="11"/>
  <c r="A5" i="12"/>
  <c r="I11" i="12"/>
  <c r="G13" i="12"/>
  <c r="G14" i="12" s="1"/>
  <c r="G15" i="12" s="1"/>
  <c r="G16" i="12" s="1"/>
  <c r="G17" i="12" s="1"/>
  <c r="S13" i="12"/>
  <c r="E13" i="12"/>
  <c r="E14" i="12" s="1"/>
  <c r="E15" i="12" s="1"/>
  <c r="E16" i="12" s="1"/>
  <c r="E17" i="12" s="1"/>
  <c r="D13" i="12"/>
  <c r="D14" i="12" s="1"/>
  <c r="D15" i="12" s="1"/>
  <c r="D16" i="12" s="1"/>
  <c r="D17" i="12" s="1"/>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E18" i="12" l="1"/>
  <c r="E19" i="12" s="1"/>
  <c r="E20" i="12" s="1"/>
  <c r="E21" i="12" s="1"/>
  <c r="E22" i="12" s="1"/>
  <c r="F18" i="12"/>
  <c r="F19" i="12" s="1"/>
  <c r="F20" i="12" s="1"/>
  <c r="F21" i="12" s="1"/>
  <c r="F22" i="12" s="1"/>
  <c r="G18" i="12"/>
  <c r="G19" i="12" s="1"/>
  <c r="G20" i="12" s="1"/>
  <c r="G21" i="12" s="1"/>
  <c r="G22" i="12" s="1"/>
  <c r="D18" i="12"/>
  <c r="D19" i="12" s="1"/>
  <c r="D20" i="12" s="1"/>
  <c r="D21" i="12" s="1"/>
  <c r="D22" i="12" s="1"/>
  <c r="D23" i="12" s="1"/>
  <c r="E24" i="12"/>
  <c r="G24" i="12"/>
  <c r="F24" i="12"/>
  <c r="V24" i="12"/>
  <c r="A32" i="11"/>
  <c r="A35" i="11" s="1"/>
  <c r="A38" i="11" s="1"/>
  <c r="N27" i="17"/>
  <c r="A5" i="17"/>
  <c r="C4" i="17"/>
  <c r="A19" i="17"/>
  <c r="C18" i="17"/>
  <c r="C23" i="17"/>
  <c r="A24" i="17"/>
  <c r="C20" i="1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V25" i="12" l="1"/>
  <c r="V31" i="12" s="1"/>
  <c r="Z599" i="12"/>
  <c r="S599" i="12" s="1"/>
  <c r="T599" i="12" s="1"/>
  <c r="U599" i="12" s="1"/>
  <c r="Z598" i="12"/>
  <c r="S598" i="12" s="1"/>
  <c r="T598" i="12" s="1"/>
  <c r="U598" i="12" s="1"/>
  <c r="Z597" i="12"/>
  <c r="S597" i="12" s="1"/>
  <c r="T597" i="12" s="1"/>
  <c r="U597" i="12" s="1"/>
  <c r="Z596" i="12"/>
  <c r="S596" i="12" s="1"/>
  <c r="T596" i="12" s="1"/>
  <c r="U596" i="12" s="1"/>
  <c r="Z595" i="12"/>
  <c r="S595" i="12" s="1"/>
  <c r="Z594" i="12"/>
  <c r="S594" i="12" s="1"/>
  <c r="T594" i="12" s="1"/>
  <c r="U594" i="12" s="1"/>
  <c r="Z593" i="12"/>
  <c r="S593" i="12" s="1"/>
  <c r="Z592" i="12"/>
  <c r="S592" i="12" s="1"/>
  <c r="T592" i="12" s="1"/>
  <c r="U592" i="12" s="1"/>
  <c r="Z585" i="12"/>
  <c r="S585" i="12" s="1"/>
  <c r="Z587" i="12"/>
  <c r="S587" i="12" s="1"/>
  <c r="Z586" i="12"/>
  <c r="S586" i="12" s="1"/>
  <c r="T586" i="12" s="1"/>
  <c r="U586" i="12" s="1"/>
  <c r="Z583" i="12"/>
  <c r="S583" i="12" s="1"/>
  <c r="Z582" i="12"/>
  <c r="S582" i="12" s="1"/>
  <c r="T582" i="12" s="1"/>
  <c r="U582" i="12" s="1"/>
  <c r="Z581" i="12"/>
  <c r="S581" i="12" s="1"/>
  <c r="Z580" i="12"/>
  <c r="S580" i="12" s="1"/>
  <c r="T580" i="12" s="1"/>
  <c r="U580" i="12" s="1"/>
  <c r="Z584" i="12"/>
  <c r="S584" i="12" s="1"/>
  <c r="T584" i="12" s="1"/>
  <c r="U584" i="12" s="1"/>
  <c r="Z591" i="12"/>
  <c r="S591" i="12" s="1"/>
  <c r="T591" i="12" s="1"/>
  <c r="U591" i="12" s="1"/>
  <c r="Z590" i="12"/>
  <c r="S590" i="12" s="1"/>
  <c r="Z589" i="12"/>
  <c r="S589" i="12" s="1"/>
  <c r="T589" i="12" s="1"/>
  <c r="U589" i="12" s="1"/>
  <c r="Z588" i="12"/>
  <c r="S588" i="12" s="1"/>
  <c r="T588" i="12" s="1"/>
  <c r="U588" i="12" s="1"/>
  <c r="Z579" i="12"/>
  <c r="S579" i="12" s="1"/>
  <c r="T579" i="12" s="1"/>
  <c r="U579" i="12" s="1"/>
  <c r="Z578" i="12"/>
  <c r="S578" i="12" s="1"/>
  <c r="T578" i="12" s="1"/>
  <c r="U578" i="12" s="1"/>
  <c r="Z577" i="12"/>
  <c r="S577" i="12" s="1"/>
  <c r="Z576" i="12"/>
  <c r="S576" i="12" s="1"/>
  <c r="T576" i="12" s="1"/>
  <c r="U576" i="12" s="1"/>
  <c r="Z575" i="12"/>
  <c r="S575" i="12" s="1"/>
  <c r="Z574" i="12"/>
  <c r="S574" i="12" s="1"/>
  <c r="Z573" i="12"/>
  <c r="S573" i="12" s="1"/>
  <c r="T573" i="12" s="1"/>
  <c r="U573" i="12" s="1"/>
  <c r="Z572" i="12"/>
  <c r="S572" i="12" s="1"/>
  <c r="T572" i="12" s="1"/>
  <c r="U572" i="12" s="1"/>
  <c r="Z571" i="12"/>
  <c r="S571" i="12" s="1"/>
  <c r="Z570" i="12"/>
  <c r="S570" i="12" s="1"/>
  <c r="T570" i="12" s="1"/>
  <c r="U570" i="12" s="1"/>
  <c r="Z569" i="12"/>
  <c r="S569" i="12" s="1"/>
  <c r="T569" i="12" s="1"/>
  <c r="U569" i="12" s="1"/>
  <c r="Z568" i="12"/>
  <c r="S568" i="12" s="1"/>
  <c r="T568" i="12" s="1"/>
  <c r="U568" i="12" s="1"/>
  <c r="Z567" i="12"/>
  <c r="S567" i="12" s="1"/>
  <c r="T567" i="12" s="1"/>
  <c r="U567" i="12" s="1"/>
  <c r="Z566" i="12"/>
  <c r="S566" i="12" s="1"/>
  <c r="T566" i="12" s="1"/>
  <c r="U566" i="12" s="1"/>
  <c r="Z565" i="12"/>
  <c r="S565" i="12" s="1"/>
  <c r="T565" i="12" s="1"/>
  <c r="U565" i="12" s="1"/>
  <c r="Z564" i="12"/>
  <c r="S564" i="12" s="1"/>
  <c r="Z563" i="12"/>
  <c r="S563" i="12" s="1"/>
  <c r="T563" i="12" s="1"/>
  <c r="U563" i="12" s="1"/>
  <c r="Z562" i="12"/>
  <c r="S562" i="12" s="1"/>
  <c r="T562" i="12" s="1"/>
  <c r="U562" i="12" s="1"/>
  <c r="Z561" i="12"/>
  <c r="S561" i="12" s="1"/>
  <c r="T561" i="12" s="1"/>
  <c r="U561" i="12" s="1"/>
  <c r="Z560" i="12"/>
  <c r="S560" i="12" s="1"/>
  <c r="T560" i="12" s="1"/>
  <c r="U560" i="12" s="1"/>
  <c r="Z559" i="12"/>
  <c r="S559" i="12" s="1"/>
  <c r="T559" i="12" s="1"/>
  <c r="U559" i="12" s="1"/>
  <c r="Z555" i="12"/>
  <c r="S555" i="12" s="1"/>
  <c r="Z551" i="12"/>
  <c r="S551" i="12" s="1"/>
  <c r="T551" i="12" s="1"/>
  <c r="U551" i="12" s="1"/>
  <c r="Z547" i="12"/>
  <c r="S547" i="12" s="1"/>
  <c r="T547" i="12" s="1"/>
  <c r="U547" i="12" s="1"/>
  <c r="Z546" i="12"/>
  <c r="S546" i="12" s="1"/>
  <c r="Z545" i="12"/>
  <c r="S545" i="12" s="1"/>
  <c r="Z556" i="12"/>
  <c r="S556" i="12" s="1"/>
  <c r="Z552" i="12"/>
  <c r="S552" i="12" s="1"/>
  <c r="Z548" i="12"/>
  <c r="S548" i="12" s="1"/>
  <c r="T548" i="12" s="1"/>
  <c r="U548" i="12" s="1"/>
  <c r="Z558" i="12"/>
  <c r="S558" i="12" s="1"/>
  <c r="T558" i="12" s="1"/>
  <c r="U558" i="12" s="1"/>
  <c r="Z557" i="12"/>
  <c r="S557" i="12" s="1"/>
  <c r="T557" i="12" s="1"/>
  <c r="U557" i="12" s="1"/>
  <c r="Z553" i="12"/>
  <c r="S553" i="12" s="1"/>
  <c r="T553" i="12" s="1"/>
  <c r="U553" i="12" s="1"/>
  <c r="Z549" i="12"/>
  <c r="S549" i="12" s="1"/>
  <c r="T549" i="12" s="1"/>
  <c r="U549" i="12" s="1"/>
  <c r="Z554" i="12"/>
  <c r="S554" i="12" s="1"/>
  <c r="T554" i="12" s="1"/>
  <c r="U554" i="12" s="1"/>
  <c r="Z550" i="12"/>
  <c r="S550" i="12" s="1"/>
  <c r="T550" i="12" s="1"/>
  <c r="U550" i="12" s="1"/>
  <c r="Z17" i="12"/>
  <c r="Z537" i="12"/>
  <c r="S537" i="12" s="1"/>
  <c r="T537" i="12" s="1"/>
  <c r="Z507" i="12"/>
  <c r="S507" i="12" s="1"/>
  <c r="T507" i="12" s="1"/>
  <c r="Z240" i="12"/>
  <c r="S240" i="12" s="1"/>
  <c r="Z181" i="12"/>
  <c r="Z73" i="12"/>
  <c r="Z67" i="12"/>
  <c r="Z46" i="12"/>
  <c r="Z51" i="12"/>
  <c r="Z66" i="12"/>
  <c r="Z107" i="12"/>
  <c r="Z106" i="12"/>
  <c r="S106" i="12" s="1"/>
  <c r="Z476" i="12"/>
  <c r="Z475" i="12"/>
  <c r="Z414" i="12"/>
  <c r="S414" i="12" s="1"/>
  <c r="Z408" i="12"/>
  <c r="S408" i="12" s="1"/>
  <c r="Z407" i="12"/>
  <c r="Z406" i="12"/>
  <c r="Z399" i="12"/>
  <c r="S399" i="12" s="1"/>
  <c r="Z396" i="12"/>
  <c r="S396" i="12" s="1"/>
  <c r="Z393" i="12"/>
  <c r="S393" i="12" s="1"/>
  <c r="Z377" i="12"/>
  <c r="S377" i="12" s="1"/>
  <c r="T377" i="12" s="1"/>
  <c r="Z368" i="12"/>
  <c r="Z253" i="12"/>
  <c r="Z229" i="12"/>
  <c r="S229" i="12" s="1"/>
  <c r="Z227" i="12"/>
  <c r="Z226" i="12"/>
  <c r="Z225" i="12"/>
  <c r="Z224" i="12"/>
  <c r="Z223" i="12"/>
  <c r="Z205" i="12"/>
  <c r="Z204" i="12"/>
  <c r="Z203" i="12"/>
  <c r="S203" i="12" s="1"/>
  <c r="Z146" i="12"/>
  <c r="Z145" i="12"/>
  <c r="Z133" i="12"/>
  <c r="Z132" i="12"/>
  <c r="Z131" i="12"/>
  <c r="Z130" i="12"/>
  <c r="S130" i="12" s="1"/>
  <c r="Z129" i="12"/>
  <c r="Z128" i="12"/>
  <c r="S128" i="12" s="1"/>
  <c r="Z105" i="12"/>
  <c r="Z103" i="12"/>
  <c r="Z102" i="12"/>
  <c r="Z101" i="12"/>
  <c r="Z100" i="12"/>
  <c r="Z99" i="12"/>
  <c r="S99" i="12" s="1"/>
  <c r="Z98" i="12"/>
  <c r="Z97" i="12"/>
  <c r="Z96" i="12"/>
  <c r="Z95" i="12"/>
  <c r="Z94" i="12"/>
  <c r="S94" i="12" s="1"/>
  <c r="Z104" i="12"/>
  <c r="Z78" i="12"/>
  <c r="Z77" i="12"/>
  <c r="Z76" i="12"/>
  <c r="Z75" i="12"/>
  <c r="Z74" i="12"/>
  <c r="S74" i="12" s="1"/>
  <c r="Z72" i="12"/>
  <c r="Z71" i="12"/>
  <c r="Z70" i="12"/>
  <c r="Z69" i="12"/>
  <c r="Z68" i="12"/>
  <c r="S68" i="12" s="1"/>
  <c r="Z65" i="12"/>
  <c r="Z64" i="12"/>
  <c r="Z63" i="12"/>
  <c r="Z62" i="12"/>
  <c r="Z61" i="12"/>
  <c r="Z60" i="12"/>
  <c r="Z59" i="12"/>
  <c r="Z58" i="12"/>
  <c r="S58" i="12" s="1"/>
  <c r="Z38" i="12"/>
  <c r="Z37" i="12"/>
  <c r="Z36" i="12"/>
  <c r="Z35" i="12"/>
  <c r="S35" i="12" s="1"/>
  <c r="Z25" i="12"/>
  <c r="S25" i="12" s="1"/>
  <c r="F25" i="12"/>
  <c r="F26" i="12" s="1"/>
  <c r="F27" i="12" s="1"/>
  <c r="F28" i="12" s="1"/>
  <c r="E25" i="12"/>
  <c r="E26" i="12" s="1"/>
  <c r="E27" i="12" s="1"/>
  <c r="E28" i="12" s="1"/>
  <c r="G25" i="12"/>
  <c r="G26" i="12" s="1"/>
  <c r="G27" i="12" s="1"/>
  <c r="G28" i="12" s="1"/>
  <c r="Z34" i="12"/>
  <c r="Z33" i="12"/>
  <c r="Z32" i="12"/>
  <c r="Z31" i="12"/>
  <c r="S31" i="12" s="1"/>
  <c r="Z23" i="12"/>
  <c r="S23" i="12" s="1"/>
  <c r="T23" i="12" s="1"/>
  <c r="G23" i="12"/>
  <c r="F23" i="12"/>
  <c r="E23" i="12"/>
  <c r="Z18" i="12"/>
  <c r="S18" i="12" s="1"/>
  <c r="T18" i="12" s="1"/>
  <c r="A41" i="11"/>
  <c r="Z491" i="12"/>
  <c r="S491" i="12" s="1"/>
  <c r="Z601" i="12"/>
  <c r="Z600" i="12"/>
  <c r="S600" i="12" s="1"/>
  <c r="Z544" i="12"/>
  <c r="Z543" i="12"/>
  <c r="Z542" i="12"/>
  <c r="Z541" i="12"/>
  <c r="Z540" i="12"/>
  <c r="Z539" i="12"/>
  <c r="S539" i="12" s="1"/>
  <c r="T539" i="12" s="1"/>
  <c r="Z538" i="12"/>
  <c r="S538" i="12" s="1"/>
  <c r="T538" i="12" s="1"/>
  <c r="Z536" i="12"/>
  <c r="Z535" i="12"/>
  <c r="S535" i="12" s="1"/>
  <c r="Z534" i="12"/>
  <c r="Z533" i="12"/>
  <c r="Z532" i="12"/>
  <c r="Z531" i="12"/>
  <c r="Z528" i="12"/>
  <c r="Z524" i="12"/>
  <c r="Z520" i="12"/>
  <c r="Z516" i="12"/>
  <c r="S516" i="12" s="1"/>
  <c r="Z509" i="12"/>
  <c r="Z504" i="12"/>
  <c r="Z500" i="12"/>
  <c r="Z496" i="12"/>
  <c r="Z492" i="12"/>
  <c r="Z527" i="12"/>
  <c r="Z523" i="12"/>
  <c r="Z519" i="12"/>
  <c r="S519" i="12" s="1"/>
  <c r="Z515" i="12"/>
  <c r="Z512" i="12"/>
  <c r="Z508" i="12"/>
  <c r="Z503" i="12"/>
  <c r="Z499" i="12"/>
  <c r="S499" i="12" s="1"/>
  <c r="Z495" i="12"/>
  <c r="Z490" i="12"/>
  <c r="S490" i="12" s="1"/>
  <c r="Z530" i="12"/>
  <c r="Z526" i="12"/>
  <c r="Z522" i="12"/>
  <c r="Z518" i="12"/>
  <c r="S518" i="12" s="1"/>
  <c r="T518" i="12" s="1"/>
  <c r="Z514" i="12"/>
  <c r="Z511" i="12"/>
  <c r="Z506" i="12"/>
  <c r="S506" i="12" s="1"/>
  <c r="Z502" i="12"/>
  <c r="S502" i="12" s="1"/>
  <c r="Z498" i="12"/>
  <c r="Z494" i="12"/>
  <c r="Z489" i="12"/>
  <c r="Z529" i="12"/>
  <c r="Z525" i="12"/>
  <c r="Z521" i="12"/>
  <c r="Z517" i="12"/>
  <c r="S517" i="12" s="1"/>
  <c r="T517" i="12" s="1"/>
  <c r="Z513" i="12"/>
  <c r="S513" i="12" s="1"/>
  <c r="Z510" i="12"/>
  <c r="Z505" i="12"/>
  <c r="Z501" i="12"/>
  <c r="Z497" i="12"/>
  <c r="Z493" i="12"/>
  <c r="Z483" i="12"/>
  <c r="Z482" i="12"/>
  <c r="Z481" i="12"/>
  <c r="Z480" i="12"/>
  <c r="Z479" i="12"/>
  <c r="S479" i="12" s="1"/>
  <c r="Z478" i="12"/>
  <c r="S478" i="12" s="1"/>
  <c r="Z477" i="12"/>
  <c r="Z474" i="12"/>
  <c r="Z473" i="12"/>
  <c r="Z472" i="12"/>
  <c r="Z471" i="12"/>
  <c r="Z470" i="12"/>
  <c r="Z469" i="12"/>
  <c r="Z468" i="12"/>
  <c r="Z467" i="12"/>
  <c r="Z466" i="12"/>
  <c r="Z465" i="12"/>
  <c r="Z464" i="12"/>
  <c r="Z463" i="12"/>
  <c r="S463" i="12" s="1"/>
  <c r="Z462" i="12"/>
  <c r="Z461" i="12"/>
  <c r="Z460" i="12"/>
  <c r="S460" i="12" s="1"/>
  <c r="Z459" i="12"/>
  <c r="Z458" i="12"/>
  <c r="Z457" i="12"/>
  <c r="Z456" i="12"/>
  <c r="Z455" i="12"/>
  <c r="Z454" i="12"/>
  <c r="Z451" i="12"/>
  <c r="Z447" i="12"/>
  <c r="Z443" i="12"/>
  <c r="Z439" i="12"/>
  <c r="Z435" i="12"/>
  <c r="Z452" i="12"/>
  <c r="Z448" i="12"/>
  <c r="Z444" i="12"/>
  <c r="Z440" i="12"/>
  <c r="S440" i="12" s="1"/>
  <c r="Z436" i="12"/>
  <c r="Z453" i="12"/>
  <c r="Z449" i="12"/>
  <c r="Z445" i="12"/>
  <c r="Z441" i="12"/>
  <c r="Z437" i="12"/>
  <c r="Z438" i="12"/>
  <c r="Z395" i="12"/>
  <c r="Z398" i="12"/>
  <c r="Z411" i="12"/>
  <c r="Z450" i="12"/>
  <c r="S450" i="12" s="1"/>
  <c r="Z434" i="12"/>
  <c r="Z433" i="12"/>
  <c r="Z431" i="12"/>
  <c r="Z429" i="12"/>
  <c r="Z427" i="12"/>
  <c r="Z425" i="12"/>
  <c r="Z423" i="12"/>
  <c r="Z421" i="12"/>
  <c r="Z419" i="12"/>
  <c r="S419" i="12" s="1"/>
  <c r="Z417" i="12"/>
  <c r="Z415" i="12"/>
  <c r="Z412" i="12"/>
  <c r="Z410" i="12"/>
  <c r="Z405" i="12"/>
  <c r="Z403" i="12"/>
  <c r="Z401" i="12"/>
  <c r="Z400" i="12"/>
  <c r="Z394" i="12"/>
  <c r="Z424" i="12"/>
  <c r="S424" i="12" s="1"/>
  <c r="Z416" i="12"/>
  <c r="Z409" i="12"/>
  <c r="Z397" i="12"/>
  <c r="Z446" i="12"/>
  <c r="Z418" i="12"/>
  <c r="S418" i="12" s="1"/>
  <c r="Z402" i="12"/>
  <c r="Z442" i="12"/>
  <c r="Z432" i="12"/>
  <c r="Z430" i="12"/>
  <c r="Z428" i="12"/>
  <c r="Z426" i="12"/>
  <c r="Z422" i="12"/>
  <c r="Z420" i="12"/>
  <c r="Z413" i="12"/>
  <c r="Z404" i="12"/>
  <c r="Z484" i="12"/>
  <c r="Z392" i="12"/>
  <c r="S392" i="12" s="1"/>
  <c r="Z391" i="12"/>
  <c r="Z390" i="12"/>
  <c r="Z389" i="12"/>
  <c r="Z388" i="12"/>
  <c r="Z387" i="12"/>
  <c r="Z386" i="12"/>
  <c r="Z383" i="12"/>
  <c r="Z384" i="12"/>
  <c r="Z373" i="12"/>
  <c r="Z369" i="12"/>
  <c r="Z365" i="12"/>
  <c r="Z361" i="12"/>
  <c r="Z357" i="12"/>
  <c r="Z385" i="12"/>
  <c r="Z380" i="12"/>
  <c r="Z376" i="12"/>
  <c r="Z372" i="12"/>
  <c r="Z364" i="12"/>
  <c r="Z360" i="12"/>
  <c r="Z356" i="12"/>
  <c r="Z352" i="12"/>
  <c r="Z348" i="12"/>
  <c r="S348" i="12" s="1"/>
  <c r="T348" i="12" s="1"/>
  <c r="Z381" i="12"/>
  <c r="Z375" i="12"/>
  <c r="Z371" i="12"/>
  <c r="Z367" i="12"/>
  <c r="Z363" i="12"/>
  <c r="Z359" i="12"/>
  <c r="Z355" i="12"/>
  <c r="Z351" i="12"/>
  <c r="Z382" i="12"/>
  <c r="Z379" i="12"/>
  <c r="Z378" i="12"/>
  <c r="S378" i="12" s="1"/>
  <c r="Z374" i="12"/>
  <c r="Z370" i="12"/>
  <c r="Z366" i="12"/>
  <c r="Z362" i="12"/>
  <c r="Z358" i="12"/>
  <c r="Z353" i="12"/>
  <c r="Z347" i="12"/>
  <c r="Z346" i="12"/>
  <c r="Z345" i="12"/>
  <c r="Z344" i="12"/>
  <c r="Z343" i="12"/>
  <c r="S343" i="12" s="1"/>
  <c r="Z342" i="12"/>
  <c r="Z341" i="12"/>
  <c r="Z340" i="12"/>
  <c r="S340" i="12" s="1"/>
  <c r="Z339" i="12"/>
  <c r="Z338" i="12"/>
  <c r="Z337" i="12"/>
  <c r="Z350" i="12"/>
  <c r="Z354" i="12"/>
  <c r="Z349" i="12"/>
  <c r="Z316" i="12"/>
  <c r="Z336" i="12"/>
  <c r="Z335" i="12"/>
  <c r="Z334" i="12"/>
  <c r="Z333" i="12"/>
  <c r="Z332" i="12"/>
  <c r="Z331" i="12"/>
  <c r="Z330" i="12"/>
  <c r="Z329" i="12"/>
  <c r="Z328" i="12"/>
  <c r="Z327" i="12"/>
  <c r="Z324" i="12"/>
  <c r="Z323" i="12"/>
  <c r="Z322" i="12"/>
  <c r="Z321" i="12"/>
  <c r="Z320" i="12"/>
  <c r="Z319" i="12"/>
  <c r="Z318" i="12"/>
  <c r="Z317" i="12"/>
  <c r="Z314" i="12"/>
  <c r="Z326" i="12"/>
  <c r="Z315" i="12"/>
  <c r="Z325" i="12"/>
  <c r="Z313" i="12"/>
  <c r="Z180" i="12"/>
  <c r="Z246" i="12"/>
  <c r="S246" i="12" s="1"/>
  <c r="Z488" i="12"/>
  <c r="Z310" i="12"/>
  <c r="S310" i="12" s="1"/>
  <c r="Z306" i="12"/>
  <c r="S306" i="12" s="1"/>
  <c r="Z305" i="12"/>
  <c r="Z304" i="12"/>
  <c r="Z303" i="12"/>
  <c r="Z302" i="12"/>
  <c r="Z301" i="12"/>
  <c r="Z300" i="12"/>
  <c r="Z299" i="12"/>
  <c r="S299" i="12" s="1"/>
  <c r="Z298" i="12"/>
  <c r="S298" i="12" s="1"/>
  <c r="Z297" i="12"/>
  <c r="Z296" i="12"/>
  <c r="S296" i="12" s="1"/>
  <c r="Z295" i="12"/>
  <c r="Z294" i="12"/>
  <c r="Z293" i="12"/>
  <c r="Z292" i="12"/>
  <c r="Z291" i="12"/>
  <c r="Z290" i="12"/>
  <c r="Z289" i="12"/>
  <c r="S289" i="12" s="1"/>
  <c r="Z288" i="12"/>
  <c r="Z287" i="12"/>
  <c r="Z286" i="12"/>
  <c r="Z285" i="12"/>
  <c r="Z284" i="12"/>
  <c r="Z283" i="12"/>
  <c r="Z282" i="12"/>
  <c r="Z281" i="12"/>
  <c r="Z280" i="12"/>
  <c r="Z487" i="12"/>
  <c r="Z309" i="12"/>
  <c r="S309" i="12" s="1"/>
  <c r="Z486" i="12"/>
  <c r="Z312" i="12"/>
  <c r="Z276" i="12"/>
  <c r="Z485" i="12"/>
  <c r="S485" i="12" s="1"/>
  <c r="Z307" i="12"/>
  <c r="Z277" i="12"/>
  <c r="Z308" i="12"/>
  <c r="Z278" i="12"/>
  <c r="Z311" i="12"/>
  <c r="Z279" i="12"/>
  <c r="Z274" i="12"/>
  <c r="Z270" i="12"/>
  <c r="Z230" i="12"/>
  <c r="Z222" i="12"/>
  <c r="Z275" i="12"/>
  <c r="Z273" i="12"/>
  <c r="Z269" i="12"/>
  <c r="Z239" i="12"/>
  <c r="S239" i="12" s="1"/>
  <c r="Z237" i="12"/>
  <c r="Z236" i="12"/>
  <c r="S236" i="12" s="1"/>
  <c r="Z232" i="12"/>
  <c r="Z228" i="12"/>
  <c r="S228" i="12" s="1"/>
  <c r="Z272" i="12"/>
  <c r="Z268" i="12"/>
  <c r="Z242" i="12"/>
  <c r="S242" i="12" s="1"/>
  <c r="Z234" i="12"/>
  <c r="Z271" i="12"/>
  <c r="Z267" i="12"/>
  <c r="Z266" i="12"/>
  <c r="Z265" i="12"/>
  <c r="Z264" i="12"/>
  <c r="Z263" i="12"/>
  <c r="Z262" i="12"/>
  <c r="Z261" i="12"/>
  <c r="Z260" i="12"/>
  <c r="Z259" i="12"/>
  <c r="Z258" i="12"/>
  <c r="Z257" i="12"/>
  <c r="Z256" i="12"/>
  <c r="Z255" i="12"/>
  <c r="Z254" i="12"/>
  <c r="Z252" i="12"/>
  <c r="Z251" i="12"/>
  <c r="Z250" i="12"/>
  <c r="Z249" i="12"/>
  <c r="Z248" i="12"/>
  <c r="Z247" i="12"/>
  <c r="Z245" i="12"/>
  <c r="S245" i="12" s="1"/>
  <c r="Z244" i="12"/>
  <c r="Z243" i="12"/>
  <c r="Z241" i="12"/>
  <c r="Z238" i="12"/>
  <c r="Z235" i="12"/>
  <c r="Z233" i="12"/>
  <c r="Z231" i="12"/>
  <c r="Z135" i="12"/>
  <c r="S135" i="12" s="1"/>
  <c r="Z120" i="12"/>
  <c r="S120" i="12" s="1"/>
  <c r="Z602" i="12"/>
  <c r="Z202" i="12"/>
  <c r="Z198" i="12"/>
  <c r="Z221" i="12"/>
  <c r="Z219" i="12"/>
  <c r="Z217" i="12"/>
  <c r="Z215" i="12"/>
  <c r="Z213" i="12"/>
  <c r="Z211" i="12"/>
  <c r="Z209" i="12"/>
  <c r="Z207" i="12"/>
  <c r="S207" i="12" s="1"/>
  <c r="Z201" i="12"/>
  <c r="Z192" i="12"/>
  <c r="Z191" i="12"/>
  <c r="Z190" i="12"/>
  <c r="S190" i="12" s="1"/>
  <c r="Z189" i="12"/>
  <c r="S189" i="12" s="1"/>
  <c r="Z188" i="12"/>
  <c r="Z187" i="12"/>
  <c r="Z186" i="12"/>
  <c r="S186" i="12" s="1"/>
  <c r="Z185" i="12"/>
  <c r="Z184" i="12"/>
  <c r="Z183" i="12"/>
  <c r="Z182" i="12"/>
  <c r="Z179" i="12"/>
  <c r="S179" i="12" s="1"/>
  <c r="Z178" i="12"/>
  <c r="Z177" i="12"/>
  <c r="Z176" i="12"/>
  <c r="Z175" i="12"/>
  <c r="Z174" i="12"/>
  <c r="Z173" i="12"/>
  <c r="Z172" i="12"/>
  <c r="Z171" i="12"/>
  <c r="S171" i="12" s="1"/>
  <c r="Z170" i="12"/>
  <c r="Z169" i="12"/>
  <c r="S169" i="12" s="1"/>
  <c r="Z168" i="12"/>
  <c r="Z167" i="12"/>
  <c r="Z166" i="12"/>
  <c r="Z165" i="12"/>
  <c r="Z164" i="12"/>
  <c r="Z163" i="12"/>
  <c r="Z162" i="12"/>
  <c r="Z161" i="12"/>
  <c r="Z160" i="12"/>
  <c r="Z159" i="12"/>
  <c r="Z158" i="12"/>
  <c r="Z200" i="12"/>
  <c r="Z197" i="12"/>
  <c r="Z196" i="12"/>
  <c r="Z195" i="12"/>
  <c r="Z194" i="12"/>
  <c r="Z193" i="12"/>
  <c r="Z154" i="12"/>
  <c r="Z150" i="12"/>
  <c r="Z141" i="12"/>
  <c r="Z199" i="12"/>
  <c r="Z220" i="12"/>
  <c r="S220" i="12" s="1"/>
  <c r="Z216" i="12"/>
  <c r="Z212" i="12"/>
  <c r="Z208" i="12"/>
  <c r="Z157" i="12"/>
  <c r="Z152" i="12"/>
  <c r="Z147" i="12"/>
  <c r="S147" i="12" s="1"/>
  <c r="Z140" i="12"/>
  <c r="Z137" i="12"/>
  <c r="Z153" i="12"/>
  <c r="S153" i="12" s="1"/>
  <c r="Z148" i="12"/>
  <c r="Z142" i="12"/>
  <c r="Z136" i="12"/>
  <c r="Z134" i="12"/>
  <c r="S134" i="12" s="1"/>
  <c r="Z127" i="12"/>
  <c r="Z126" i="12"/>
  <c r="Z125" i="12"/>
  <c r="Z124" i="12"/>
  <c r="Z123" i="12"/>
  <c r="Z122" i="12"/>
  <c r="S122" i="12" s="1"/>
  <c r="Z121" i="12"/>
  <c r="Z139" i="12"/>
  <c r="Z218" i="12"/>
  <c r="Z214" i="12"/>
  <c r="Z210" i="12"/>
  <c r="Z206" i="12"/>
  <c r="S206" i="12" s="1"/>
  <c r="Z155" i="12"/>
  <c r="Z149" i="12"/>
  <c r="Z143" i="12"/>
  <c r="S143" i="12" s="1"/>
  <c r="Z156" i="12"/>
  <c r="Z151" i="12"/>
  <c r="Z144" i="12"/>
  <c r="Z138" i="12"/>
  <c r="D24" i="12"/>
  <c r="D25" i="12" s="1"/>
  <c r="Z119" i="12"/>
  <c r="S119" i="12" s="1"/>
  <c r="Z118" i="12"/>
  <c r="Z117" i="12"/>
  <c r="Z116" i="12"/>
  <c r="Z115" i="12"/>
  <c r="Z114" i="12"/>
  <c r="S114" i="12" s="1"/>
  <c r="Z113" i="12"/>
  <c r="Z112" i="12"/>
  <c r="Z111" i="12"/>
  <c r="Z110" i="12"/>
  <c r="Z109" i="12"/>
  <c r="S109" i="12" s="1"/>
  <c r="Z108" i="12"/>
  <c r="S108" i="12" s="1"/>
  <c r="Z92" i="12"/>
  <c r="S92" i="12" s="1"/>
  <c r="Z88" i="12"/>
  <c r="Z84" i="12"/>
  <c r="Z91" i="12"/>
  <c r="Z90" i="12"/>
  <c r="Z85" i="12"/>
  <c r="Z83" i="12"/>
  <c r="Z79" i="12"/>
  <c r="S79" i="12" s="1"/>
  <c r="Z93" i="12"/>
  <c r="Z86" i="12"/>
  <c r="S86" i="12" s="1"/>
  <c r="Z82" i="12"/>
  <c r="Z87" i="12"/>
  <c r="Z81" i="12"/>
  <c r="Z57" i="12"/>
  <c r="Z56" i="12"/>
  <c r="Z55" i="12"/>
  <c r="Z54" i="12"/>
  <c r="Z53" i="12"/>
  <c r="Z52" i="12"/>
  <c r="Z50" i="12"/>
  <c r="Z49" i="12"/>
  <c r="S49" i="12" s="1"/>
  <c r="Z48" i="12"/>
  <c r="Z47" i="12"/>
  <c r="Z45" i="12"/>
  <c r="Z44" i="12"/>
  <c r="Z43" i="12"/>
  <c r="Z42" i="12"/>
  <c r="Z41" i="12"/>
  <c r="Z40" i="12"/>
  <c r="S40" i="12" s="1"/>
  <c r="Z89" i="12"/>
  <c r="Z80" i="12"/>
  <c r="S80" i="12" s="1"/>
  <c r="Z19" i="12"/>
  <c r="Z20" i="12"/>
  <c r="Z16" i="12"/>
  <c r="Z15" i="12"/>
  <c r="Z39" i="12"/>
  <c r="S39" i="12" s="1"/>
  <c r="Z30" i="12"/>
  <c r="Z29" i="12"/>
  <c r="Z28" i="12"/>
  <c r="Z27" i="12"/>
  <c r="Z26" i="12"/>
  <c r="Z24" i="12"/>
  <c r="S24" i="12" s="1"/>
  <c r="Z22" i="12"/>
  <c r="Z21" i="12"/>
  <c r="Z14" i="12"/>
  <c r="M21" i="11"/>
  <c r="C23" i="11"/>
  <c r="H23" i="11" s="1"/>
  <c r="G20" i="11"/>
  <c r="S108" i="16"/>
  <c r="Z13" i="12"/>
  <c r="Z11" i="12"/>
  <c r="S11" i="12" s="1"/>
  <c r="T11" i="12" s="1"/>
  <c r="T227" i="16"/>
  <c r="C19" i="17"/>
  <c r="A20" i="17"/>
  <c r="C20" i="17" s="1"/>
  <c r="C24" i="17"/>
  <c r="A25" i="17"/>
  <c r="C5" i="17"/>
  <c r="A6" i="17"/>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V35" i="12" l="1"/>
  <c r="A44" i="11"/>
  <c r="D26" i="12"/>
  <c r="C14" i="12"/>
  <c r="C26" i="11"/>
  <c r="B23" i="11" s="1"/>
  <c r="M24" i="11"/>
  <c r="E23" i="11"/>
  <c r="G23" i="11"/>
  <c r="F23" i="11"/>
  <c r="C25" i="17"/>
  <c r="A26" i="17"/>
  <c r="C26" i="17" s="1"/>
  <c r="C6" i="17"/>
  <c r="A7" i="17"/>
  <c r="C7" i="17" s="1"/>
  <c r="V39" i="12" l="1"/>
  <c r="D27" i="12"/>
  <c r="D28" i="12" s="1"/>
  <c r="A47" i="11"/>
  <c r="F135" i="12"/>
  <c r="F136" i="12" s="1"/>
  <c r="F137" i="12" s="1"/>
  <c r="F138" i="12" s="1"/>
  <c r="F139" i="12" s="1"/>
  <c r="F140" i="12" s="1"/>
  <c r="F141" i="12" s="1"/>
  <c r="F142" i="12" s="1"/>
  <c r="F143" i="12" s="1"/>
  <c r="F144" i="12" s="1"/>
  <c r="F145" i="12" s="1"/>
  <c r="F146" i="12" s="1"/>
  <c r="G135" i="12"/>
  <c r="G136" i="12" s="1"/>
  <c r="G137" i="12" s="1"/>
  <c r="G138" i="12" s="1"/>
  <c r="G139" i="12" s="1"/>
  <c r="G140" i="12" s="1"/>
  <c r="G141" i="12" s="1"/>
  <c r="G142" i="12" s="1"/>
  <c r="G143" i="12" s="1"/>
  <c r="G144" i="12" s="1"/>
  <c r="G145" i="12" s="1"/>
  <c r="G146" i="12" s="1"/>
  <c r="C15" i="12"/>
  <c r="K14" i="12"/>
  <c r="B14" i="13" s="1"/>
  <c r="H26" i="11"/>
  <c r="G26" i="11"/>
  <c r="F26" i="11"/>
  <c r="E26" i="11"/>
  <c r="B20" i="11"/>
  <c r="Q20" i="17"/>
  <c r="P18" i="17"/>
  <c r="R26" i="17"/>
  <c r="P22" i="17"/>
  <c r="P19" i="17"/>
  <c r="P21" i="17"/>
  <c r="R22" i="17"/>
  <c r="Q26" i="17"/>
  <c r="Q22" i="17"/>
  <c r="R19" i="17"/>
  <c r="P26" i="17"/>
  <c r="O26" i="17" s="1"/>
  <c r="O27" i="17" s="1"/>
  <c r="R21" i="17"/>
  <c r="R18" i="17"/>
  <c r="Q18" i="17"/>
  <c r="P20" i="17"/>
  <c r="R20" i="17"/>
  <c r="Q21" i="17"/>
  <c r="Q19" i="17"/>
  <c r="V40" i="12" l="1"/>
  <c r="A50" i="11"/>
  <c r="G206" i="12"/>
  <c r="G207" i="12" s="1"/>
  <c r="G208" i="12" s="1"/>
  <c r="G209" i="12" s="1"/>
  <c r="G210" i="12" s="1"/>
  <c r="G211" i="12" s="1"/>
  <c r="G212" i="12" s="1"/>
  <c r="G213" i="12" s="1"/>
  <c r="G214" i="12" s="1"/>
  <c r="G215" i="12" s="1"/>
  <c r="G216" i="12" s="1"/>
  <c r="G217" i="12" s="1"/>
  <c r="G218" i="12" s="1"/>
  <c r="G219" i="12" s="1"/>
  <c r="G220" i="12" s="1"/>
  <c r="G221" i="12" s="1"/>
  <c r="F206" i="12"/>
  <c r="F207" i="12" s="1"/>
  <c r="F208" i="12" s="1"/>
  <c r="F209" i="12" s="1"/>
  <c r="F210" i="12" s="1"/>
  <c r="F211" i="12" s="1"/>
  <c r="F212" i="12" s="1"/>
  <c r="F213" i="12" s="1"/>
  <c r="F214" i="12" s="1"/>
  <c r="F215" i="12" s="1"/>
  <c r="F216" i="12" s="1"/>
  <c r="F217" i="12" s="1"/>
  <c r="F218" i="12" s="1"/>
  <c r="F219" i="12" s="1"/>
  <c r="F220" i="12" s="1"/>
  <c r="F221" i="12" s="1"/>
  <c r="C16" i="12"/>
  <c r="C17" i="12" s="1"/>
  <c r="K17" i="12" s="1"/>
  <c r="B17" i="13" s="1"/>
  <c r="K15" i="12"/>
  <c r="B15" i="13" s="1"/>
  <c r="V27" i="17"/>
  <c r="T16" i="17" s="1"/>
  <c r="V49" i="12" l="1"/>
  <c r="A53" i="11"/>
  <c r="G246" i="12"/>
  <c r="G247" i="12" s="1"/>
  <c r="G248" i="12" s="1"/>
  <c r="G249" i="12" s="1"/>
  <c r="G250" i="12" s="1"/>
  <c r="G251" i="12" s="1"/>
  <c r="G252" i="12" s="1"/>
  <c r="G253" i="12" s="1"/>
  <c r="F246" i="12"/>
  <c r="F247" i="12" s="1"/>
  <c r="F248" i="12" s="1"/>
  <c r="F249" i="12" s="1"/>
  <c r="F250" i="12" s="1"/>
  <c r="F251" i="12" s="1"/>
  <c r="F252" i="12" s="1"/>
  <c r="F253" i="12" s="1"/>
  <c r="C18" i="12"/>
  <c r="K18" i="12" s="1"/>
  <c r="B18" i="13" s="1"/>
  <c r="K16" i="12"/>
  <c r="B16" i="13" s="1"/>
  <c r="V58" i="12" l="1"/>
  <c r="F254" i="12"/>
  <c r="F255" i="12" s="1"/>
  <c r="F256" i="12" s="1"/>
  <c r="F257" i="12" s="1"/>
  <c r="F258" i="12" s="1"/>
  <c r="F259" i="12" s="1"/>
  <c r="F260" i="12" s="1"/>
  <c r="F261" i="12" s="1"/>
  <c r="F262" i="12" s="1"/>
  <c r="F263" i="12" s="1"/>
  <c r="F264" i="12" s="1"/>
  <c r="F265" i="12" s="1"/>
  <c r="F266" i="12" s="1"/>
  <c r="F267" i="12" s="1"/>
  <c r="F268" i="12" s="1"/>
  <c r="F269" i="12" s="1"/>
  <c r="F270" i="12" s="1"/>
  <c r="F271" i="12" s="1"/>
  <c r="F272" i="12" s="1"/>
  <c r="F273" i="12" s="1"/>
  <c r="F274" i="12" s="1"/>
  <c r="F275" i="12" s="1"/>
  <c r="F276" i="12" s="1"/>
  <c r="F277" i="12" s="1"/>
  <c r="F278" i="12" s="1"/>
  <c r="F279" i="12" s="1"/>
  <c r="F280" i="12" s="1"/>
  <c r="F281" i="12" s="1"/>
  <c r="F282" i="12" s="1"/>
  <c r="F283" i="12" s="1"/>
  <c r="F284" i="12" s="1"/>
  <c r="F285" i="12" s="1"/>
  <c r="F286" i="12" s="1"/>
  <c r="F287" i="12" s="1"/>
  <c r="F288" i="12" s="1"/>
  <c r="F289" i="12" s="1"/>
  <c r="F290" i="12" s="1"/>
  <c r="F291" i="12" s="1"/>
  <c r="F292" i="12" s="1"/>
  <c r="F293" i="12" s="1"/>
  <c r="F294" i="12" s="1"/>
  <c r="F295" i="12" s="1"/>
  <c r="F296" i="12" s="1"/>
  <c r="F297" i="12" s="1"/>
  <c r="F298" i="12" s="1"/>
  <c r="F299" i="12" s="1"/>
  <c r="F300" i="12" s="1"/>
  <c r="F301" i="12" s="1"/>
  <c r="F302" i="12" s="1"/>
  <c r="F303" i="12" s="1"/>
  <c r="F304" i="12" s="1"/>
  <c r="F305" i="12" s="1"/>
  <c r="F306" i="12" s="1"/>
  <c r="F307" i="12" s="1"/>
  <c r="F308" i="12" s="1"/>
  <c r="F309" i="12" s="1"/>
  <c r="F310" i="12" s="1"/>
  <c r="F311" i="12" s="1"/>
  <c r="F312" i="12" s="1"/>
  <c r="F313" i="12" s="1"/>
  <c r="F314" i="12" s="1"/>
  <c r="F315" i="12" s="1"/>
  <c r="F316" i="12" s="1"/>
  <c r="F317" i="12" s="1"/>
  <c r="F318" i="12" s="1"/>
  <c r="F319" i="12" s="1"/>
  <c r="F320" i="12" s="1"/>
  <c r="F321" i="12" s="1"/>
  <c r="F322" i="12" s="1"/>
  <c r="F323" i="12" s="1"/>
  <c r="F324" i="12" s="1"/>
  <c r="F325" i="12" s="1"/>
  <c r="F326" i="12" s="1"/>
  <c r="F327" i="12" s="1"/>
  <c r="F328" i="12" s="1"/>
  <c r="F329" i="12" s="1"/>
  <c r="F330" i="12" s="1"/>
  <c r="F331" i="12" s="1"/>
  <c r="F332" i="12" s="1"/>
  <c r="F333" i="12" s="1"/>
  <c r="F334" i="12" s="1"/>
  <c r="F335" i="12" s="1"/>
  <c r="F336" i="12" s="1"/>
  <c r="F337" i="12" s="1"/>
  <c r="F338" i="12" s="1"/>
  <c r="F339" i="12" s="1"/>
  <c r="F340" i="12" s="1"/>
  <c r="F341" i="12" s="1"/>
  <c r="F342" i="12" s="1"/>
  <c r="F343" i="12" s="1"/>
  <c r="F344" i="12" s="1"/>
  <c r="F345" i="12" s="1"/>
  <c r="F346" i="12" s="1"/>
  <c r="F347" i="12" s="1"/>
  <c r="F348" i="12" s="1"/>
  <c r="F349" i="12" s="1"/>
  <c r="F350" i="12" s="1"/>
  <c r="F351" i="12" s="1"/>
  <c r="F352" i="12" s="1"/>
  <c r="F353" i="12" s="1"/>
  <c r="F354" i="12" s="1"/>
  <c r="F355" i="12" s="1"/>
  <c r="F356" i="12" s="1"/>
  <c r="F357" i="12" s="1"/>
  <c r="F358" i="12" s="1"/>
  <c r="F359" i="12" s="1"/>
  <c r="F360" i="12" s="1"/>
  <c r="F361" i="12" s="1"/>
  <c r="F362" i="12" s="1"/>
  <c r="F363" i="12" s="1"/>
  <c r="F364" i="12" s="1"/>
  <c r="F365" i="12" s="1"/>
  <c r="F366" i="12" s="1"/>
  <c r="F367" i="12" s="1"/>
  <c r="F368" i="12" s="1"/>
  <c r="G254" i="12"/>
  <c r="G255" i="12" s="1"/>
  <c r="G256" i="12" s="1"/>
  <c r="G257" i="12" s="1"/>
  <c r="G258" i="12" s="1"/>
  <c r="G259" i="12" s="1"/>
  <c r="G260" i="12" s="1"/>
  <c r="G261" i="12" s="1"/>
  <c r="G262" i="12" s="1"/>
  <c r="G263" i="12" s="1"/>
  <c r="G264" i="12" s="1"/>
  <c r="G265" i="12" s="1"/>
  <c r="G266" i="12" s="1"/>
  <c r="G267" i="12" s="1"/>
  <c r="G268" i="12" s="1"/>
  <c r="G269" i="12" s="1"/>
  <c r="G270" i="12" s="1"/>
  <c r="G271" i="12" s="1"/>
  <c r="G272" i="12" s="1"/>
  <c r="G273" i="12" s="1"/>
  <c r="G274" i="12" s="1"/>
  <c r="G275" i="12" s="1"/>
  <c r="G276" i="12" s="1"/>
  <c r="G277" i="12" s="1"/>
  <c r="G278" i="12" s="1"/>
  <c r="G279" i="12" s="1"/>
  <c r="G280" i="12" s="1"/>
  <c r="G281" i="12" s="1"/>
  <c r="G282" i="12" s="1"/>
  <c r="G283" i="12" s="1"/>
  <c r="G284" i="12" s="1"/>
  <c r="G285" i="12" s="1"/>
  <c r="G286" i="12" s="1"/>
  <c r="G287" i="12" s="1"/>
  <c r="G288" i="12" s="1"/>
  <c r="G289" i="12" s="1"/>
  <c r="G290" i="12" s="1"/>
  <c r="G291" i="12" s="1"/>
  <c r="G292" i="12" s="1"/>
  <c r="G293" i="12" s="1"/>
  <c r="G294" i="12" s="1"/>
  <c r="G295" i="12" s="1"/>
  <c r="G296" i="12" s="1"/>
  <c r="G297" i="12" s="1"/>
  <c r="G298" i="12" s="1"/>
  <c r="G299" i="12" s="1"/>
  <c r="G300" i="12" s="1"/>
  <c r="G301" i="12" s="1"/>
  <c r="G302" i="12" s="1"/>
  <c r="G303" i="12" s="1"/>
  <c r="G304" i="12" s="1"/>
  <c r="G305" i="12" s="1"/>
  <c r="G306" i="12" s="1"/>
  <c r="G307" i="12" s="1"/>
  <c r="G308" i="12" s="1"/>
  <c r="G309" i="12" s="1"/>
  <c r="G310" i="12" s="1"/>
  <c r="G311" i="12" s="1"/>
  <c r="G312" i="12" s="1"/>
  <c r="G313" i="12" s="1"/>
  <c r="G314" i="12" s="1"/>
  <c r="G315" i="12" s="1"/>
  <c r="G316" i="12" s="1"/>
  <c r="G317" i="12" s="1"/>
  <c r="G318" i="12" s="1"/>
  <c r="G319" i="12" s="1"/>
  <c r="G320" i="12" s="1"/>
  <c r="G321" i="12" s="1"/>
  <c r="G322" i="12" s="1"/>
  <c r="G323" i="12" s="1"/>
  <c r="G324" i="12" s="1"/>
  <c r="G325" i="12" s="1"/>
  <c r="G326" i="12" s="1"/>
  <c r="G327" i="12" s="1"/>
  <c r="G328" i="12" s="1"/>
  <c r="G329" i="12" s="1"/>
  <c r="G330" i="12" s="1"/>
  <c r="G331" i="12" s="1"/>
  <c r="G332" i="12" s="1"/>
  <c r="G333" i="12" s="1"/>
  <c r="G334" i="12" s="1"/>
  <c r="G335" i="12" s="1"/>
  <c r="G336" i="12" s="1"/>
  <c r="G337" i="12" s="1"/>
  <c r="G338" i="12" s="1"/>
  <c r="G339" i="12" s="1"/>
  <c r="G340" i="12" s="1"/>
  <c r="G341" i="12" s="1"/>
  <c r="G342" i="12" s="1"/>
  <c r="G343" i="12" s="1"/>
  <c r="G344" i="12" s="1"/>
  <c r="G345" i="12" s="1"/>
  <c r="G346" i="12" s="1"/>
  <c r="G347" i="12" s="1"/>
  <c r="G348" i="12" s="1"/>
  <c r="G349" i="12" s="1"/>
  <c r="G350" i="12" s="1"/>
  <c r="G351" i="12" s="1"/>
  <c r="G352" i="12" s="1"/>
  <c r="G353" i="12" s="1"/>
  <c r="G354" i="12" s="1"/>
  <c r="G355" i="12" s="1"/>
  <c r="G356" i="12" s="1"/>
  <c r="G357" i="12" s="1"/>
  <c r="G358" i="12" s="1"/>
  <c r="G359" i="12" s="1"/>
  <c r="G360" i="12" s="1"/>
  <c r="G361" i="12" s="1"/>
  <c r="G362" i="12" s="1"/>
  <c r="G363" i="12" s="1"/>
  <c r="G364" i="12" s="1"/>
  <c r="G365" i="12" s="1"/>
  <c r="G366" i="12" s="1"/>
  <c r="G367" i="12" s="1"/>
  <c r="G368" i="12" s="1"/>
  <c r="A56" i="11"/>
  <c r="C29" i="11"/>
  <c r="M27" i="11"/>
  <c r="C19" i="12"/>
  <c r="V68" i="12" l="1"/>
  <c r="A59" i="11"/>
  <c r="G29" i="11"/>
  <c r="E29" i="11"/>
  <c r="B26" i="11"/>
  <c r="F29" i="11"/>
  <c r="H29" i="11"/>
  <c r="J20" i="11"/>
  <c r="C20" i="12"/>
  <c r="K19" i="12"/>
  <c r="B19" i="13" s="1"/>
  <c r="J26" i="11" l="1"/>
  <c r="V74" i="12"/>
  <c r="A62" i="11"/>
  <c r="P25" i="11"/>
  <c r="Q25" i="11" s="1"/>
  <c r="R25" i="11" s="1"/>
  <c r="S25" i="11" s="1"/>
  <c r="AC24" i="11"/>
  <c r="AC25" i="11" s="1"/>
  <c r="C21" i="12"/>
  <c r="K20" i="12"/>
  <c r="B20" i="13" s="1"/>
  <c r="V79" i="12" l="1"/>
  <c r="V80" i="12" s="1"/>
  <c r="T25" i="11"/>
  <c r="U25" i="11" s="1"/>
  <c r="A65" i="11"/>
  <c r="F491" i="12"/>
  <c r="F492" i="12" s="1"/>
  <c r="G491" i="12"/>
  <c r="G492" i="12" s="1"/>
  <c r="C22" i="12"/>
  <c r="C23" i="12" s="1"/>
  <c r="K21" i="12"/>
  <c r="B21" i="13" s="1"/>
  <c r="V86" i="12" l="1"/>
  <c r="V92" i="12" s="1"/>
  <c r="V94" i="12" s="1"/>
  <c r="V99" i="12" s="1"/>
  <c r="V106" i="12" s="1"/>
  <c r="G493" i="12"/>
  <c r="G494" i="12" s="1"/>
  <c r="G495" i="12" s="1"/>
  <c r="G496" i="12" s="1"/>
  <c r="G497" i="12" s="1"/>
  <c r="G498" i="12" s="1"/>
  <c r="G499" i="12" s="1"/>
  <c r="G500" i="12" s="1"/>
  <c r="G501" i="12" s="1"/>
  <c r="G502" i="12" s="1"/>
  <c r="G503" i="12" s="1"/>
  <c r="G504" i="12" s="1"/>
  <c r="G505" i="12" s="1"/>
  <c r="G506" i="12" s="1"/>
  <c r="F493" i="12"/>
  <c r="F494" i="12" s="1"/>
  <c r="F495" i="12" s="1"/>
  <c r="F496" i="12" s="1"/>
  <c r="F497" i="12" s="1"/>
  <c r="F498" i="12" s="1"/>
  <c r="F499" i="12" s="1"/>
  <c r="F500" i="12" s="1"/>
  <c r="F501" i="12" s="1"/>
  <c r="F502" i="12" s="1"/>
  <c r="F503" i="12" s="1"/>
  <c r="F504" i="12" s="1"/>
  <c r="F505" i="12" s="1"/>
  <c r="F506" i="12" s="1"/>
  <c r="F535" i="12"/>
  <c r="F536" i="12" s="1"/>
  <c r="G535" i="12"/>
  <c r="G536" i="12" s="1"/>
  <c r="K23" i="12"/>
  <c r="B23" i="13" s="1"/>
  <c r="A68" i="11"/>
  <c r="K22" i="12"/>
  <c r="B22" i="13" s="1"/>
  <c r="V25" i="11"/>
  <c r="V108" i="12" l="1"/>
  <c r="V119" i="12" s="1"/>
  <c r="C32" i="11" s="1"/>
  <c r="G537" i="12"/>
  <c r="G538" i="12" s="1"/>
  <c r="G539" i="12" s="1"/>
  <c r="G540" i="12" s="1"/>
  <c r="G541" i="12" s="1"/>
  <c r="G542" i="12" s="1"/>
  <c r="G543" i="12" s="1"/>
  <c r="G544" i="12" s="1"/>
  <c r="F537" i="12"/>
  <c r="F538" i="12" s="1"/>
  <c r="F539" i="12" s="1"/>
  <c r="F540" i="12" s="1"/>
  <c r="F541" i="12" s="1"/>
  <c r="F542" i="12" s="1"/>
  <c r="F543" i="12" s="1"/>
  <c r="F544" i="12" s="1"/>
  <c r="F507" i="12"/>
  <c r="F508" i="12" s="1"/>
  <c r="F509" i="12" s="1"/>
  <c r="F510" i="12" s="1"/>
  <c r="F511" i="12" s="1"/>
  <c r="F512" i="12" s="1"/>
  <c r="F513" i="12" s="1"/>
  <c r="F514" i="12" s="1"/>
  <c r="F515" i="12" s="1"/>
  <c r="F516" i="12" s="1"/>
  <c r="F517" i="12" s="1"/>
  <c r="F518" i="12" s="1"/>
  <c r="F519" i="12" s="1"/>
  <c r="F520" i="12" s="1"/>
  <c r="F521" i="12" s="1"/>
  <c r="F522" i="12" s="1"/>
  <c r="F523" i="12" s="1"/>
  <c r="F524" i="12" s="1"/>
  <c r="F525" i="12" s="1"/>
  <c r="F526" i="12" s="1"/>
  <c r="F527" i="12" s="1"/>
  <c r="F528" i="12" s="1"/>
  <c r="F529" i="12" s="1"/>
  <c r="F530" i="12" s="1"/>
  <c r="F531" i="12" s="1"/>
  <c r="F532" i="12" s="1"/>
  <c r="F533" i="12" s="1"/>
  <c r="F534" i="12" s="1"/>
  <c r="G507" i="12"/>
  <c r="G508" i="12" s="1"/>
  <c r="G509" i="12" s="1"/>
  <c r="G510" i="12" s="1"/>
  <c r="G511" i="12" s="1"/>
  <c r="G512" i="12" s="1"/>
  <c r="G513" i="12" s="1"/>
  <c r="G514" i="12" s="1"/>
  <c r="G515" i="12" s="1"/>
  <c r="G516" i="12" s="1"/>
  <c r="G517" i="12" s="1"/>
  <c r="G518" i="12" s="1"/>
  <c r="G519" i="12" s="1"/>
  <c r="G520" i="12" s="1"/>
  <c r="G521" i="12" s="1"/>
  <c r="G522" i="12" s="1"/>
  <c r="G523" i="12" s="1"/>
  <c r="G524" i="12" s="1"/>
  <c r="G525" i="12" s="1"/>
  <c r="G526" i="12" s="1"/>
  <c r="G527" i="12" s="1"/>
  <c r="G528" i="12" s="1"/>
  <c r="G529" i="12" s="1"/>
  <c r="G530" i="12" s="1"/>
  <c r="G531" i="12" s="1"/>
  <c r="G532" i="12" s="1"/>
  <c r="G533" i="12" s="1"/>
  <c r="G534" i="12" s="1"/>
  <c r="G222" i="12"/>
  <c r="G223" i="12" s="1"/>
  <c r="G224" i="12" s="1"/>
  <c r="G225" i="12" s="1"/>
  <c r="G226" i="12" s="1"/>
  <c r="G227" i="12" s="1"/>
  <c r="F222" i="12"/>
  <c r="F223" i="12" s="1"/>
  <c r="F224" i="12" s="1"/>
  <c r="F225" i="12" s="1"/>
  <c r="F226" i="12" s="1"/>
  <c r="F227" i="12" s="1"/>
  <c r="A71" i="11"/>
  <c r="W25" i="11"/>
  <c r="F600" i="12" l="1"/>
  <c r="F601" i="12" s="1"/>
  <c r="F602" i="12" s="1"/>
  <c r="F545" i="12"/>
  <c r="F546" i="12" s="1"/>
  <c r="F547" i="12" s="1"/>
  <c r="F548" i="12" s="1"/>
  <c r="F549" i="12" s="1"/>
  <c r="F550" i="12" s="1"/>
  <c r="F551" i="12" s="1"/>
  <c r="F552" i="12" s="1"/>
  <c r="F553" i="12" s="1"/>
  <c r="F554" i="12" s="1"/>
  <c r="F555" i="12" s="1"/>
  <c r="F556" i="12" s="1"/>
  <c r="F557" i="12" s="1"/>
  <c r="F558" i="12" s="1"/>
  <c r="F559" i="12" s="1"/>
  <c r="F560" i="12" s="1"/>
  <c r="F561" i="12" s="1"/>
  <c r="F562" i="12" s="1"/>
  <c r="F563" i="12" s="1"/>
  <c r="F564" i="12" s="1"/>
  <c r="F565" i="12" s="1"/>
  <c r="F566" i="12" s="1"/>
  <c r="F567" i="12" s="1"/>
  <c r="F568" i="12" s="1"/>
  <c r="F569" i="12" s="1"/>
  <c r="F570" i="12" s="1"/>
  <c r="F571" i="12" s="1"/>
  <c r="F572" i="12" s="1"/>
  <c r="F573" i="12" s="1"/>
  <c r="F574" i="12" s="1"/>
  <c r="F575" i="12" s="1"/>
  <c r="F576" i="12" s="1"/>
  <c r="F577" i="12" s="1"/>
  <c r="F578" i="12" s="1"/>
  <c r="F579" i="12" s="1"/>
  <c r="F580" i="12" s="1"/>
  <c r="F581" i="12" s="1"/>
  <c r="F582" i="12" s="1"/>
  <c r="F583" i="12" s="1"/>
  <c r="F584" i="12" s="1"/>
  <c r="F585" i="12" s="1"/>
  <c r="F586" i="12" s="1"/>
  <c r="F587" i="12" s="1"/>
  <c r="F588" i="12" s="1"/>
  <c r="F589" i="12" s="1"/>
  <c r="F590" i="12" s="1"/>
  <c r="F591" i="12" s="1"/>
  <c r="F592" i="12" s="1"/>
  <c r="F593" i="12" s="1"/>
  <c r="F594" i="12" s="1"/>
  <c r="F595" i="12" s="1"/>
  <c r="F596" i="12" s="1"/>
  <c r="F597" i="12" s="1"/>
  <c r="F598" i="12" s="1"/>
  <c r="F599" i="12" s="1"/>
  <c r="G600" i="12"/>
  <c r="G601" i="12" s="1"/>
  <c r="G602" i="12" s="1"/>
  <c r="G545" i="12"/>
  <c r="G546" i="12" s="1"/>
  <c r="G547" i="12" s="1"/>
  <c r="G548" i="12" s="1"/>
  <c r="G549" i="12" s="1"/>
  <c r="G550" i="12" s="1"/>
  <c r="G551" i="12" s="1"/>
  <c r="G552" i="12" s="1"/>
  <c r="G553" i="12" s="1"/>
  <c r="G554" i="12" s="1"/>
  <c r="G555" i="12" s="1"/>
  <c r="G556" i="12" s="1"/>
  <c r="G557" i="12" s="1"/>
  <c r="G558" i="12" s="1"/>
  <c r="G559" i="12" s="1"/>
  <c r="G560" i="12" s="1"/>
  <c r="G561" i="12" s="1"/>
  <c r="G562" i="12" s="1"/>
  <c r="G563" i="12" s="1"/>
  <c r="G564" i="12" s="1"/>
  <c r="G565" i="12" s="1"/>
  <c r="G566" i="12" s="1"/>
  <c r="G567" i="12" s="1"/>
  <c r="G568" i="12" s="1"/>
  <c r="G569" i="12" s="1"/>
  <c r="G570" i="12" s="1"/>
  <c r="G571" i="12" s="1"/>
  <c r="G572" i="12" s="1"/>
  <c r="G573" i="12" s="1"/>
  <c r="G574" i="12" s="1"/>
  <c r="G575" i="12" s="1"/>
  <c r="G576" i="12" s="1"/>
  <c r="G577" i="12" s="1"/>
  <c r="G578" i="12" s="1"/>
  <c r="G579" i="12" s="1"/>
  <c r="G580" i="12" s="1"/>
  <c r="G581" i="12" s="1"/>
  <c r="G582" i="12" s="1"/>
  <c r="G583" i="12" s="1"/>
  <c r="G584" i="12" s="1"/>
  <c r="G585" i="12" s="1"/>
  <c r="G586" i="12" s="1"/>
  <c r="G587" i="12" s="1"/>
  <c r="G588" i="12" s="1"/>
  <c r="G589" i="12" s="1"/>
  <c r="G590" i="12" s="1"/>
  <c r="G591" i="12" s="1"/>
  <c r="G592" i="12" s="1"/>
  <c r="G593" i="12" s="1"/>
  <c r="G594" i="12" s="1"/>
  <c r="G595" i="12" s="1"/>
  <c r="G596" i="12" s="1"/>
  <c r="G597" i="12" s="1"/>
  <c r="G598" i="12" s="1"/>
  <c r="G599" i="12" s="1"/>
  <c r="H32" i="11"/>
  <c r="G32" i="11"/>
  <c r="B29" i="11"/>
  <c r="F32" i="11"/>
  <c r="E32" i="11"/>
  <c r="M30" i="11"/>
  <c r="V120" i="12"/>
  <c r="A74" i="11"/>
  <c r="F147" i="12" l="1"/>
  <c r="F148" i="12" s="1"/>
  <c r="F149" i="12" s="1"/>
  <c r="F150" i="12" s="1"/>
  <c r="F151" i="12" s="1"/>
  <c r="F152" i="12" s="1"/>
  <c r="F153" i="12" s="1"/>
  <c r="F154" i="12" s="1"/>
  <c r="F155" i="12" s="1"/>
  <c r="F156" i="12" s="1"/>
  <c r="F157" i="12" s="1"/>
  <c r="F158" i="12" s="1"/>
  <c r="F159" i="12" s="1"/>
  <c r="F160" i="12" s="1"/>
  <c r="F161" i="12" s="1"/>
  <c r="F162" i="12" s="1"/>
  <c r="F163" i="12" s="1"/>
  <c r="F164" i="12" s="1"/>
  <c r="F165" i="12" s="1"/>
  <c r="F166" i="12" s="1"/>
  <c r="F167" i="12" s="1"/>
  <c r="F168" i="12" s="1"/>
  <c r="F169" i="12" s="1"/>
  <c r="F170" i="12" s="1"/>
  <c r="F171" i="12" s="1"/>
  <c r="F172" i="12" s="1"/>
  <c r="F173" i="12" s="1"/>
  <c r="F174" i="12" s="1"/>
  <c r="G147" i="12"/>
  <c r="G148" i="12" s="1"/>
  <c r="G149" i="12" s="1"/>
  <c r="G150" i="12" s="1"/>
  <c r="G151" i="12" s="1"/>
  <c r="G152" i="12" s="1"/>
  <c r="G153" i="12" s="1"/>
  <c r="G154" i="12" s="1"/>
  <c r="G155" i="12" s="1"/>
  <c r="G156" i="12" s="1"/>
  <c r="G157" i="12" s="1"/>
  <c r="G158" i="12" s="1"/>
  <c r="G159" i="12" s="1"/>
  <c r="G160" i="12" s="1"/>
  <c r="G161" i="12" s="1"/>
  <c r="G162" i="12" s="1"/>
  <c r="G163" i="12" s="1"/>
  <c r="G164" i="12" s="1"/>
  <c r="G165" i="12" s="1"/>
  <c r="G166" i="12" s="1"/>
  <c r="G167" i="12" s="1"/>
  <c r="G168" i="12" s="1"/>
  <c r="G169" i="12" s="1"/>
  <c r="G170" i="12" s="1"/>
  <c r="G171" i="12" s="1"/>
  <c r="G172" i="12" s="1"/>
  <c r="G173" i="12" s="1"/>
  <c r="G174" i="12" s="1"/>
  <c r="V122" i="12"/>
  <c r="V128" i="12" s="1"/>
  <c r="V130" i="12" s="1"/>
  <c r="A77" i="11"/>
  <c r="E120" i="12"/>
  <c r="E121" i="12" s="1"/>
  <c r="E122" i="12" s="1"/>
  <c r="E123" i="12" s="1"/>
  <c r="E124" i="12" s="1"/>
  <c r="E125" i="12" s="1"/>
  <c r="E126" i="12" s="1"/>
  <c r="E127" i="12" s="1"/>
  <c r="E128" i="12" s="1"/>
  <c r="E129" i="12" s="1"/>
  <c r="E130" i="12" s="1"/>
  <c r="E131" i="12" s="1"/>
  <c r="E132" i="12" s="1"/>
  <c r="E133" i="12" s="1"/>
  <c r="F369" i="12" l="1"/>
  <c r="F370" i="12" s="1"/>
  <c r="F371" i="12" s="1"/>
  <c r="F372" i="12" s="1"/>
  <c r="F373" i="12" s="1"/>
  <c r="F374" i="12" s="1"/>
  <c r="F375" i="12" s="1"/>
  <c r="F376" i="12" s="1"/>
  <c r="F377" i="12" s="1"/>
  <c r="A80" i="11"/>
  <c r="E135" i="12"/>
  <c r="E136" i="12" s="1"/>
  <c r="E137" i="12" s="1"/>
  <c r="E138" i="12" s="1"/>
  <c r="E139" i="12" s="1"/>
  <c r="E140" i="12" s="1"/>
  <c r="E141" i="12" s="1"/>
  <c r="E142" i="12" s="1"/>
  <c r="E143" i="12" s="1"/>
  <c r="E144" i="12" s="1"/>
  <c r="E145" i="12" s="1"/>
  <c r="E146" i="12" s="1"/>
  <c r="F175" i="12" l="1"/>
  <c r="A83" i="11"/>
  <c r="F176" i="12" l="1"/>
  <c r="F177" i="12" s="1"/>
  <c r="F178" i="12" s="1"/>
  <c r="G369" i="12"/>
  <c r="G370" i="12" s="1"/>
  <c r="G371" i="12" s="1"/>
  <c r="G372" i="12" s="1"/>
  <c r="G373" i="12" s="1"/>
  <c r="G374" i="12" s="1"/>
  <c r="G375" i="12" s="1"/>
  <c r="G376" i="12" s="1"/>
  <c r="G377" i="12" s="1"/>
  <c r="G175" i="12"/>
  <c r="V134" i="12"/>
  <c r="A86" i="11"/>
  <c r="E246" i="12"/>
  <c r="E247" i="12" s="1"/>
  <c r="C24" i="12"/>
  <c r="C25" i="12" s="1"/>
  <c r="K25" i="12" s="1"/>
  <c r="B25" i="13" s="1"/>
  <c r="F179" i="12" l="1"/>
  <c r="F180" i="12" s="1"/>
  <c r="G176" i="12"/>
  <c r="G177" i="12" s="1"/>
  <c r="G178" i="12" s="1"/>
  <c r="V135" i="12"/>
  <c r="A89" i="11"/>
  <c r="A92" i="11" s="1"/>
  <c r="E248" i="12"/>
  <c r="E249" i="12" s="1"/>
  <c r="E250" i="12" s="1"/>
  <c r="E251" i="12" s="1"/>
  <c r="E252" i="12" s="1"/>
  <c r="E253" i="12" s="1"/>
  <c r="K24" i="12"/>
  <c r="B24" i="13" s="1"/>
  <c r="C26" i="12"/>
  <c r="M90" i="11" l="1"/>
  <c r="C92" i="11"/>
  <c r="A95" i="11"/>
  <c r="F181" i="12"/>
  <c r="F182" i="12" s="1"/>
  <c r="F183" i="12" s="1"/>
  <c r="F184" i="12" s="1"/>
  <c r="F185" i="12" s="1"/>
  <c r="F186" i="12" s="1"/>
  <c r="F187" i="12" s="1"/>
  <c r="G179" i="12"/>
  <c r="G180" i="12" s="1"/>
  <c r="E254" i="12"/>
  <c r="E255" i="12" s="1"/>
  <c r="E256" i="12" s="1"/>
  <c r="E257" i="12" s="1"/>
  <c r="E258" i="12" s="1"/>
  <c r="E259" i="12" s="1"/>
  <c r="E260" i="12" s="1"/>
  <c r="E261" i="12" s="1"/>
  <c r="E262" i="12" s="1"/>
  <c r="E263" i="12" s="1"/>
  <c r="E264" i="12" s="1"/>
  <c r="E265" i="12" s="1"/>
  <c r="E266" i="12" s="1"/>
  <c r="E267" i="12" s="1"/>
  <c r="E268" i="12" s="1"/>
  <c r="E269" i="12" s="1"/>
  <c r="E270" i="12" s="1"/>
  <c r="E271" i="12" s="1"/>
  <c r="E272" i="12" s="1"/>
  <c r="E273" i="12" s="1"/>
  <c r="E274" i="12" s="1"/>
  <c r="E275" i="12" s="1"/>
  <c r="E276" i="12" s="1"/>
  <c r="E277" i="12" s="1"/>
  <c r="E278" i="12" s="1"/>
  <c r="E279" i="12" s="1"/>
  <c r="E280" i="12" s="1"/>
  <c r="E281" i="12" s="1"/>
  <c r="E282" i="12" s="1"/>
  <c r="E283" i="12" s="1"/>
  <c r="E284" i="12" s="1"/>
  <c r="E285" i="12" s="1"/>
  <c r="E286" i="12" s="1"/>
  <c r="E287" i="12" s="1"/>
  <c r="E288" i="12" s="1"/>
  <c r="E289" i="12" s="1"/>
  <c r="E290" i="12" s="1"/>
  <c r="E291" i="12" s="1"/>
  <c r="E292" i="12" s="1"/>
  <c r="E293" i="12" s="1"/>
  <c r="E294" i="12" s="1"/>
  <c r="E295" i="12" s="1"/>
  <c r="E296" i="12" s="1"/>
  <c r="E297" i="12" s="1"/>
  <c r="E298" i="12" s="1"/>
  <c r="E299" i="12" s="1"/>
  <c r="E300" i="12" s="1"/>
  <c r="E301" i="12" s="1"/>
  <c r="E302" i="12" s="1"/>
  <c r="E303" i="12" s="1"/>
  <c r="E304" i="12" s="1"/>
  <c r="E305" i="12" s="1"/>
  <c r="E306" i="12" s="1"/>
  <c r="E307" i="12" s="1"/>
  <c r="E308" i="12" s="1"/>
  <c r="E309" i="12" s="1"/>
  <c r="E310" i="12" s="1"/>
  <c r="E311" i="12" s="1"/>
  <c r="E312" i="12" s="1"/>
  <c r="E313" i="12" s="1"/>
  <c r="E314" i="12" s="1"/>
  <c r="E315" i="12" s="1"/>
  <c r="E316" i="12" s="1"/>
  <c r="E317" i="12" s="1"/>
  <c r="E318" i="12" s="1"/>
  <c r="E319" i="12" s="1"/>
  <c r="E320" i="12" s="1"/>
  <c r="E321" i="12" s="1"/>
  <c r="E322" i="12" s="1"/>
  <c r="E323" i="12" s="1"/>
  <c r="E324" i="12" s="1"/>
  <c r="E325" i="12" s="1"/>
  <c r="E326" i="12" s="1"/>
  <c r="E327" i="12" s="1"/>
  <c r="E328" i="12" s="1"/>
  <c r="E329" i="12" s="1"/>
  <c r="E330" i="12" s="1"/>
  <c r="E331" i="12" s="1"/>
  <c r="E332" i="12" s="1"/>
  <c r="E333" i="12" s="1"/>
  <c r="E334" i="12" s="1"/>
  <c r="E335" i="12" s="1"/>
  <c r="E336" i="12" s="1"/>
  <c r="E337" i="12" s="1"/>
  <c r="E338" i="12" s="1"/>
  <c r="E339" i="12" s="1"/>
  <c r="E340" i="12" s="1"/>
  <c r="E341" i="12" s="1"/>
  <c r="E342" i="12" s="1"/>
  <c r="E343" i="12" s="1"/>
  <c r="E344" i="12" s="1"/>
  <c r="E345" i="12" s="1"/>
  <c r="E346" i="12" s="1"/>
  <c r="E347" i="12" s="1"/>
  <c r="E348" i="12" s="1"/>
  <c r="E349" i="12" s="1"/>
  <c r="E350" i="12" s="1"/>
  <c r="E351" i="12" s="1"/>
  <c r="E352" i="12" s="1"/>
  <c r="E353" i="12" s="1"/>
  <c r="E354" i="12" s="1"/>
  <c r="E355" i="12" s="1"/>
  <c r="E356" i="12" s="1"/>
  <c r="E357" i="12" s="1"/>
  <c r="E358" i="12" s="1"/>
  <c r="E359" i="12" s="1"/>
  <c r="E360" i="12" s="1"/>
  <c r="E361" i="12" s="1"/>
  <c r="E362" i="12" s="1"/>
  <c r="E363" i="12" s="1"/>
  <c r="E364" i="12" s="1"/>
  <c r="E365" i="12" s="1"/>
  <c r="E366" i="12" s="1"/>
  <c r="E367" i="12" s="1"/>
  <c r="E368" i="12" s="1"/>
  <c r="V143" i="12"/>
  <c r="C27" i="12"/>
  <c r="K26" i="12"/>
  <c r="B26" i="13" s="1"/>
  <c r="H92" i="11" l="1"/>
  <c r="G92" i="11"/>
  <c r="F92" i="11"/>
  <c r="C95" i="11"/>
  <c r="A98" i="11"/>
  <c r="M93" i="11"/>
  <c r="F188" i="12"/>
  <c r="F189" i="12" s="1"/>
  <c r="F190" i="12" s="1"/>
  <c r="F191" i="12" s="1"/>
  <c r="F192" i="12" s="1"/>
  <c r="F193" i="12" s="1"/>
  <c r="F194" i="12" s="1"/>
  <c r="F195" i="12" s="1"/>
  <c r="F196" i="12" s="1"/>
  <c r="F197" i="12" s="1"/>
  <c r="F198" i="12" s="1"/>
  <c r="F199" i="12" s="1"/>
  <c r="F200" i="12" s="1"/>
  <c r="F201" i="12" s="1"/>
  <c r="F202" i="12" s="1"/>
  <c r="F203" i="12" s="1"/>
  <c r="F204" i="12" s="1"/>
  <c r="F205" i="12" s="1"/>
  <c r="G181" i="12"/>
  <c r="G182" i="12" s="1"/>
  <c r="G183" i="12" s="1"/>
  <c r="G184" i="12" s="1"/>
  <c r="G185" i="12" s="1"/>
  <c r="G186" i="12" s="1"/>
  <c r="G187" i="12" s="1"/>
  <c r="V147" i="12"/>
  <c r="C28" i="12"/>
  <c r="K27" i="12"/>
  <c r="B27" i="13" s="1"/>
  <c r="H95" i="11" l="1"/>
  <c r="G95" i="11"/>
  <c r="F95" i="11"/>
  <c r="C98" i="11"/>
  <c r="A101" i="11"/>
  <c r="M96" i="11"/>
  <c r="B92" i="11"/>
  <c r="G188" i="12"/>
  <c r="G189" i="12" s="1"/>
  <c r="G190" i="12" s="1"/>
  <c r="G191" i="12" s="1"/>
  <c r="G192" i="12" s="1"/>
  <c r="G193" i="12" s="1"/>
  <c r="G194" i="12" s="1"/>
  <c r="G195" i="12" s="1"/>
  <c r="G196" i="12" s="1"/>
  <c r="G197" i="12" s="1"/>
  <c r="G198" i="12" s="1"/>
  <c r="G199" i="12" s="1"/>
  <c r="G200" i="12" s="1"/>
  <c r="G201" i="12" s="1"/>
  <c r="G202" i="12" s="1"/>
  <c r="G203" i="12" s="1"/>
  <c r="G204" i="12" s="1"/>
  <c r="G205" i="12" s="1"/>
  <c r="V153" i="12"/>
  <c r="K28" i="12"/>
  <c r="B28" i="13" s="1"/>
  <c r="A104" i="11" l="1"/>
  <c r="M99" i="11"/>
  <c r="C101" i="11"/>
  <c r="B98" i="11" s="1"/>
  <c r="G98" i="11"/>
  <c r="F98" i="11"/>
  <c r="H98" i="11"/>
  <c r="B95" i="11"/>
  <c r="C29" i="12"/>
  <c r="C30" i="12" s="1"/>
  <c r="C31" i="12" s="1"/>
  <c r="V169" i="12"/>
  <c r="E491" i="12"/>
  <c r="E492" i="12" s="1"/>
  <c r="U93" i="11" l="1"/>
  <c r="Q93" i="11"/>
  <c r="AC93" i="11"/>
  <c r="AC94" i="11" s="1"/>
  <c r="T93" i="11"/>
  <c r="P93" i="11"/>
  <c r="P94" i="11" s="1"/>
  <c r="S93" i="11"/>
  <c r="R93" i="11"/>
  <c r="AC96" i="11"/>
  <c r="AC97" i="11" s="1"/>
  <c r="T96" i="11"/>
  <c r="P96" i="11"/>
  <c r="P97" i="11" s="1"/>
  <c r="S96" i="11"/>
  <c r="R96" i="11"/>
  <c r="U96" i="11"/>
  <c r="Q96" i="11"/>
  <c r="F101" i="11"/>
  <c r="H101" i="11"/>
  <c r="G101" i="11"/>
  <c r="M102" i="11"/>
  <c r="C104" i="11"/>
  <c r="A107" i="11"/>
  <c r="J95" i="11"/>
  <c r="C32" i="12"/>
  <c r="V171" i="12"/>
  <c r="E493" i="12"/>
  <c r="E494" i="12" s="1"/>
  <c r="E495" i="12" s="1"/>
  <c r="E496" i="12" s="1"/>
  <c r="E497" i="12" s="1"/>
  <c r="E498" i="12" s="1"/>
  <c r="E499" i="12" s="1"/>
  <c r="E500" i="12" s="1"/>
  <c r="E501" i="12" s="1"/>
  <c r="E502" i="12" s="1"/>
  <c r="E503" i="12" s="1"/>
  <c r="E504" i="12" s="1"/>
  <c r="E505" i="12" s="1"/>
  <c r="E506" i="12" s="1"/>
  <c r="Q94" i="11" l="1"/>
  <c r="R94" i="11" s="1"/>
  <c r="S94" i="11" s="1"/>
  <c r="T94" i="11" s="1"/>
  <c r="Q97" i="11"/>
  <c r="A110" i="11"/>
  <c r="C107" i="11"/>
  <c r="B104" i="11" s="1"/>
  <c r="M105" i="11"/>
  <c r="J98" i="11"/>
  <c r="H104" i="11"/>
  <c r="G104" i="11"/>
  <c r="F104" i="11"/>
  <c r="B101" i="11"/>
  <c r="E507" i="12"/>
  <c r="E508" i="12" s="1"/>
  <c r="E509" i="12" s="1"/>
  <c r="E510" i="12" s="1"/>
  <c r="E511" i="12" s="1"/>
  <c r="E512" i="12" s="1"/>
  <c r="E513" i="12" s="1"/>
  <c r="E514" i="12" s="1"/>
  <c r="E515" i="12" s="1"/>
  <c r="E516" i="12" s="1"/>
  <c r="E517" i="12" s="1"/>
  <c r="E518" i="12" s="1"/>
  <c r="E519" i="12" s="1"/>
  <c r="E520" i="12" s="1"/>
  <c r="E521" i="12" s="1"/>
  <c r="E522" i="12" s="1"/>
  <c r="E523" i="12" s="1"/>
  <c r="E524" i="12" s="1"/>
  <c r="E525" i="12" s="1"/>
  <c r="E526" i="12" s="1"/>
  <c r="E527" i="12" s="1"/>
  <c r="E528" i="12" s="1"/>
  <c r="E529" i="12" s="1"/>
  <c r="E530" i="12" s="1"/>
  <c r="E531" i="12" s="1"/>
  <c r="E532" i="12" s="1"/>
  <c r="E533" i="12" s="1"/>
  <c r="E534" i="12" s="1"/>
  <c r="E535" i="12"/>
  <c r="E536" i="12" s="1"/>
  <c r="C33" i="12"/>
  <c r="V179" i="12"/>
  <c r="V102" i="11" l="1"/>
  <c r="R102" i="11"/>
  <c r="U102" i="11"/>
  <c r="Q102" i="11"/>
  <c r="AC102" i="11"/>
  <c r="AC103" i="11" s="1"/>
  <c r="T102" i="11"/>
  <c r="P102" i="11"/>
  <c r="P103" i="11" s="1"/>
  <c r="S102" i="11"/>
  <c r="H107" i="11"/>
  <c r="G107" i="11"/>
  <c r="F107" i="11"/>
  <c r="J104" i="11" s="1"/>
  <c r="J101" i="11"/>
  <c r="S99" i="11"/>
  <c r="V99" i="11"/>
  <c r="R99" i="11"/>
  <c r="U99" i="11"/>
  <c r="Q99" i="11"/>
  <c r="AC99" i="11"/>
  <c r="AC100" i="11" s="1"/>
  <c r="T99" i="11"/>
  <c r="P99" i="11"/>
  <c r="P100" i="11" s="1"/>
  <c r="A113" i="11"/>
  <c r="M108" i="11"/>
  <c r="C110" i="11"/>
  <c r="B107" i="11" s="1"/>
  <c r="U94" i="11"/>
  <c r="R97" i="11"/>
  <c r="E537" i="12"/>
  <c r="E538" i="12" s="1"/>
  <c r="E539" i="12" s="1"/>
  <c r="E540" i="12" s="1"/>
  <c r="E541" i="12" s="1"/>
  <c r="E542" i="12" s="1"/>
  <c r="E543" i="12" s="1"/>
  <c r="E544" i="12" s="1"/>
  <c r="C34" i="12"/>
  <c r="C35" i="12" s="1"/>
  <c r="E29" i="12"/>
  <c r="E30" i="12" s="1"/>
  <c r="V186" i="12"/>
  <c r="Q100" i="11" l="1"/>
  <c r="R100" i="11" s="1"/>
  <c r="Q103" i="11"/>
  <c r="U105" i="11"/>
  <c r="Q105" i="11"/>
  <c r="AC105" i="11"/>
  <c r="AC106" i="11" s="1"/>
  <c r="T105" i="11"/>
  <c r="P105" i="11"/>
  <c r="P106" i="11" s="1"/>
  <c r="S105" i="11"/>
  <c r="V105" i="11"/>
  <c r="R105" i="11"/>
  <c r="V94" i="11"/>
  <c r="C113" i="11"/>
  <c r="B110" i="11" s="1"/>
  <c r="M111" i="11"/>
  <c r="A116" i="11"/>
  <c r="H110" i="11"/>
  <c r="G110" i="11"/>
  <c r="F110" i="11"/>
  <c r="S97" i="11"/>
  <c r="E600" i="12"/>
  <c r="E601" i="12" s="1"/>
  <c r="E545" i="12"/>
  <c r="E546" i="12" s="1"/>
  <c r="E547" i="12" s="1"/>
  <c r="E548" i="12" s="1"/>
  <c r="E549" i="12" s="1"/>
  <c r="E550" i="12" s="1"/>
  <c r="E551" i="12" s="1"/>
  <c r="E552" i="12" s="1"/>
  <c r="E553" i="12" s="1"/>
  <c r="E554" i="12" s="1"/>
  <c r="E555" i="12" s="1"/>
  <c r="E556" i="12" s="1"/>
  <c r="C36" i="12"/>
  <c r="E39" i="12"/>
  <c r="E40" i="12" s="1"/>
  <c r="E41" i="12" s="1"/>
  <c r="E42" i="12" s="1"/>
  <c r="E43" i="12" s="1"/>
  <c r="E44" i="12" s="1"/>
  <c r="E45" i="12" s="1"/>
  <c r="E31" i="12"/>
  <c r="E32" i="12" s="1"/>
  <c r="E33" i="12" s="1"/>
  <c r="E34" i="12" s="1"/>
  <c r="E35" i="12" s="1"/>
  <c r="E36" i="12" s="1"/>
  <c r="E37" i="12" s="1"/>
  <c r="E38" i="12" s="1"/>
  <c r="V189" i="12"/>
  <c r="Q106" i="11" l="1"/>
  <c r="R106" i="11" s="1"/>
  <c r="S106" i="11" s="1"/>
  <c r="J107" i="11"/>
  <c r="W94" i="11"/>
  <c r="C116" i="11"/>
  <c r="B113" i="11" s="1"/>
  <c r="A119" i="11"/>
  <c r="M114" i="11"/>
  <c r="S100" i="11"/>
  <c r="T97" i="11"/>
  <c r="AC108" i="11"/>
  <c r="AC109" i="11" s="1"/>
  <c r="T108" i="11"/>
  <c r="P108" i="11"/>
  <c r="P109" i="11" s="1"/>
  <c r="S108" i="11"/>
  <c r="V108" i="11"/>
  <c r="R108" i="11"/>
  <c r="U108" i="11"/>
  <c r="Q108" i="11"/>
  <c r="H113" i="11"/>
  <c r="G113" i="11"/>
  <c r="F113" i="11"/>
  <c r="I110" i="11" s="1"/>
  <c r="R103" i="11"/>
  <c r="E557" i="12"/>
  <c r="E46" i="12"/>
  <c r="E47" i="12" s="1"/>
  <c r="E48" i="12" s="1"/>
  <c r="E49" i="12" s="1"/>
  <c r="E50" i="12" s="1"/>
  <c r="E51" i="12" s="1"/>
  <c r="E52" i="12" s="1"/>
  <c r="E53" i="12" s="1"/>
  <c r="E54" i="12" s="1"/>
  <c r="E55" i="12" s="1"/>
  <c r="E56" i="12" s="1"/>
  <c r="E57" i="12" s="1"/>
  <c r="E58" i="12" s="1"/>
  <c r="E59" i="12" s="1"/>
  <c r="E60" i="12" s="1"/>
  <c r="E61" i="12" s="1"/>
  <c r="E62" i="12" s="1"/>
  <c r="E63" i="12" s="1"/>
  <c r="E64" i="12" s="1"/>
  <c r="E65" i="12" s="1"/>
  <c r="C37" i="12"/>
  <c r="E79" i="12"/>
  <c r="E80" i="12" s="1"/>
  <c r="E81" i="12" s="1"/>
  <c r="E82" i="12" s="1"/>
  <c r="E83" i="12" s="1"/>
  <c r="E84" i="12" s="1"/>
  <c r="E85" i="12" s="1"/>
  <c r="E86" i="12" s="1"/>
  <c r="E87" i="12" s="1"/>
  <c r="E88" i="12" s="1"/>
  <c r="E89" i="12" s="1"/>
  <c r="E90" i="12" s="1"/>
  <c r="E91" i="12" s="1"/>
  <c r="E92" i="12" s="1"/>
  <c r="E93" i="12" s="1"/>
  <c r="E94" i="12" s="1"/>
  <c r="E95" i="12" s="1"/>
  <c r="E96" i="12" s="1"/>
  <c r="E97" i="12" s="1"/>
  <c r="E98" i="12" s="1"/>
  <c r="E99" i="12" s="1"/>
  <c r="E100" i="12" s="1"/>
  <c r="E101" i="12" s="1"/>
  <c r="E102" i="12" s="1"/>
  <c r="E103" i="12" s="1"/>
  <c r="E104" i="12" s="1"/>
  <c r="E105" i="12" s="1"/>
  <c r="E106" i="12" s="1"/>
  <c r="E107" i="12" s="1"/>
  <c r="E108" i="12"/>
  <c r="E109" i="12" s="1"/>
  <c r="E110" i="12" s="1"/>
  <c r="E111" i="12" s="1"/>
  <c r="E112" i="12" s="1"/>
  <c r="V190" i="12"/>
  <c r="V203" i="12" s="1"/>
  <c r="Q109" i="11" l="1"/>
  <c r="R109" i="11" s="1"/>
  <c r="S109" i="11" s="1"/>
  <c r="T109" i="11" s="1"/>
  <c r="T106" i="11"/>
  <c r="U111" i="11"/>
  <c r="Q111" i="11"/>
  <c r="AC111" i="11"/>
  <c r="AC112" i="11" s="1"/>
  <c r="T111" i="11"/>
  <c r="P111" i="11"/>
  <c r="P112" i="11" s="1"/>
  <c r="R111" i="11"/>
  <c r="S111" i="11"/>
  <c r="I98" i="11"/>
  <c r="D98" i="11" s="1"/>
  <c r="T100" i="11"/>
  <c r="A122" i="11"/>
  <c r="M117" i="11"/>
  <c r="C119" i="11"/>
  <c r="B116" i="11" s="1"/>
  <c r="I101" i="11"/>
  <c r="D101" i="11" s="1"/>
  <c r="U97" i="11"/>
  <c r="G116" i="11"/>
  <c r="F116" i="11"/>
  <c r="H116" i="11"/>
  <c r="I95" i="11"/>
  <c r="D95" i="11" s="1"/>
  <c r="S103" i="11"/>
  <c r="I107" i="11"/>
  <c r="D107" i="11" s="1"/>
  <c r="E558" i="12"/>
  <c r="E68" i="12"/>
  <c r="E69" i="12" s="1"/>
  <c r="E70" i="12" s="1"/>
  <c r="E71" i="12" s="1"/>
  <c r="E72" i="12" s="1"/>
  <c r="E66" i="12"/>
  <c r="E67" i="12" s="1"/>
  <c r="C38" i="12"/>
  <c r="E113" i="12"/>
  <c r="E114" i="12" s="1"/>
  <c r="E115" i="12" s="1"/>
  <c r="Q112" i="11" l="1"/>
  <c r="R112" i="11" s="1"/>
  <c r="S112" i="11" s="1"/>
  <c r="T112" i="11" s="1"/>
  <c r="U100" i="11"/>
  <c r="T103" i="11"/>
  <c r="U109" i="11"/>
  <c r="U106" i="11"/>
  <c r="AC114" i="11"/>
  <c r="AC115" i="11" s="1"/>
  <c r="T114" i="11"/>
  <c r="P114" i="11"/>
  <c r="P115" i="11" s="1"/>
  <c r="S114" i="11"/>
  <c r="Q114" i="11"/>
  <c r="V114" i="11"/>
  <c r="U114" i="11"/>
  <c r="R114" i="11"/>
  <c r="V97" i="11"/>
  <c r="F119" i="11"/>
  <c r="G119" i="11"/>
  <c r="H119" i="11"/>
  <c r="M120" i="11"/>
  <c r="C122" i="11"/>
  <c r="A125" i="11"/>
  <c r="E559" i="12"/>
  <c r="E74" i="12"/>
  <c r="E75" i="12" s="1"/>
  <c r="E76" i="12" s="1"/>
  <c r="E77" i="12" s="1"/>
  <c r="E78" i="12" s="1"/>
  <c r="E73" i="12"/>
  <c r="C39" i="12"/>
  <c r="E116" i="12"/>
  <c r="E117" i="12" s="1"/>
  <c r="E118" i="12" s="1"/>
  <c r="V206" i="12"/>
  <c r="Q115" i="11" l="1"/>
  <c r="R115" i="11" s="1"/>
  <c r="S115" i="11" s="1"/>
  <c r="V106" i="11"/>
  <c r="U103" i="11"/>
  <c r="V109" i="11"/>
  <c r="C125" i="11"/>
  <c r="B122" i="11" s="1"/>
  <c r="M123" i="11"/>
  <c r="A128" i="11"/>
  <c r="W97" i="11"/>
  <c r="U112" i="11"/>
  <c r="H122" i="11"/>
  <c r="F122" i="11"/>
  <c r="G122" i="11"/>
  <c r="B119" i="11"/>
  <c r="V100" i="11"/>
  <c r="E560" i="12"/>
  <c r="C40" i="12"/>
  <c r="C41" i="12" s="1"/>
  <c r="C42" i="12" s="1"/>
  <c r="C43" i="12" s="1"/>
  <c r="C44" i="12" s="1"/>
  <c r="C45" i="12" s="1"/>
  <c r="K39" i="12"/>
  <c r="B39" i="13" s="1"/>
  <c r="E119" i="12"/>
  <c r="V207" i="12"/>
  <c r="W106" i="11" l="1"/>
  <c r="W100" i="11"/>
  <c r="R120" i="11"/>
  <c r="Q120" i="11"/>
  <c r="T120" i="11"/>
  <c r="S120" i="11"/>
  <c r="AC120" i="11"/>
  <c r="AC121" i="11" s="1"/>
  <c r="P120" i="11"/>
  <c r="P121" i="11" s="1"/>
  <c r="H125" i="11"/>
  <c r="G125" i="11"/>
  <c r="F125" i="11"/>
  <c r="W109" i="11"/>
  <c r="T115" i="11"/>
  <c r="V112" i="11"/>
  <c r="C128" i="11"/>
  <c r="B125" i="11" s="1"/>
  <c r="A131" i="11"/>
  <c r="M126" i="11"/>
  <c r="V103" i="11"/>
  <c r="E561" i="12"/>
  <c r="C46" i="12"/>
  <c r="E134" i="12"/>
  <c r="H109" i="12"/>
  <c r="H114" i="12"/>
  <c r="V220" i="12"/>
  <c r="Q121" i="11" l="1"/>
  <c r="U123" i="11"/>
  <c r="Q123" i="11"/>
  <c r="AC123" i="11"/>
  <c r="AC124" i="11" s="1"/>
  <c r="T123" i="11"/>
  <c r="P123" i="11"/>
  <c r="P124" i="11" s="1"/>
  <c r="S123" i="11"/>
  <c r="R123" i="11"/>
  <c r="W112" i="11"/>
  <c r="W103" i="11"/>
  <c r="A134" i="11"/>
  <c r="M129" i="11"/>
  <c r="C131" i="11"/>
  <c r="B128" i="11" s="1"/>
  <c r="G128" i="11"/>
  <c r="F128" i="11"/>
  <c r="I125" i="11" s="1"/>
  <c r="H128" i="11"/>
  <c r="U115" i="11"/>
  <c r="J122" i="11"/>
  <c r="E562" i="12"/>
  <c r="C47" i="12"/>
  <c r="C48" i="12" s="1"/>
  <c r="E147" i="12"/>
  <c r="E148" i="12" s="1"/>
  <c r="E149" i="12" s="1"/>
  <c r="E150" i="12" s="1"/>
  <c r="E151" i="12" s="1"/>
  <c r="E152" i="12" s="1"/>
  <c r="E153" i="12" s="1"/>
  <c r="E154" i="12" s="1"/>
  <c r="E155" i="12" s="1"/>
  <c r="E156" i="12" s="1"/>
  <c r="E157" i="12" s="1"/>
  <c r="E158" i="12" s="1"/>
  <c r="E159" i="12" s="1"/>
  <c r="E160" i="12" s="1"/>
  <c r="E161" i="12" s="1"/>
  <c r="E162" i="12" s="1"/>
  <c r="E163" i="12" s="1"/>
  <c r="E164" i="12" s="1"/>
  <c r="E165" i="12" s="1"/>
  <c r="E166" i="12" s="1"/>
  <c r="E167" i="12" s="1"/>
  <c r="E168" i="12" s="1"/>
  <c r="E169" i="12" s="1"/>
  <c r="E170" i="12" s="1"/>
  <c r="E171" i="12" s="1"/>
  <c r="E172" i="12" s="1"/>
  <c r="E173" i="12" s="1"/>
  <c r="E174" i="12" s="1"/>
  <c r="V228" i="12"/>
  <c r="V229" i="12" s="1"/>
  <c r="I122" i="11" l="1"/>
  <c r="D122" i="11" s="1"/>
  <c r="Q124" i="11"/>
  <c r="R124" i="11" s="1"/>
  <c r="V115" i="11"/>
  <c r="R121" i="11"/>
  <c r="M132" i="11"/>
  <c r="A137" i="11"/>
  <c r="C134" i="11"/>
  <c r="B131" i="11" s="1"/>
  <c r="F131" i="11"/>
  <c r="H131" i="11"/>
  <c r="G131" i="11"/>
  <c r="E563" i="12"/>
  <c r="V236" i="12"/>
  <c r="C49" i="12"/>
  <c r="S129" i="11" l="1"/>
  <c r="R129" i="11"/>
  <c r="Q129" i="11"/>
  <c r="AC129" i="11"/>
  <c r="AC130" i="11" s="1"/>
  <c r="P129" i="11"/>
  <c r="P130" i="11" s="1"/>
  <c r="S121" i="11"/>
  <c r="S124" i="11"/>
  <c r="H134" i="11"/>
  <c r="G134" i="11"/>
  <c r="F134" i="11"/>
  <c r="A140" i="11"/>
  <c r="C137" i="11"/>
  <c r="M135" i="11"/>
  <c r="W115" i="11"/>
  <c r="E564" i="12"/>
  <c r="V239" i="12"/>
  <c r="C50" i="12"/>
  <c r="C51" i="12" s="1"/>
  <c r="F137" i="11" l="1"/>
  <c r="I134" i="11" s="1"/>
  <c r="H137" i="11"/>
  <c r="G137" i="11"/>
  <c r="T124" i="11"/>
  <c r="I131" i="11"/>
  <c r="Q130" i="11"/>
  <c r="T121" i="11"/>
  <c r="M138" i="11"/>
  <c r="C140" i="11"/>
  <c r="A143" i="11"/>
  <c r="B134" i="11"/>
  <c r="J131" i="11"/>
  <c r="E565" i="12"/>
  <c r="E369" i="12"/>
  <c r="E370" i="12" s="1"/>
  <c r="E371" i="12" s="1"/>
  <c r="E372" i="12" s="1"/>
  <c r="E373" i="12" s="1"/>
  <c r="E374" i="12" s="1"/>
  <c r="E375" i="12" s="1"/>
  <c r="E376" i="12" s="1"/>
  <c r="E377" i="12" s="1"/>
  <c r="E175" i="12"/>
  <c r="V242" i="12"/>
  <c r="D131" i="11" l="1"/>
  <c r="A146" i="11"/>
  <c r="M141" i="11"/>
  <c r="C143" i="11"/>
  <c r="B140" i="11" s="1"/>
  <c r="G140" i="11"/>
  <c r="F140" i="11"/>
  <c r="H140" i="11"/>
  <c r="U121" i="11"/>
  <c r="U124" i="11"/>
  <c r="R132" i="11"/>
  <c r="Q132" i="11"/>
  <c r="S132" i="11"/>
  <c r="AC132" i="11"/>
  <c r="AC133" i="11" s="1"/>
  <c r="P132" i="11"/>
  <c r="P133" i="11" s="1"/>
  <c r="T132" i="11"/>
  <c r="R130" i="11"/>
  <c r="B137" i="11"/>
  <c r="E566" i="12"/>
  <c r="E176" i="12"/>
  <c r="E177" i="12" s="1"/>
  <c r="E178" i="12" s="1"/>
  <c r="V245" i="12"/>
  <c r="C52" i="12"/>
  <c r="Q133" i="11" l="1"/>
  <c r="S130" i="11"/>
  <c r="V124" i="11"/>
  <c r="R138" i="11"/>
  <c r="AC138" i="11"/>
  <c r="AC139" i="11" s="1"/>
  <c r="T138" i="11"/>
  <c r="P138" i="11"/>
  <c r="P139" i="11" s="1"/>
  <c r="S138" i="11"/>
  <c r="Q138" i="11"/>
  <c r="C146" i="11"/>
  <c r="B143" i="11" s="1"/>
  <c r="A149" i="11"/>
  <c r="M144" i="11"/>
  <c r="V121" i="11"/>
  <c r="H143" i="11"/>
  <c r="F143" i="11"/>
  <c r="G143" i="11"/>
  <c r="E567" i="12"/>
  <c r="E179" i="12"/>
  <c r="E180" i="12" s="1"/>
  <c r="E206" i="12"/>
  <c r="V246" i="12"/>
  <c r="C53" i="12"/>
  <c r="Q141" i="11" l="1"/>
  <c r="S141" i="11"/>
  <c r="R141" i="11"/>
  <c r="AC141" i="11"/>
  <c r="AC142" i="11" s="1"/>
  <c r="T141" i="11"/>
  <c r="P141" i="11"/>
  <c r="P142" i="11" s="1"/>
  <c r="Q139" i="11"/>
  <c r="W121" i="11"/>
  <c r="A152" i="11"/>
  <c r="C149" i="11"/>
  <c r="B146" i="11" s="1"/>
  <c r="M147" i="11"/>
  <c r="T130" i="11"/>
  <c r="J140" i="11"/>
  <c r="G146" i="11"/>
  <c r="H146" i="11"/>
  <c r="F146" i="11"/>
  <c r="W124" i="11"/>
  <c r="R133" i="11"/>
  <c r="E568" i="12"/>
  <c r="E569" i="12" s="1"/>
  <c r="E570" i="12" s="1"/>
  <c r="E571" i="12" s="1"/>
  <c r="E181" i="12"/>
  <c r="E182" i="12" s="1"/>
  <c r="E183" i="12" s="1"/>
  <c r="E184" i="12" s="1"/>
  <c r="E185" i="12" s="1"/>
  <c r="E186" i="12" s="1"/>
  <c r="E187" i="12" s="1"/>
  <c r="E207" i="12"/>
  <c r="V289" i="12"/>
  <c r="C54" i="12"/>
  <c r="Q142" i="11" l="1"/>
  <c r="R142" i="11" s="1"/>
  <c r="M150" i="11"/>
  <c r="C152" i="11"/>
  <c r="B149" i="11" s="1"/>
  <c r="A155" i="11"/>
  <c r="J143" i="11"/>
  <c r="S133" i="11"/>
  <c r="F149" i="11"/>
  <c r="J146" i="11" s="1"/>
  <c r="H149" i="11"/>
  <c r="G149" i="11"/>
  <c r="U130" i="11"/>
  <c r="AC144" i="11"/>
  <c r="AC145" i="11" s="1"/>
  <c r="T144" i="11"/>
  <c r="P144" i="11"/>
  <c r="P145" i="11" s="1"/>
  <c r="R144" i="11"/>
  <c r="U144" i="11"/>
  <c r="Q144" i="11"/>
  <c r="S144" i="11"/>
  <c r="R139" i="11"/>
  <c r="E572" i="12"/>
  <c r="E188" i="12"/>
  <c r="E189" i="12" s="1"/>
  <c r="E190" i="12" s="1"/>
  <c r="E191" i="12" s="1"/>
  <c r="E192" i="12" s="1"/>
  <c r="E193" i="12" s="1"/>
  <c r="E194" i="12" s="1"/>
  <c r="E195" i="12" s="1"/>
  <c r="E196" i="12" s="1"/>
  <c r="E197" i="12" s="1"/>
  <c r="E198" i="12" s="1"/>
  <c r="E199" i="12" s="1"/>
  <c r="E200" i="12" s="1"/>
  <c r="E201" i="12" s="1"/>
  <c r="E202" i="12" s="1"/>
  <c r="E203" i="12" s="1"/>
  <c r="E204" i="12" s="1"/>
  <c r="E205" i="12" s="1"/>
  <c r="E208" i="12"/>
  <c r="E209" i="12" s="1"/>
  <c r="E210" i="12" s="1"/>
  <c r="E211" i="12" s="1"/>
  <c r="E212" i="12" s="1"/>
  <c r="E213" i="12" s="1"/>
  <c r="E214" i="12" s="1"/>
  <c r="E215" i="12" s="1"/>
  <c r="E216" i="12" s="1"/>
  <c r="E217" i="12" s="1"/>
  <c r="E218" i="12" s="1"/>
  <c r="E219" i="12" s="1"/>
  <c r="E220" i="12" s="1"/>
  <c r="E221" i="12" s="1"/>
  <c r="E602" i="12" s="1"/>
  <c r="V296" i="12"/>
  <c r="C55" i="12"/>
  <c r="Q145" i="11" l="1"/>
  <c r="R145" i="11" s="1"/>
  <c r="S142" i="11"/>
  <c r="V130" i="11"/>
  <c r="T133" i="11"/>
  <c r="H152" i="11"/>
  <c r="G152" i="11"/>
  <c r="F152" i="11"/>
  <c r="I146" i="11" s="1"/>
  <c r="D146" i="11" s="1"/>
  <c r="S139" i="11"/>
  <c r="S147" i="11"/>
  <c r="Q147" i="11"/>
  <c r="AC147" i="11"/>
  <c r="AC148" i="11" s="1"/>
  <c r="T147" i="11"/>
  <c r="P147" i="11"/>
  <c r="P148" i="11" s="1"/>
  <c r="R147" i="11"/>
  <c r="C155" i="11"/>
  <c r="A158" i="11"/>
  <c r="M153" i="11"/>
  <c r="E573" i="12"/>
  <c r="E574" i="12" s="1"/>
  <c r="E575" i="12" s="1"/>
  <c r="E222" i="12"/>
  <c r="E223" i="12" s="1"/>
  <c r="E224" i="12" s="1"/>
  <c r="E225" i="12" s="1"/>
  <c r="E226" i="12" s="1"/>
  <c r="E227" i="12" s="1"/>
  <c r="V298" i="12"/>
  <c r="C56" i="12"/>
  <c r="I140" i="11" l="1"/>
  <c r="D140" i="11" s="1"/>
  <c r="Q148" i="11"/>
  <c r="R148" i="11" s="1"/>
  <c r="T139" i="11"/>
  <c r="C158" i="11"/>
  <c r="B155" i="11" s="1"/>
  <c r="A161" i="11"/>
  <c r="M156" i="11"/>
  <c r="U133" i="11"/>
  <c r="H155" i="11"/>
  <c r="G155" i="11"/>
  <c r="F155" i="11"/>
  <c r="B152" i="11"/>
  <c r="T142" i="11"/>
  <c r="I143" i="11"/>
  <c r="D143" i="11" s="1"/>
  <c r="I149" i="11"/>
  <c r="W130" i="11"/>
  <c r="S145" i="11"/>
  <c r="E576" i="12"/>
  <c r="H564" i="12"/>
  <c r="V299" i="12"/>
  <c r="C57" i="12"/>
  <c r="C58" i="12" s="1"/>
  <c r="T145" i="11" l="1"/>
  <c r="Q153" i="11"/>
  <c r="AC153" i="11"/>
  <c r="AC154" i="11" s="1"/>
  <c r="P153" i="11"/>
  <c r="P154" i="11" s="1"/>
  <c r="S153" i="11"/>
  <c r="R153" i="11"/>
  <c r="V133" i="11"/>
  <c r="A164" i="11"/>
  <c r="M159" i="11"/>
  <c r="C161" i="11"/>
  <c r="B158" i="11" s="1"/>
  <c r="G158" i="11"/>
  <c r="F158" i="11"/>
  <c r="H158" i="11"/>
  <c r="S148" i="11"/>
  <c r="U142" i="11"/>
  <c r="U139" i="11"/>
  <c r="E577" i="12"/>
  <c r="V306" i="12"/>
  <c r="Q154" i="11" l="1"/>
  <c r="J155" i="11"/>
  <c r="W133" i="11"/>
  <c r="V142" i="11"/>
  <c r="V139" i="11"/>
  <c r="T148" i="11"/>
  <c r="U145" i="11"/>
  <c r="AC156" i="11"/>
  <c r="AC157" i="11" s="1"/>
  <c r="P156" i="11"/>
  <c r="P157" i="11" s="1"/>
  <c r="S156" i="11"/>
  <c r="R156" i="11"/>
  <c r="Q156" i="11"/>
  <c r="F161" i="11"/>
  <c r="H161" i="11"/>
  <c r="G161" i="11"/>
  <c r="M162" i="11"/>
  <c r="C164" i="11"/>
  <c r="A167" i="11"/>
  <c r="E578" i="12"/>
  <c r="V309" i="12"/>
  <c r="Q157" i="11" l="1"/>
  <c r="R157" i="11" s="1"/>
  <c r="S157" i="11" s="1"/>
  <c r="T157" i="11" s="1"/>
  <c r="C167" i="11"/>
  <c r="B164" i="11" s="1"/>
  <c r="A170" i="11"/>
  <c r="M165" i="11"/>
  <c r="H164" i="11"/>
  <c r="G164" i="11"/>
  <c r="F164" i="11"/>
  <c r="I161" i="11" s="1"/>
  <c r="B161" i="11"/>
  <c r="W139" i="11"/>
  <c r="J158" i="11"/>
  <c r="V145" i="11"/>
  <c r="U148" i="11"/>
  <c r="W142" i="11"/>
  <c r="R154" i="11"/>
  <c r="E579" i="12"/>
  <c r="C59" i="12"/>
  <c r="C60" i="12" s="1"/>
  <c r="C61" i="12" s="1"/>
  <c r="V310" i="12"/>
  <c r="I155" i="11" l="1"/>
  <c r="D155" i="11" s="1"/>
  <c r="I158" i="11"/>
  <c r="D158" i="11" s="1"/>
  <c r="U157" i="11"/>
  <c r="S154" i="11"/>
  <c r="V148" i="11"/>
  <c r="C170" i="11"/>
  <c r="B167" i="11" s="1"/>
  <c r="A173" i="11"/>
  <c r="M168" i="11"/>
  <c r="H167" i="11"/>
  <c r="G167" i="11"/>
  <c r="F167" i="11"/>
  <c r="W145" i="11"/>
  <c r="S159" i="11"/>
  <c r="R159" i="11"/>
  <c r="Q159" i="11"/>
  <c r="AC159" i="11"/>
  <c r="AC160" i="11" s="1"/>
  <c r="P159" i="11"/>
  <c r="P160" i="11" s="1"/>
  <c r="E580" i="12"/>
  <c r="C62" i="12"/>
  <c r="V340" i="12"/>
  <c r="Q160" i="11" l="1"/>
  <c r="R160" i="11" s="1"/>
  <c r="Q165" i="11"/>
  <c r="AC165" i="11"/>
  <c r="AC166" i="11" s="1"/>
  <c r="P165" i="11"/>
  <c r="P166" i="11" s="1"/>
  <c r="S165" i="11"/>
  <c r="R165" i="11"/>
  <c r="A176" i="11"/>
  <c r="M171" i="11"/>
  <c r="C173" i="11"/>
  <c r="B170" i="11" s="1"/>
  <c r="G170" i="11"/>
  <c r="F170" i="11"/>
  <c r="H170" i="11"/>
  <c r="T154" i="11"/>
  <c r="V157" i="11"/>
  <c r="W148" i="11"/>
  <c r="E581" i="12"/>
  <c r="C63" i="12"/>
  <c r="V343" i="12"/>
  <c r="Q166" i="11" l="1"/>
  <c r="W157" i="11"/>
  <c r="J167" i="11"/>
  <c r="F173" i="11"/>
  <c r="I170" i="11" s="1"/>
  <c r="H173" i="11"/>
  <c r="G173" i="11"/>
  <c r="A179" i="11"/>
  <c r="M174" i="11"/>
  <c r="C176" i="11"/>
  <c r="U154" i="11"/>
  <c r="AC168" i="11"/>
  <c r="AC169" i="11" s="1"/>
  <c r="P168" i="11"/>
  <c r="P169" i="11" s="1"/>
  <c r="S168" i="11"/>
  <c r="R168" i="11"/>
  <c r="Q168" i="11"/>
  <c r="S160" i="11"/>
  <c r="E582" i="12"/>
  <c r="C64" i="12"/>
  <c r="V378" i="12"/>
  <c r="I167" i="11" l="1"/>
  <c r="D167" i="11" s="1"/>
  <c r="Q169" i="11"/>
  <c r="R169" i="11" s="1"/>
  <c r="H176" i="11"/>
  <c r="G176" i="11"/>
  <c r="F176" i="11"/>
  <c r="C179" i="11"/>
  <c r="M177" i="11"/>
  <c r="A182" i="11"/>
  <c r="B173" i="11"/>
  <c r="V154" i="11"/>
  <c r="T160" i="11"/>
  <c r="R166" i="11"/>
  <c r="E583" i="12"/>
  <c r="C65" i="12"/>
  <c r="V392" i="12"/>
  <c r="V393" i="12" s="1"/>
  <c r="V396" i="12" s="1"/>
  <c r="V399" i="12" s="1"/>
  <c r="V408" i="12" s="1"/>
  <c r="V414" i="12" s="1"/>
  <c r="S166" i="11" l="1"/>
  <c r="U160" i="11"/>
  <c r="H179" i="11"/>
  <c r="G179" i="11"/>
  <c r="F179" i="11"/>
  <c r="J176" i="11" s="1"/>
  <c r="S169" i="11"/>
  <c r="B176" i="11"/>
  <c r="W154" i="11"/>
  <c r="C182" i="11"/>
  <c r="B179" i="11" s="1"/>
  <c r="A185" i="11"/>
  <c r="M180" i="11"/>
  <c r="E584" i="12"/>
  <c r="C66" i="12"/>
  <c r="C67" i="12" s="1"/>
  <c r="V418" i="12"/>
  <c r="Q177" i="11" l="1"/>
  <c r="AC177" i="11"/>
  <c r="AC178" i="11" s="1"/>
  <c r="P177" i="11"/>
  <c r="P178" i="11" s="1"/>
  <c r="R177" i="11"/>
  <c r="S177" i="11"/>
  <c r="A188" i="11"/>
  <c r="M183" i="11"/>
  <c r="C185" i="11"/>
  <c r="B182" i="11" s="1"/>
  <c r="G182" i="11"/>
  <c r="F182" i="11"/>
  <c r="H182" i="11"/>
  <c r="R174" i="11"/>
  <c r="Q174" i="11"/>
  <c r="AC174" i="11"/>
  <c r="AC175" i="11" s="1"/>
  <c r="P174" i="11"/>
  <c r="P175" i="11" s="1"/>
  <c r="S174" i="11"/>
  <c r="T166" i="11"/>
  <c r="T169" i="11"/>
  <c r="I176" i="11"/>
  <c r="D176" i="11" s="1"/>
  <c r="V160" i="11"/>
  <c r="E585" i="12"/>
  <c r="C68" i="12"/>
  <c r="C69" i="12" s="1"/>
  <c r="C70" i="12" s="1"/>
  <c r="V419" i="12"/>
  <c r="Q175" i="11" l="1"/>
  <c r="R175" i="11" s="1"/>
  <c r="S175" i="11" s="1"/>
  <c r="T175" i="11" s="1"/>
  <c r="Q178" i="11"/>
  <c r="U169" i="11"/>
  <c r="W160" i="11"/>
  <c r="AC180" i="11"/>
  <c r="AC181" i="11" s="1"/>
  <c r="P180" i="11"/>
  <c r="P181" i="11" s="1"/>
  <c r="S180" i="11"/>
  <c r="Q180" i="11"/>
  <c r="R180" i="11"/>
  <c r="U166" i="11"/>
  <c r="I179" i="11"/>
  <c r="F185" i="11"/>
  <c r="G185" i="11"/>
  <c r="H185" i="11"/>
  <c r="A191" i="11"/>
  <c r="M186" i="11"/>
  <c r="C188" i="11"/>
  <c r="E586" i="12"/>
  <c r="E587" i="12" s="1"/>
  <c r="C71" i="12"/>
  <c r="V424" i="12"/>
  <c r="Q181" i="11" l="1"/>
  <c r="R181" i="11" s="1"/>
  <c r="S181" i="11" s="1"/>
  <c r="T181" i="11" s="1"/>
  <c r="U175" i="11"/>
  <c r="R178" i="11"/>
  <c r="V166" i="11"/>
  <c r="H188" i="11"/>
  <c r="F188" i="11"/>
  <c r="G188" i="11"/>
  <c r="C191" i="11"/>
  <c r="A194" i="11"/>
  <c r="M189" i="11"/>
  <c r="V169" i="11"/>
  <c r="B185" i="11"/>
  <c r="E588" i="12"/>
  <c r="H575" i="12"/>
  <c r="C72" i="12"/>
  <c r="V440" i="12"/>
  <c r="S183" i="11" l="1"/>
  <c r="R183" i="11"/>
  <c r="AC183" i="11"/>
  <c r="AC184" i="11" s="1"/>
  <c r="P183" i="11"/>
  <c r="P184" i="11" s="1"/>
  <c r="Q183" i="11"/>
  <c r="C194" i="11"/>
  <c r="B191" i="11" s="1"/>
  <c r="A197" i="11"/>
  <c r="M192" i="11"/>
  <c r="W166" i="11"/>
  <c r="H191" i="11"/>
  <c r="G191" i="11"/>
  <c r="F191" i="11"/>
  <c r="B188" i="11"/>
  <c r="V175" i="11"/>
  <c r="U181" i="11"/>
  <c r="W169" i="11"/>
  <c r="S178" i="11"/>
  <c r="E589" i="12"/>
  <c r="C73" i="12"/>
  <c r="V450" i="12"/>
  <c r="Q184" i="11" l="1"/>
  <c r="R184" i="11" s="1"/>
  <c r="Q189" i="11"/>
  <c r="AC189" i="11"/>
  <c r="AC190" i="11" s="1"/>
  <c r="P189" i="11"/>
  <c r="P190" i="11" s="1"/>
  <c r="S189" i="11"/>
  <c r="R189" i="11"/>
  <c r="T178" i="11"/>
  <c r="V181" i="11"/>
  <c r="C197" i="11"/>
  <c r="B194" i="11" s="1"/>
  <c r="A200" i="11"/>
  <c r="M195" i="11"/>
  <c r="H194" i="11"/>
  <c r="G194" i="11"/>
  <c r="F194" i="11"/>
  <c r="W175" i="11"/>
  <c r="E590" i="12"/>
  <c r="C74" i="12"/>
  <c r="C75" i="12" s="1"/>
  <c r="C76" i="12" s="1"/>
  <c r="V460" i="12"/>
  <c r="Q190" i="11" l="1"/>
  <c r="R190" i="11" s="1"/>
  <c r="S190" i="11" s="1"/>
  <c r="Q192" i="11"/>
  <c r="AC192" i="11"/>
  <c r="AC193" i="11" s="1"/>
  <c r="P192" i="11"/>
  <c r="P193" i="11" s="1"/>
  <c r="S192" i="11"/>
  <c r="R192" i="11"/>
  <c r="A203" i="11"/>
  <c r="M198" i="11"/>
  <c r="C200" i="11"/>
  <c r="B197" i="11" s="1"/>
  <c r="G197" i="11"/>
  <c r="F197" i="11"/>
  <c r="H197" i="11"/>
  <c r="U178" i="11"/>
  <c r="S184" i="11"/>
  <c r="J191" i="11"/>
  <c r="J194" i="11"/>
  <c r="W181" i="11"/>
  <c r="E591" i="12"/>
  <c r="C77" i="12"/>
  <c r="V463" i="12"/>
  <c r="Q193" i="11" l="1"/>
  <c r="R193" i="11" s="1"/>
  <c r="S193" i="11" s="1"/>
  <c r="T193" i="11" s="1"/>
  <c r="T184" i="11"/>
  <c r="F200" i="11"/>
  <c r="J197" i="11" s="1"/>
  <c r="H200" i="11"/>
  <c r="G200" i="11"/>
  <c r="A206" i="11"/>
  <c r="M201" i="11"/>
  <c r="C203" i="11"/>
  <c r="V178" i="11"/>
  <c r="AC195" i="11"/>
  <c r="AC196" i="11" s="1"/>
  <c r="P195" i="11"/>
  <c r="P196" i="11" s="1"/>
  <c r="S195" i="11"/>
  <c r="R195" i="11"/>
  <c r="Q195" i="11"/>
  <c r="T190" i="11"/>
  <c r="E592" i="12"/>
  <c r="C78" i="12"/>
  <c r="V478" i="12"/>
  <c r="Q196" i="11" l="1"/>
  <c r="W178" i="11"/>
  <c r="H203" i="11"/>
  <c r="G203" i="11"/>
  <c r="F203" i="11"/>
  <c r="C206" i="11"/>
  <c r="A209" i="11"/>
  <c r="M204" i="11"/>
  <c r="U190" i="11"/>
  <c r="B200" i="11"/>
  <c r="U184" i="11"/>
  <c r="U193" i="11"/>
  <c r="E593" i="12"/>
  <c r="C79" i="12"/>
  <c r="V479" i="12"/>
  <c r="V184" i="11" l="1"/>
  <c r="V190" i="11"/>
  <c r="S198" i="11"/>
  <c r="R198" i="11"/>
  <c r="Q198" i="11"/>
  <c r="P198" i="11"/>
  <c r="P199" i="11" s="1"/>
  <c r="AC198" i="11"/>
  <c r="AC199" i="11" s="1"/>
  <c r="C209" i="11"/>
  <c r="B206" i="11" s="1"/>
  <c r="A212" i="11"/>
  <c r="M207" i="11"/>
  <c r="R196" i="11"/>
  <c r="V193" i="11"/>
  <c r="H206" i="11"/>
  <c r="G206" i="11"/>
  <c r="F206" i="11"/>
  <c r="B203" i="11"/>
  <c r="J200" i="11"/>
  <c r="E594" i="12"/>
  <c r="K79" i="12"/>
  <c r="B79" i="13" s="1"/>
  <c r="C80" i="12"/>
  <c r="C81" i="12" s="1"/>
  <c r="C82" i="12" s="1"/>
  <c r="C83" i="12" s="1"/>
  <c r="C84" i="12" s="1"/>
  <c r="C85" i="12" s="1"/>
  <c r="V485" i="12"/>
  <c r="Q199" i="11" l="1"/>
  <c r="R199" i="11" s="1"/>
  <c r="W193" i="11"/>
  <c r="W190" i="11"/>
  <c r="I197" i="11"/>
  <c r="D197" i="11" s="1"/>
  <c r="I203" i="11"/>
  <c r="S196" i="11"/>
  <c r="A215" i="11"/>
  <c r="C212" i="11"/>
  <c r="B209" i="11" s="1"/>
  <c r="M210" i="11"/>
  <c r="I200" i="11"/>
  <c r="D200" i="11" s="1"/>
  <c r="H209" i="11"/>
  <c r="G209" i="11"/>
  <c r="F209" i="11"/>
  <c r="I194" i="11"/>
  <c r="D194" i="11" s="1"/>
  <c r="W184" i="11"/>
  <c r="R201" i="11"/>
  <c r="Q201" i="11"/>
  <c r="AC201" i="11"/>
  <c r="AC202" i="11" s="1"/>
  <c r="P201" i="11"/>
  <c r="P202" i="11" s="1"/>
  <c r="S201" i="11"/>
  <c r="E595" i="12"/>
  <c r="V490" i="12"/>
  <c r="C86" i="12"/>
  <c r="Q202" i="11" l="1"/>
  <c r="R202" i="11" s="1"/>
  <c r="S199" i="11"/>
  <c r="T196" i="11"/>
  <c r="Q207" i="11"/>
  <c r="AC207" i="11"/>
  <c r="AC208" i="11" s="1"/>
  <c r="P207" i="11"/>
  <c r="P208" i="11" s="1"/>
  <c r="S207" i="11"/>
  <c r="R207" i="11"/>
  <c r="G212" i="11"/>
  <c r="F212" i="11"/>
  <c r="H212" i="11"/>
  <c r="A218" i="11"/>
  <c r="C215" i="11"/>
  <c r="M213" i="11"/>
  <c r="E596" i="12"/>
  <c r="V491" i="12"/>
  <c r="C87" i="12"/>
  <c r="Q208" i="11" l="1"/>
  <c r="S202" i="11"/>
  <c r="M216" i="11"/>
  <c r="C218" i="11"/>
  <c r="B215" i="11" s="1"/>
  <c r="A221" i="11"/>
  <c r="T199" i="11"/>
  <c r="F215" i="11"/>
  <c r="H215" i="11"/>
  <c r="G215" i="11"/>
  <c r="U196" i="11"/>
  <c r="B212" i="11"/>
  <c r="J209" i="11"/>
  <c r="E597" i="12"/>
  <c r="V499" i="12"/>
  <c r="C88" i="12"/>
  <c r="U199" i="11" l="1"/>
  <c r="G218" i="11"/>
  <c r="F218" i="11"/>
  <c r="J215" i="11" s="1"/>
  <c r="H218" i="11"/>
  <c r="T202" i="11"/>
  <c r="Q213" i="11"/>
  <c r="AC213" i="11"/>
  <c r="AC214" i="11" s="1"/>
  <c r="P213" i="11"/>
  <c r="P214" i="11" s="1"/>
  <c r="S213" i="11"/>
  <c r="R213" i="11"/>
  <c r="AC210" i="11"/>
  <c r="AC211" i="11" s="1"/>
  <c r="P210" i="11"/>
  <c r="P211" i="11" s="1"/>
  <c r="S210" i="11"/>
  <c r="R210" i="11"/>
  <c r="Q210" i="11"/>
  <c r="J212" i="11"/>
  <c r="R208" i="11"/>
  <c r="V196" i="11"/>
  <c r="A224" i="11"/>
  <c r="M219" i="11"/>
  <c r="C221" i="11"/>
  <c r="E598" i="12"/>
  <c r="E599" i="12" s="1"/>
  <c r="I575" i="12" s="1"/>
  <c r="B575" i="12" s="1"/>
  <c r="T575" i="12" s="1"/>
  <c r="U575" i="12" s="1"/>
  <c r="V502" i="12"/>
  <c r="C89" i="12"/>
  <c r="Q211" i="11" l="1"/>
  <c r="R211" i="11" s="1"/>
  <c r="Q214" i="11"/>
  <c r="H221" i="11"/>
  <c r="F221" i="11"/>
  <c r="J218" i="11" s="1"/>
  <c r="G221" i="11"/>
  <c r="S208" i="11"/>
  <c r="U202" i="11"/>
  <c r="V199" i="11"/>
  <c r="W196" i="11"/>
  <c r="C224" i="11"/>
  <c r="M222" i="11"/>
  <c r="A227" i="11"/>
  <c r="B218" i="11"/>
  <c r="I564" i="12"/>
  <c r="B564" i="12" s="1"/>
  <c r="T564" i="12" s="1"/>
  <c r="U564" i="12" s="1"/>
  <c r="I587" i="12"/>
  <c r="H587" i="12"/>
  <c r="V506" i="12"/>
  <c r="C90" i="12"/>
  <c r="T208" i="11" l="1"/>
  <c r="R214" i="11"/>
  <c r="S211" i="11"/>
  <c r="R216" i="11"/>
  <c r="AC216" i="11"/>
  <c r="AC217" i="11" s="1"/>
  <c r="P216" i="11"/>
  <c r="P217" i="11" s="1"/>
  <c r="S216" i="11"/>
  <c r="Q216" i="11"/>
  <c r="G224" i="11"/>
  <c r="H224" i="11"/>
  <c r="F224" i="11"/>
  <c r="J221" i="11" s="1"/>
  <c r="V202" i="11"/>
  <c r="B221" i="11"/>
  <c r="A230" i="11"/>
  <c r="C227" i="11"/>
  <c r="M225" i="11"/>
  <c r="W199" i="11"/>
  <c r="B587" i="12"/>
  <c r="T587" i="12" s="1"/>
  <c r="U587" i="12" s="1"/>
  <c r="V513" i="12"/>
  <c r="C91" i="12"/>
  <c r="Q217" i="11" l="1"/>
  <c r="R217" i="11" s="1"/>
  <c r="M228" i="11"/>
  <c r="C230" i="11"/>
  <c r="B227" i="11" s="1"/>
  <c r="A233" i="11"/>
  <c r="F227" i="11"/>
  <c r="I221" i="11" s="1"/>
  <c r="D221" i="11" s="1"/>
  <c r="H227" i="11"/>
  <c r="G227" i="11"/>
  <c r="Q219" i="11"/>
  <c r="S219" i="11"/>
  <c r="R219" i="11"/>
  <c r="P219" i="11"/>
  <c r="P220" i="11" s="1"/>
  <c r="AC219" i="11"/>
  <c r="AC220" i="11" s="1"/>
  <c r="B224" i="11"/>
  <c r="U208" i="11"/>
  <c r="S214" i="11"/>
  <c r="W202" i="11"/>
  <c r="T211" i="11"/>
  <c r="V516" i="12"/>
  <c r="C92" i="12"/>
  <c r="Q220" i="11" l="1"/>
  <c r="R220" i="11" s="1"/>
  <c r="T214" i="11"/>
  <c r="AC222" i="11"/>
  <c r="AC223" i="11" s="1"/>
  <c r="P222" i="11"/>
  <c r="P223" i="11" s="1"/>
  <c r="R222" i="11"/>
  <c r="Q222" i="11"/>
  <c r="S222" i="11"/>
  <c r="A236" i="11"/>
  <c r="M231" i="11"/>
  <c r="C233" i="11"/>
  <c r="S217" i="11"/>
  <c r="I209" i="11"/>
  <c r="D209" i="11" s="1"/>
  <c r="I212" i="11"/>
  <c r="D212" i="11" s="1"/>
  <c r="I224" i="11"/>
  <c r="I218" i="11"/>
  <c r="D218" i="11" s="1"/>
  <c r="G230" i="11"/>
  <c r="F230" i="11"/>
  <c r="H230" i="11"/>
  <c r="U211" i="11"/>
  <c r="V208" i="11"/>
  <c r="V519" i="12"/>
  <c r="D206" i="12"/>
  <c r="C93" i="12"/>
  <c r="C94" i="12" s="1"/>
  <c r="Q223" i="11" l="1"/>
  <c r="R223" i="11" s="1"/>
  <c r="H233" i="11"/>
  <c r="F233" i="11"/>
  <c r="G233" i="11"/>
  <c r="V211" i="11"/>
  <c r="W208" i="11"/>
  <c r="T217" i="11"/>
  <c r="B230" i="11"/>
  <c r="C236" i="11"/>
  <c r="B233" i="11" s="1"/>
  <c r="M234" i="11"/>
  <c r="A239" i="11"/>
  <c r="U214" i="11"/>
  <c r="S220" i="11"/>
  <c r="C95" i="12"/>
  <c r="V535" i="12"/>
  <c r="D207" i="12"/>
  <c r="Q231" i="11" l="1"/>
  <c r="S231" i="11"/>
  <c r="R231" i="11"/>
  <c r="AC231" i="11"/>
  <c r="AC232" i="11" s="1"/>
  <c r="P231" i="11"/>
  <c r="P232" i="11" s="1"/>
  <c r="T220" i="11"/>
  <c r="A242" i="11"/>
  <c r="C239" i="11"/>
  <c r="B236" i="11" s="1"/>
  <c r="M237" i="11"/>
  <c r="R228" i="11"/>
  <c r="AC228" i="11"/>
  <c r="AC229" i="11" s="1"/>
  <c r="P228" i="11"/>
  <c r="P229" i="11" s="1"/>
  <c r="S228" i="11"/>
  <c r="Q228" i="11"/>
  <c r="W211" i="11"/>
  <c r="V214" i="11"/>
  <c r="G236" i="11"/>
  <c r="H236" i="11"/>
  <c r="F236" i="11"/>
  <c r="I233" i="11" s="1"/>
  <c r="U217" i="11"/>
  <c r="S223" i="11"/>
  <c r="J230" i="11"/>
  <c r="V544" i="12"/>
  <c r="V545" i="12" s="1"/>
  <c r="C96" i="12"/>
  <c r="D208" i="12"/>
  <c r="Q229" i="11" l="1"/>
  <c r="R229" i="11" s="1"/>
  <c r="S229" i="11" s="1"/>
  <c r="Q232" i="11"/>
  <c r="V217" i="11"/>
  <c r="T223" i="11"/>
  <c r="I230" i="11"/>
  <c r="M240" i="11"/>
  <c r="C242" i="11"/>
  <c r="B239" i="11" s="1"/>
  <c r="A245" i="11"/>
  <c r="W214" i="11"/>
  <c r="F239" i="11"/>
  <c r="H239" i="11"/>
  <c r="G239" i="11"/>
  <c r="U220" i="11"/>
  <c r="D230" i="11"/>
  <c r="V546" i="12"/>
  <c r="V552" i="12" s="1"/>
  <c r="C97" i="12"/>
  <c r="C35" i="11"/>
  <c r="M36" i="11"/>
  <c r="M45" i="11"/>
  <c r="M33" i="11"/>
  <c r="M42" i="11"/>
  <c r="M39" i="11"/>
  <c r="C50" i="11"/>
  <c r="C47" i="11"/>
  <c r="C44" i="11"/>
  <c r="C41" i="11"/>
  <c r="C38" i="11"/>
  <c r="M51" i="11"/>
  <c r="M60" i="11"/>
  <c r="M48" i="11"/>
  <c r="C53" i="11"/>
  <c r="C59" i="11"/>
  <c r="M54" i="11"/>
  <c r="C62" i="11"/>
  <c r="C56" i="11"/>
  <c r="C65" i="11"/>
  <c r="M57" i="11"/>
  <c r="C68" i="11"/>
  <c r="M75" i="11"/>
  <c r="C74" i="11"/>
  <c r="M63" i="11"/>
  <c r="M66" i="11"/>
  <c r="C71" i="11"/>
  <c r="M78" i="11"/>
  <c r="M72" i="11"/>
  <c r="C80" i="11"/>
  <c r="M69" i="11"/>
  <c r="C77" i="11"/>
  <c r="M84" i="11"/>
  <c r="C83" i="11"/>
  <c r="M81" i="11"/>
  <c r="M87" i="11"/>
  <c r="C86" i="11"/>
  <c r="C89" i="11"/>
  <c r="D209" i="12"/>
  <c r="D210" i="12" s="1"/>
  <c r="D211" i="12" s="1"/>
  <c r="D212" i="12" s="1"/>
  <c r="D213" i="12" s="1"/>
  <c r="D214" i="12" s="1"/>
  <c r="D215" i="12" s="1"/>
  <c r="D216" i="12" s="1"/>
  <c r="D217" i="12" s="1"/>
  <c r="D218" i="12" s="1"/>
  <c r="D219" i="12" s="1"/>
  <c r="D220" i="12" s="1"/>
  <c r="R232" i="11" l="1"/>
  <c r="V220" i="11"/>
  <c r="W217" i="11"/>
  <c r="T229" i="11"/>
  <c r="A248" i="11"/>
  <c r="M243" i="11"/>
  <c r="C245" i="11"/>
  <c r="B242" i="11" s="1"/>
  <c r="U223" i="11"/>
  <c r="S237" i="11"/>
  <c r="Q237" i="11"/>
  <c r="AC237" i="11"/>
  <c r="AC238" i="11" s="1"/>
  <c r="P237" i="11"/>
  <c r="P238" i="11" s="1"/>
  <c r="R237" i="11"/>
  <c r="G242" i="11"/>
  <c r="F242" i="11"/>
  <c r="H242" i="11"/>
  <c r="V555" i="12"/>
  <c r="V571" i="12" s="1"/>
  <c r="V574" i="12" s="1"/>
  <c r="V577" i="12" s="1"/>
  <c r="V581" i="12" s="1"/>
  <c r="V583" i="12" s="1"/>
  <c r="V585" i="12" s="1"/>
  <c r="V590" i="12" s="1"/>
  <c r="V593" i="12" s="1"/>
  <c r="V595" i="12" s="1"/>
  <c r="C98" i="12"/>
  <c r="G53" i="11"/>
  <c r="H53" i="11"/>
  <c r="F53" i="11"/>
  <c r="F56" i="11" s="1"/>
  <c r="F59" i="11" s="1"/>
  <c r="F62" i="11" s="1"/>
  <c r="F65" i="11" s="1"/>
  <c r="F68" i="11" s="1"/>
  <c r="F71" i="11" s="1"/>
  <c r="F74" i="11" s="1"/>
  <c r="F77" i="11" s="1"/>
  <c r="F80" i="11" s="1"/>
  <c r="F83" i="11" s="1"/>
  <c r="F86" i="11" s="1"/>
  <c r="F89" i="11" s="1"/>
  <c r="G50" i="11"/>
  <c r="H50" i="11"/>
  <c r="B50" i="11"/>
  <c r="G89" i="11"/>
  <c r="H89" i="11"/>
  <c r="B89" i="11"/>
  <c r="H80" i="11"/>
  <c r="G80" i="11"/>
  <c r="B80" i="11"/>
  <c r="G68" i="11"/>
  <c r="H68" i="11"/>
  <c r="B68" i="11"/>
  <c r="H86" i="11"/>
  <c r="G86" i="11"/>
  <c r="B86" i="11"/>
  <c r="H44" i="11"/>
  <c r="G44" i="11"/>
  <c r="B44" i="11"/>
  <c r="B32" i="11"/>
  <c r="H35" i="11"/>
  <c r="F35" i="11"/>
  <c r="F38" i="11" s="1"/>
  <c r="F41" i="11" s="1"/>
  <c r="F44" i="11" s="1"/>
  <c r="F47" i="11" s="1"/>
  <c r="F50" i="11" s="1"/>
  <c r="G35" i="11"/>
  <c r="B35" i="11"/>
  <c r="E35" i="11"/>
  <c r="H71" i="11"/>
  <c r="G71" i="11"/>
  <c r="B53" i="11"/>
  <c r="B56" i="11"/>
  <c r="H56" i="11"/>
  <c r="G56" i="11"/>
  <c r="H38" i="11"/>
  <c r="G38" i="11"/>
  <c r="B38" i="11"/>
  <c r="H83" i="11"/>
  <c r="G83" i="11"/>
  <c r="B83" i="11"/>
  <c r="G62" i="11"/>
  <c r="H62" i="11"/>
  <c r="B62" i="11"/>
  <c r="G41" i="11"/>
  <c r="H41" i="11"/>
  <c r="B41" i="11"/>
  <c r="H77" i="11"/>
  <c r="G77" i="11"/>
  <c r="B77" i="11"/>
  <c r="B71" i="11"/>
  <c r="H74" i="11"/>
  <c r="B74" i="11"/>
  <c r="G74" i="11"/>
  <c r="G65" i="11"/>
  <c r="H65" i="11"/>
  <c r="B65" i="11"/>
  <c r="H59" i="11"/>
  <c r="G59" i="11"/>
  <c r="B59" i="11"/>
  <c r="H47" i="11"/>
  <c r="G47" i="11"/>
  <c r="B47" i="11"/>
  <c r="D221" i="12"/>
  <c r="Q238" i="11" l="1"/>
  <c r="R238" i="11" s="1"/>
  <c r="J239" i="11"/>
  <c r="C248" i="11"/>
  <c r="B245" i="11" s="1"/>
  <c r="M246" i="11"/>
  <c r="A251" i="11"/>
  <c r="S232" i="11"/>
  <c r="J23" i="11"/>
  <c r="R240" i="11"/>
  <c r="AC240" i="11"/>
  <c r="AC241" i="11" s="1"/>
  <c r="P240" i="11"/>
  <c r="P241" i="11" s="1"/>
  <c r="S240" i="11"/>
  <c r="Q240" i="11"/>
  <c r="H245" i="11"/>
  <c r="F245" i="11"/>
  <c r="J242" i="11" s="1"/>
  <c r="G245" i="11"/>
  <c r="W220" i="11"/>
  <c r="V223" i="11"/>
  <c r="U229" i="11"/>
  <c r="V600" i="12"/>
  <c r="C99" i="12"/>
  <c r="AC81" i="11"/>
  <c r="AC82" i="11" s="1"/>
  <c r="P82" i="11"/>
  <c r="AC69" i="11"/>
  <c r="AC70" i="11" s="1"/>
  <c r="P70" i="11"/>
  <c r="P55" i="11"/>
  <c r="AC54" i="11"/>
  <c r="AC55" i="11" s="1"/>
  <c r="J32" i="11"/>
  <c r="AC78" i="11"/>
  <c r="AC79" i="11" s="1"/>
  <c r="P79" i="11"/>
  <c r="Q79" i="11" s="1"/>
  <c r="AC48" i="11"/>
  <c r="AC49" i="11" s="1"/>
  <c r="P49" i="11"/>
  <c r="Q49" i="11" s="1"/>
  <c r="AC45" i="11"/>
  <c r="AC46" i="11" s="1"/>
  <c r="P46" i="11"/>
  <c r="Q46" i="11" s="1"/>
  <c r="R46" i="11" s="1"/>
  <c r="S46" i="11" s="1"/>
  <c r="E38" i="11"/>
  <c r="AC30" i="11"/>
  <c r="AC31" i="11" s="1"/>
  <c r="P31" i="11"/>
  <c r="Q31" i="11" s="1"/>
  <c r="R31" i="11" s="1"/>
  <c r="S31" i="11" s="1"/>
  <c r="T31" i="11" s="1"/>
  <c r="U31" i="11" s="1"/>
  <c r="V31" i="11" s="1"/>
  <c r="W31" i="11" s="1"/>
  <c r="P43" i="11"/>
  <c r="Q43" i="11" s="1"/>
  <c r="R43" i="11" s="1"/>
  <c r="AC42" i="11"/>
  <c r="AC43" i="11" s="1"/>
  <c r="I89" i="11"/>
  <c r="P85" i="11"/>
  <c r="AC84" i="11"/>
  <c r="AC85" i="11" s="1"/>
  <c r="P61" i="11"/>
  <c r="AC60" i="11"/>
  <c r="AC61" i="11" s="1"/>
  <c r="P64" i="11"/>
  <c r="AC63" i="11"/>
  <c r="AC64" i="11" s="1"/>
  <c r="AC36" i="11"/>
  <c r="AC37" i="11" s="1"/>
  <c r="P37" i="11"/>
  <c r="Q37" i="11" s="1"/>
  <c r="P67" i="11"/>
  <c r="AC66" i="11"/>
  <c r="AC67" i="11" s="1"/>
  <c r="AC87" i="11"/>
  <c r="AC88" i="11" s="1"/>
  <c r="P88" i="11"/>
  <c r="I207" i="12"/>
  <c r="J233" i="11" l="1"/>
  <c r="D233" i="11" s="1"/>
  <c r="G248" i="11"/>
  <c r="H248" i="11"/>
  <c r="F248" i="11"/>
  <c r="J245" i="11" s="1"/>
  <c r="V229" i="11"/>
  <c r="Q241" i="11"/>
  <c r="A254" i="11"/>
  <c r="C251" i="11"/>
  <c r="M249" i="11"/>
  <c r="Q243" i="11"/>
  <c r="S243" i="11"/>
  <c r="R243" i="11"/>
  <c r="AC243" i="11"/>
  <c r="AC244" i="11" s="1"/>
  <c r="P243" i="11"/>
  <c r="P244" i="11" s="1"/>
  <c r="S238" i="11"/>
  <c r="W223" i="11"/>
  <c r="T232" i="11"/>
  <c r="C100" i="12"/>
  <c r="R79" i="11"/>
  <c r="S79" i="11" s="1"/>
  <c r="T79" i="11" s="1"/>
  <c r="U79" i="11" s="1"/>
  <c r="V79" i="11" s="1"/>
  <c r="W79" i="11" s="1"/>
  <c r="R49" i="11"/>
  <c r="S49" i="11" s="1"/>
  <c r="T49" i="11" s="1"/>
  <c r="U49" i="11" s="1"/>
  <c r="V49" i="11" s="1"/>
  <c r="W49" i="11" s="1"/>
  <c r="Q55" i="11"/>
  <c r="R55" i="11" s="1"/>
  <c r="S55" i="11" s="1"/>
  <c r="T55" i="11" s="1"/>
  <c r="U55" i="11" s="1"/>
  <c r="V55" i="11" s="1"/>
  <c r="W55" i="11" s="1"/>
  <c r="Q82" i="11"/>
  <c r="R82" i="11" s="1"/>
  <c r="S82" i="11" s="1"/>
  <c r="T82" i="11" s="1"/>
  <c r="U82" i="11" s="1"/>
  <c r="V82" i="11" s="1"/>
  <c r="W82" i="11" s="1"/>
  <c r="Q70" i="11"/>
  <c r="R70" i="11" s="1"/>
  <c r="S70" i="11" s="1"/>
  <c r="T70" i="11" s="1"/>
  <c r="U70" i="11" s="1"/>
  <c r="V70" i="11" s="1"/>
  <c r="W70" i="11" s="1"/>
  <c r="T46" i="11"/>
  <c r="U46" i="11" s="1"/>
  <c r="V46" i="11" s="1"/>
  <c r="W46" i="11" s="1"/>
  <c r="Q67" i="11"/>
  <c r="R67" i="11" s="1"/>
  <c r="S67" i="11" s="1"/>
  <c r="T67" i="11" s="1"/>
  <c r="U67" i="11" s="1"/>
  <c r="V67" i="11" s="1"/>
  <c r="W67" i="11" s="1"/>
  <c r="Q64" i="11"/>
  <c r="R64" i="11" s="1"/>
  <c r="S64" i="11" s="1"/>
  <c r="T64" i="11" s="1"/>
  <c r="U64" i="11" s="1"/>
  <c r="V64" i="11" s="1"/>
  <c r="W64" i="11" s="1"/>
  <c r="S43" i="11"/>
  <c r="T43" i="11" s="1"/>
  <c r="U43" i="11" s="1"/>
  <c r="V43" i="11" s="1"/>
  <c r="W43" i="11" s="1"/>
  <c r="Q88" i="11"/>
  <c r="R88" i="11" s="1"/>
  <c r="S88" i="11" s="1"/>
  <c r="T88" i="11" s="1"/>
  <c r="U88" i="11" s="1"/>
  <c r="V88" i="11" s="1"/>
  <c r="W88" i="11" s="1"/>
  <c r="R37" i="11"/>
  <c r="S37" i="11" s="1"/>
  <c r="T37" i="11" s="1"/>
  <c r="U37" i="11" s="1"/>
  <c r="V37" i="11" s="1"/>
  <c r="W37" i="11" s="1"/>
  <c r="Q61" i="11"/>
  <c r="R61" i="11" s="1"/>
  <c r="S61" i="11" s="1"/>
  <c r="T61" i="11" s="1"/>
  <c r="U61" i="11" s="1"/>
  <c r="V61" i="11" s="1"/>
  <c r="W61" i="11" s="1"/>
  <c r="Q85" i="11"/>
  <c r="R85" i="11" s="1"/>
  <c r="S85" i="11" s="1"/>
  <c r="T85" i="11" s="1"/>
  <c r="U85" i="11" s="1"/>
  <c r="V85" i="11" s="1"/>
  <c r="W85" i="11" s="1"/>
  <c r="E41" i="11"/>
  <c r="J38" i="11" s="1"/>
  <c r="D222" i="12"/>
  <c r="D223" i="12" s="1"/>
  <c r="D224" i="12" s="1"/>
  <c r="D225" i="12" s="1"/>
  <c r="D226" i="12" s="1"/>
  <c r="D227" i="12" s="1"/>
  <c r="Q244" i="11" l="1"/>
  <c r="R244" i="11" s="1"/>
  <c r="C254" i="11"/>
  <c r="B251" i="11" s="1"/>
  <c r="A257" i="11"/>
  <c r="M252" i="11"/>
  <c r="U232" i="11"/>
  <c r="R241" i="11"/>
  <c r="H251" i="11"/>
  <c r="G251" i="11"/>
  <c r="F251" i="11"/>
  <c r="J248" i="11" s="1"/>
  <c r="B248" i="11"/>
  <c r="T238" i="11"/>
  <c r="W229" i="11"/>
  <c r="C101" i="12"/>
  <c r="J29" i="11"/>
  <c r="E44" i="11"/>
  <c r="V232" i="11" l="1"/>
  <c r="AC246" i="11"/>
  <c r="AC247" i="11" s="1"/>
  <c r="P246" i="11"/>
  <c r="P247" i="11" s="1"/>
  <c r="R246" i="11"/>
  <c r="Q246" i="11"/>
  <c r="S246" i="11"/>
  <c r="S241" i="11"/>
  <c r="G254" i="11"/>
  <c r="F254" i="11"/>
  <c r="I248" i="11" s="1"/>
  <c r="D248" i="11" s="1"/>
  <c r="H254" i="11"/>
  <c r="S244" i="11"/>
  <c r="S249" i="11"/>
  <c r="Q249" i="11"/>
  <c r="AC249" i="11"/>
  <c r="AC250" i="11" s="1"/>
  <c r="P249" i="11"/>
  <c r="P250" i="11" s="1"/>
  <c r="R249" i="11"/>
  <c r="U238" i="11"/>
  <c r="A260" i="11"/>
  <c r="C257" i="11"/>
  <c r="M255" i="11"/>
  <c r="C102" i="12"/>
  <c r="E47" i="11"/>
  <c r="J44" i="11" s="1"/>
  <c r="D228" i="12"/>
  <c r="D229" i="12" s="1"/>
  <c r="I242" i="11" l="1"/>
  <c r="D242" i="11" s="1"/>
  <c r="I239" i="11"/>
  <c r="D239" i="11" s="1"/>
  <c r="Q247" i="11"/>
  <c r="R247" i="11" s="1"/>
  <c r="S247" i="11" s="1"/>
  <c r="Q250" i="11"/>
  <c r="W232" i="11"/>
  <c r="V238" i="11"/>
  <c r="T244" i="11"/>
  <c r="F257" i="11"/>
  <c r="H257" i="11"/>
  <c r="G257" i="11"/>
  <c r="T241" i="11"/>
  <c r="M258" i="11"/>
  <c r="A263" i="11"/>
  <c r="C260" i="11"/>
  <c r="B254" i="11"/>
  <c r="I251" i="11"/>
  <c r="I245" i="11"/>
  <c r="D245" i="11" s="1"/>
  <c r="C103" i="12"/>
  <c r="E50" i="11"/>
  <c r="J47" i="11" s="1"/>
  <c r="D230" i="12"/>
  <c r="T247" i="11" l="1"/>
  <c r="W238" i="11"/>
  <c r="U241" i="11"/>
  <c r="U244" i="11"/>
  <c r="H260" i="11"/>
  <c r="G260" i="11"/>
  <c r="F260" i="11"/>
  <c r="AC252" i="11"/>
  <c r="AC253" i="11" s="1"/>
  <c r="P252" i="11"/>
  <c r="P253" i="11" s="1"/>
  <c r="R252" i="11"/>
  <c r="Q252" i="11"/>
  <c r="S252" i="11"/>
  <c r="C263" i="11"/>
  <c r="A266" i="11"/>
  <c r="M261" i="11"/>
  <c r="B257" i="11"/>
  <c r="R250" i="11"/>
  <c r="C104" i="12"/>
  <c r="E53" i="11"/>
  <c r="D231" i="12"/>
  <c r="Q253" i="11" l="1"/>
  <c r="R253" i="11" s="1"/>
  <c r="S255" i="11"/>
  <c r="Q255" i="11"/>
  <c r="AC255" i="11"/>
  <c r="AC256" i="11" s="1"/>
  <c r="R255" i="11"/>
  <c r="P255" i="11"/>
  <c r="P256" i="11" s="1"/>
  <c r="G263" i="11"/>
  <c r="F263" i="11"/>
  <c r="H263" i="11"/>
  <c r="B260" i="11"/>
  <c r="V241" i="11"/>
  <c r="C266" i="11"/>
  <c r="B263" i="11" s="1"/>
  <c r="A269" i="11"/>
  <c r="M264" i="11"/>
  <c r="U247" i="11"/>
  <c r="S250" i="11"/>
  <c r="V244" i="11"/>
  <c r="C105" i="12"/>
  <c r="C106" i="12" s="1"/>
  <c r="E56" i="11"/>
  <c r="J50" i="11"/>
  <c r="D232" i="12"/>
  <c r="Q256" i="11" l="1"/>
  <c r="T250" i="11"/>
  <c r="W244" i="11"/>
  <c r="V247" i="11"/>
  <c r="A272" i="11"/>
  <c r="M267" i="11"/>
  <c r="C269" i="11"/>
  <c r="B266" i="11" s="1"/>
  <c r="W241" i="11"/>
  <c r="G266" i="11"/>
  <c r="F266" i="11"/>
  <c r="H266" i="11"/>
  <c r="R258" i="11"/>
  <c r="AC258" i="11"/>
  <c r="AC259" i="11" s="1"/>
  <c r="S258" i="11"/>
  <c r="P258" i="11"/>
  <c r="P259" i="11" s="1"/>
  <c r="Q258" i="11"/>
  <c r="S253" i="11"/>
  <c r="C107" i="12"/>
  <c r="E59" i="11"/>
  <c r="D233" i="12"/>
  <c r="Q259" i="11" l="1"/>
  <c r="M270" i="11"/>
  <c r="A275" i="11"/>
  <c r="C272" i="11"/>
  <c r="R256" i="11"/>
  <c r="T253" i="11"/>
  <c r="F269" i="11"/>
  <c r="J266" i="11" s="1"/>
  <c r="G269" i="11"/>
  <c r="H269" i="11"/>
  <c r="AC264" i="11"/>
  <c r="AC265" i="11" s="1"/>
  <c r="P265" i="11"/>
  <c r="W247" i="11"/>
  <c r="U250" i="11"/>
  <c r="J41" i="11"/>
  <c r="E62" i="11"/>
  <c r="J56" i="11"/>
  <c r="D234" i="12"/>
  <c r="Q265" i="11" l="1"/>
  <c r="U253" i="11"/>
  <c r="R259" i="11"/>
  <c r="F272" i="11"/>
  <c r="G272" i="11"/>
  <c r="H272" i="11"/>
  <c r="V250" i="11"/>
  <c r="B269" i="11"/>
  <c r="S256" i="11"/>
  <c r="M273" i="11"/>
  <c r="C275" i="11"/>
  <c r="A278" i="11"/>
  <c r="D235" i="12"/>
  <c r="D236" i="12" s="1"/>
  <c r="D237" i="12" s="1"/>
  <c r="E65" i="11"/>
  <c r="H207" i="12"/>
  <c r="B207" i="12" s="1"/>
  <c r="J269" i="11" l="1"/>
  <c r="S259" i="11"/>
  <c r="AC267" i="11"/>
  <c r="AC268" i="11" s="1"/>
  <c r="P268" i="11"/>
  <c r="V253" i="11"/>
  <c r="R265" i="11"/>
  <c r="C278" i="11"/>
  <c r="B275" i="11" s="1"/>
  <c r="M276" i="11"/>
  <c r="A281" i="11"/>
  <c r="H275" i="11"/>
  <c r="G275" i="11"/>
  <c r="F275" i="11"/>
  <c r="T256" i="11"/>
  <c r="W250" i="11"/>
  <c r="B272" i="11"/>
  <c r="E68" i="11"/>
  <c r="J62" i="11"/>
  <c r="D238" i="12"/>
  <c r="Q268" i="11" l="1"/>
  <c r="R268" i="11" s="1"/>
  <c r="S268" i="11" s="1"/>
  <c r="U273" i="11"/>
  <c r="AC273" i="11"/>
  <c r="AC274" i="11" s="1"/>
  <c r="W273" i="11"/>
  <c r="P273" i="11"/>
  <c r="P274" i="11" s="1"/>
  <c r="V273" i="11"/>
  <c r="S265" i="11"/>
  <c r="U256" i="11"/>
  <c r="V270" i="11"/>
  <c r="W270" i="11"/>
  <c r="U270" i="11"/>
  <c r="AC270" i="11"/>
  <c r="AC271" i="11" s="1"/>
  <c r="P270" i="11"/>
  <c r="P271" i="11" s="1"/>
  <c r="C281" i="11"/>
  <c r="B278" i="11" s="1"/>
  <c r="M279" i="11"/>
  <c r="A284" i="11"/>
  <c r="G278" i="11"/>
  <c r="H278" i="11"/>
  <c r="F278" i="11"/>
  <c r="W253" i="11"/>
  <c r="T259" i="11"/>
  <c r="J272" i="11"/>
  <c r="J65" i="11"/>
  <c r="E71" i="11"/>
  <c r="D239" i="12"/>
  <c r="D240" i="12" s="1"/>
  <c r="Q271" i="11" l="1"/>
  <c r="Q274" i="11"/>
  <c r="AC276" i="11"/>
  <c r="AC277" i="11" s="1"/>
  <c r="P276" i="11"/>
  <c r="P277" i="11" s="1"/>
  <c r="U276" i="11"/>
  <c r="V276" i="11"/>
  <c r="W276" i="11"/>
  <c r="H281" i="11"/>
  <c r="F281" i="11"/>
  <c r="G281" i="11"/>
  <c r="V256" i="11"/>
  <c r="C284" i="11"/>
  <c r="A287" i="11"/>
  <c r="M282" i="11"/>
  <c r="U259" i="11"/>
  <c r="J275" i="11"/>
  <c r="J278" i="11"/>
  <c r="T265" i="11"/>
  <c r="T268" i="11"/>
  <c r="J68" i="11"/>
  <c r="E74" i="11"/>
  <c r="J71" i="11" s="1"/>
  <c r="D241" i="12"/>
  <c r="Q277" i="11" l="1"/>
  <c r="G284" i="11"/>
  <c r="F284" i="11"/>
  <c r="H284" i="11"/>
  <c r="W256" i="11"/>
  <c r="U265" i="11"/>
  <c r="R271" i="11"/>
  <c r="R274" i="11"/>
  <c r="U268" i="11"/>
  <c r="V259" i="11"/>
  <c r="A290" i="11"/>
  <c r="M285" i="11"/>
  <c r="C287" i="11"/>
  <c r="B284" i="11" s="1"/>
  <c r="B281" i="11"/>
  <c r="J59" i="11"/>
  <c r="E77" i="11"/>
  <c r="D242" i="12"/>
  <c r="AC282" i="11" l="1"/>
  <c r="AC283" i="11" s="1"/>
  <c r="P282" i="11"/>
  <c r="P283" i="11" s="1"/>
  <c r="Q282" i="11"/>
  <c r="R282" i="11"/>
  <c r="S282" i="11"/>
  <c r="Q279" i="11"/>
  <c r="W279" i="11"/>
  <c r="P279" i="11"/>
  <c r="P280" i="11" s="1"/>
  <c r="V279" i="11"/>
  <c r="AC279" i="11"/>
  <c r="AC280" i="11" s="1"/>
  <c r="S271" i="11"/>
  <c r="V268" i="11"/>
  <c r="V265" i="11"/>
  <c r="M288" i="11"/>
  <c r="C290" i="11"/>
  <c r="B287" i="11" s="1"/>
  <c r="A293" i="11"/>
  <c r="F287" i="11"/>
  <c r="J284" i="11" s="1"/>
  <c r="G287" i="11"/>
  <c r="H287" i="11"/>
  <c r="W259" i="11"/>
  <c r="S274" i="11"/>
  <c r="J281" i="11"/>
  <c r="R277" i="11"/>
  <c r="E80" i="11"/>
  <c r="D243" i="12"/>
  <c r="J74" i="11" l="1"/>
  <c r="Q280" i="11"/>
  <c r="R280" i="11" s="1"/>
  <c r="S280" i="11" s="1"/>
  <c r="Q283" i="11"/>
  <c r="T274" i="11"/>
  <c r="S277" i="11"/>
  <c r="T271" i="11"/>
  <c r="W265" i="11"/>
  <c r="H290" i="11"/>
  <c r="G290" i="11"/>
  <c r="F290" i="11"/>
  <c r="J287" i="11" s="1"/>
  <c r="S285" i="11"/>
  <c r="AC285" i="11"/>
  <c r="AC286" i="11" s="1"/>
  <c r="R285" i="11"/>
  <c r="Q285" i="11"/>
  <c r="P285" i="11"/>
  <c r="P286" i="11" s="1"/>
  <c r="A296" i="11"/>
  <c r="C293" i="11"/>
  <c r="M291" i="11"/>
  <c r="W268" i="11"/>
  <c r="E83" i="11"/>
  <c r="D244" i="12"/>
  <c r="Q286" i="11" l="1"/>
  <c r="R286" i="11" s="1"/>
  <c r="S286" i="11" s="1"/>
  <c r="T280" i="11"/>
  <c r="H293" i="11"/>
  <c r="F293" i="11"/>
  <c r="J290" i="11" s="1"/>
  <c r="G293" i="11"/>
  <c r="U274" i="11"/>
  <c r="A299" i="11"/>
  <c r="C296" i="11"/>
  <c r="M294" i="11"/>
  <c r="B290" i="11"/>
  <c r="U271" i="11"/>
  <c r="T277" i="11"/>
  <c r="R283" i="11"/>
  <c r="J80" i="11"/>
  <c r="E86" i="11"/>
  <c r="D245" i="12"/>
  <c r="D246" i="12" s="1"/>
  <c r="V271" i="11" l="1"/>
  <c r="V274" i="11"/>
  <c r="G296" i="11"/>
  <c r="F296" i="11"/>
  <c r="J293" i="11" s="1"/>
  <c r="H296" i="11"/>
  <c r="R288" i="11"/>
  <c r="S288" i="11"/>
  <c r="P288" i="11"/>
  <c r="P289" i="11" s="1"/>
  <c r="Q288" i="11"/>
  <c r="AC288" i="11"/>
  <c r="AC289" i="11" s="1"/>
  <c r="U280" i="11"/>
  <c r="S283" i="11"/>
  <c r="U277" i="11"/>
  <c r="A302" i="11"/>
  <c r="M297" i="11"/>
  <c r="C299" i="11"/>
  <c r="B296" i="11" s="1"/>
  <c r="B293" i="11"/>
  <c r="T286" i="11"/>
  <c r="J83" i="11"/>
  <c r="E89" i="11"/>
  <c r="E92" i="11" s="1"/>
  <c r="D247" i="12"/>
  <c r="AC294" i="11" l="1"/>
  <c r="AC295" i="11" s="1"/>
  <c r="P294" i="11"/>
  <c r="P295" i="11" s="1"/>
  <c r="R294" i="11"/>
  <c r="Q294" i="11"/>
  <c r="S294" i="11"/>
  <c r="Q289" i="11"/>
  <c r="U286" i="11"/>
  <c r="Q291" i="11"/>
  <c r="P291" i="11"/>
  <c r="P292" i="11" s="1"/>
  <c r="R291" i="11"/>
  <c r="AC291" i="11"/>
  <c r="AC292" i="11" s="1"/>
  <c r="S291" i="11"/>
  <c r="T283" i="11"/>
  <c r="W271" i="11"/>
  <c r="E95" i="11"/>
  <c r="M300" i="11"/>
  <c r="C302" i="11"/>
  <c r="F299" i="11"/>
  <c r="H299" i="11"/>
  <c r="G299" i="11"/>
  <c r="V277" i="11"/>
  <c r="V280" i="11"/>
  <c r="W274" i="11"/>
  <c r="J86" i="11"/>
  <c r="J35" i="11"/>
  <c r="J53" i="11"/>
  <c r="J77" i="11"/>
  <c r="I74" i="11"/>
  <c r="D74" i="11" s="1"/>
  <c r="I83" i="11"/>
  <c r="D83" i="11" s="1"/>
  <c r="J89" i="11"/>
  <c r="D89" i="11" s="1"/>
  <c r="I86" i="11"/>
  <c r="I26" i="11"/>
  <c r="D26" i="11" s="1"/>
  <c r="I38" i="11"/>
  <c r="D38" i="11" s="1"/>
  <c r="I32" i="11"/>
  <c r="D32" i="11" s="1"/>
  <c r="I29" i="11"/>
  <c r="D29" i="11" s="1"/>
  <c r="I41" i="11"/>
  <c r="D41" i="11" s="1"/>
  <c r="I44" i="11"/>
  <c r="D44" i="11" s="1"/>
  <c r="I47" i="11"/>
  <c r="D47" i="11" s="1"/>
  <c r="I50" i="11"/>
  <c r="D50" i="11" s="1"/>
  <c r="I56" i="11"/>
  <c r="D56" i="11" s="1"/>
  <c r="I59" i="11"/>
  <c r="D59" i="11" s="1"/>
  <c r="I62" i="11"/>
  <c r="D62" i="11" s="1"/>
  <c r="I65" i="11"/>
  <c r="D65" i="11" s="1"/>
  <c r="I68" i="11"/>
  <c r="D68" i="11" s="1"/>
  <c r="I71" i="11"/>
  <c r="D71" i="11" s="1"/>
  <c r="I80" i="11"/>
  <c r="D80" i="11" s="1"/>
  <c r="D248" i="12"/>
  <c r="D86" i="11" l="1"/>
  <c r="Q292" i="11"/>
  <c r="Q295" i="11"/>
  <c r="J296" i="11"/>
  <c r="W280" i="11"/>
  <c r="H302" i="11"/>
  <c r="I302" i="11"/>
  <c r="F302" i="11"/>
  <c r="I296" i="11" s="1"/>
  <c r="B302" i="11"/>
  <c r="G302" i="11"/>
  <c r="E98" i="11"/>
  <c r="I284" i="11"/>
  <c r="D284" i="11" s="1"/>
  <c r="R289" i="11"/>
  <c r="W277" i="11"/>
  <c r="B299" i="11"/>
  <c r="U283" i="11"/>
  <c r="V286" i="11"/>
  <c r="D249" i="12"/>
  <c r="I287" i="11" l="1"/>
  <c r="D287" i="11" s="1"/>
  <c r="W286" i="11"/>
  <c r="I293" i="11"/>
  <c r="D293" i="11" s="1"/>
  <c r="E101" i="11"/>
  <c r="Q300" i="11"/>
  <c r="R300" i="11"/>
  <c r="AC300" i="11"/>
  <c r="AC301" i="11" s="1"/>
  <c r="P300" i="11"/>
  <c r="P301" i="11" s="1"/>
  <c r="S300" i="11"/>
  <c r="R295" i="11"/>
  <c r="I104" i="11"/>
  <c r="D104" i="11" s="1"/>
  <c r="J110" i="11"/>
  <c r="D110" i="11" s="1"/>
  <c r="J125" i="11"/>
  <c r="D125" i="11" s="1"/>
  <c r="J134" i="11"/>
  <c r="D134" i="11" s="1"/>
  <c r="J149" i="11"/>
  <c r="D149" i="11" s="1"/>
  <c r="J161" i="11"/>
  <c r="D161" i="11" s="1"/>
  <c r="J170" i="11"/>
  <c r="D170" i="11" s="1"/>
  <c r="J179" i="11"/>
  <c r="D179" i="11" s="1"/>
  <c r="I191" i="11"/>
  <c r="D191" i="11" s="1"/>
  <c r="J203" i="11"/>
  <c r="D203" i="11" s="1"/>
  <c r="I215" i="11"/>
  <c r="D215" i="11" s="1"/>
  <c r="J224" i="11"/>
  <c r="D224" i="11" s="1"/>
  <c r="J251" i="11"/>
  <c r="D251" i="11" s="1"/>
  <c r="I266" i="11"/>
  <c r="D266" i="11" s="1"/>
  <c r="I269" i="11"/>
  <c r="D269" i="11" s="1"/>
  <c r="I272" i="11"/>
  <c r="D272" i="11" s="1"/>
  <c r="I278" i="11"/>
  <c r="D278" i="11" s="1"/>
  <c r="I275" i="11"/>
  <c r="D275" i="11" s="1"/>
  <c r="I299" i="11"/>
  <c r="I281" i="11"/>
  <c r="D281" i="11" s="1"/>
  <c r="J299" i="11"/>
  <c r="D296" i="11"/>
  <c r="W297" i="11"/>
  <c r="AC297" i="11"/>
  <c r="AC298" i="11" s="1"/>
  <c r="U297" i="11"/>
  <c r="V297" i="11"/>
  <c r="P297" i="11"/>
  <c r="P298" i="11" s="1"/>
  <c r="V283" i="11"/>
  <c r="S289" i="11"/>
  <c r="I290" i="11"/>
  <c r="D290" i="11" s="1"/>
  <c r="R292" i="11"/>
  <c r="C108" i="12"/>
  <c r="C109" i="12" s="1"/>
  <c r="C110" i="12" s="1"/>
  <c r="C111" i="12" s="1"/>
  <c r="C112" i="12" s="1"/>
  <c r="D250" i="12"/>
  <c r="D251" i="12" s="1"/>
  <c r="D252" i="12" s="1"/>
  <c r="D253" i="12" s="1"/>
  <c r="I220" i="12"/>
  <c r="H242" i="12"/>
  <c r="H220" i="12"/>
  <c r="I236" i="12"/>
  <c r="H236" i="12"/>
  <c r="D299" i="11" l="1"/>
  <c r="Q301" i="11"/>
  <c r="R301" i="11" s="1"/>
  <c r="Q298" i="11"/>
  <c r="W283" i="11"/>
  <c r="E104" i="11"/>
  <c r="T289" i="11"/>
  <c r="S295" i="11"/>
  <c r="S292" i="11"/>
  <c r="D254" i="12"/>
  <c r="D255" i="12" s="1"/>
  <c r="D256" i="12" s="1"/>
  <c r="D257" i="12" s="1"/>
  <c r="D258" i="12" s="1"/>
  <c r="D259" i="12" s="1"/>
  <c r="D260" i="12" s="1"/>
  <c r="D261" i="12" s="1"/>
  <c r="D262" i="12" s="1"/>
  <c r="D263" i="12" s="1"/>
  <c r="D264" i="12" s="1"/>
  <c r="D265" i="12" s="1"/>
  <c r="D266" i="12" s="1"/>
  <c r="D267" i="12" s="1"/>
  <c r="D268" i="12" s="1"/>
  <c r="D269" i="12" s="1"/>
  <c r="D270" i="12" s="1"/>
  <c r="D271" i="12" s="1"/>
  <c r="D272" i="12" s="1"/>
  <c r="D273" i="12" s="1"/>
  <c r="D274" i="12" s="1"/>
  <c r="D275" i="12" s="1"/>
  <c r="D276" i="12" s="1"/>
  <c r="D277" i="12" s="1"/>
  <c r="D278" i="12" s="1"/>
  <c r="D279" i="12" s="1"/>
  <c r="D280" i="12" s="1"/>
  <c r="D281" i="12" s="1"/>
  <c r="D282" i="12" s="1"/>
  <c r="D283" i="12" s="1"/>
  <c r="D284" i="12" s="1"/>
  <c r="D285" i="12" s="1"/>
  <c r="D286" i="12" s="1"/>
  <c r="D287" i="12" s="1"/>
  <c r="D288" i="12" s="1"/>
  <c r="D289" i="12" s="1"/>
  <c r="D290" i="12" s="1"/>
  <c r="D291" i="12" s="1"/>
  <c r="B220" i="12"/>
  <c r="B236" i="12"/>
  <c r="T292" i="11" l="1"/>
  <c r="T295" i="11"/>
  <c r="E107" i="11"/>
  <c r="S301" i="11"/>
  <c r="U289" i="11"/>
  <c r="R298" i="11"/>
  <c r="I246" i="12"/>
  <c r="D292" i="12"/>
  <c r="V289" i="11" l="1"/>
  <c r="T301" i="11"/>
  <c r="E110" i="11"/>
  <c r="S298" i="11"/>
  <c r="U295" i="11"/>
  <c r="U292" i="11"/>
  <c r="D293" i="12"/>
  <c r="L21" i="11"/>
  <c r="V295" i="11" l="1"/>
  <c r="W289" i="11"/>
  <c r="V292" i="11"/>
  <c r="E113" i="11"/>
  <c r="T298" i="11"/>
  <c r="U301" i="11"/>
  <c r="D294" i="12"/>
  <c r="E116" i="11" l="1"/>
  <c r="V301" i="11"/>
  <c r="W292" i="11"/>
  <c r="U298" i="11"/>
  <c r="W295" i="11"/>
  <c r="D295" i="12"/>
  <c r="E119" i="11" l="1"/>
  <c r="J116" i="11" s="1"/>
  <c r="V298" i="11"/>
  <c r="W301" i="11"/>
  <c r="J113" i="11"/>
  <c r="D296" i="12"/>
  <c r="W298" i="11" l="1"/>
  <c r="E122" i="11"/>
  <c r="D297" i="12"/>
  <c r="E125" i="11" l="1"/>
  <c r="D298" i="12"/>
  <c r="I13" i="12"/>
  <c r="E128" i="11" l="1"/>
  <c r="J119" i="11" s="1"/>
  <c r="D299" i="12"/>
  <c r="E131" i="11" l="1"/>
  <c r="D300" i="12"/>
  <c r="I39" i="12"/>
  <c r="I24" i="12"/>
  <c r="E134" i="11" l="1"/>
  <c r="D301" i="12"/>
  <c r="D302" i="12" s="1"/>
  <c r="D303" i="12" s="1"/>
  <c r="D304" i="12" s="1"/>
  <c r="D305" i="12" s="1"/>
  <c r="D306" i="12" s="1"/>
  <c r="H246" i="12"/>
  <c r="B246" i="12" s="1"/>
  <c r="I289" i="12"/>
  <c r="H289" i="12"/>
  <c r="E137" i="11" l="1"/>
  <c r="J128" i="11" s="1"/>
  <c r="D307" i="12"/>
  <c r="I299" i="12"/>
  <c r="B289" i="12"/>
  <c r="E140" i="11" l="1"/>
  <c r="D308" i="12"/>
  <c r="E143" i="11" l="1"/>
  <c r="D309" i="12"/>
  <c r="E146" i="11" l="1"/>
  <c r="E149" i="11" s="1"/>
  <c r="E152" i="11" s="1"/>
  <c r="D310" i="12"/>
  <c r="J137" i="11" l="1"/>
  <c r="E155" i="11"/>
  <c r="D311" i="12"/>
  <c r="E158" i="11" l="1"/>
  <c r="D312" i="12"/>
  <c r="D313" i="12" s="1"/>
  <c r="D314" i="12" s="1"/>
  <c r="D315" i="12" s="1"/>
  <c r="D316" i="12" s="1"/>
  <c r="D317" i="12" s="1"/>
  <c r="D318" i="12" s="1"/>
  <c r="D319" i="12" s="1"/>
  <c r="D320" i="12" s="1"/>
  <c r="D321" i="12" s="1"/>
  <c r="D322" i="12" s="1"/>
  <c r="D323" i="12" s="1"/>
  <c r="D324" i="12" s="1"/>
  <c r="D325" i="12" s="1"/>
  <c r="D326" i="12" s="1"/>
  <c r="D327" i="12" s="1"/>
  <c r="D328" i="12" s="1"/>
  <c r="D329" i="12" s="1"/>
  <c r="D330" i="12" s="1"/>
  <c r="D331" i="12" s="1"/>
  <c r="D332" i="12" s="1"/>
  <c r="D333" i="12" s="1"/>
  <c r="D334" i="12" s="1"/>
  <c r="D335" i="12" s="1"/>
  <c r="D336" i="12" s="1"/>
  <c r="D337" i="12" s="1"/>
  <c r="D338" i="12" s="1"/>
  <c r="D339" i="12" s="1"/>
  <c r="D340" i="12" s="1"/>
  <c r="E161" i="11" l="1"/>
  <c r="E164" i="11" s="1"/>
  <c r="J152" i="11" s="1"/>
  <c r="D341" i="12"/>
  <c r="E167" i="11" l="1"/>
  <c r="D342" i="12"/>
  <c r="E170" i="11" l="1"/>
  <c r="D343" i="12"/>
  <c r="E173" i="11" l="1"/>
  <c r="J164" i="11" s="1"/>
  <c r="D344" i="12"/>
  <c r="E176" i="11" l="1"/>
  <c r="D345" i="12"/>
  <c r="H299" i="12"/>
  <c r="B299" i="12" s="1"/>
  <c r="H306" i="12"/>
  <c r="E179" i="11" l="1"/>
  <c r="D346" i="12"/>
  <c r="E182" i="11" l="1"/>
  <c r="J173" i="11" s="1"/>
  <c r="D347" i="12"/>
  <c r="E185" i="11" l="1"/>
  <c r="J182" i="11" s="1"/>
  <c r="D348" i="12"/>
  <c r="E188" i="11" l="1"/>
  <c r="J185" i="11" s="1"/>
  <c r="D349" i="12"/>
  <c r="D350" i="12" s="1"/>
  <c r="D351" i="12" s="1"/>
  <c r="D352" i="12" s="1"/>
  <c r="D353" i="12" s="1"/>
  <c r="D354" i="12" s="1"/>
  <c r="D355" i="12" s="1"/>
  <c r="D356" i="12" s="1"/>
  <c r="D357" i="12" s="1"/>
  <c r="D358" i="12" s="1"/>
  <c r="D359" i="12" s="1"/>
  <c r="D360" i="12" s="1"/>
  <c r="D361" i="12" s="1"/>
  <c r="D362" i="12" s="1"/>
  <c r="D363" i="12" s="1"/>
  <c r="D364" i="12" s="1"/>
  <c r="D365" i="12" s="1"/>
  <c r="D366" i="12" s="1"/>
  <c r="D367" i="12" s="1"/>
  <c r="D368" i="12" s="1"/>
  <c r="E191" i="11" l="1"/>
  <c r="I310" i="12"/>
  <c r="E194" i="11" l="1"/>
  <c r="E197" i="11" s="1"/>
  <c r="E200" i="11" s="1"/>
  <c r="E203" i="11" s="1"/>
  <c r="E206" i="11" s="1"/>
  <c r="D516" i="12"/>
  <c r="J188" i="11" l="1"/>
  <c r="E209" i="11"/>
  <c r="D517" i="12"/>
  <c r="E212" i="11" l="1"/>
  <c r="D518" i="12"/>
  <c r="E215" i="11" l="1"/>
  <c r="E218" i="11" s="1"/>
  <c r="E221" i="11" s="1"/>
  <c r="E224" i="11" s="1"/>
  <c r="E227" i="11" s="1"/>
  <c r="D519" i="12"/>
  <c r="J206" i="11" l="1"/>
  <c r="E230" i="11"/>
  <c r="D520" i="12"/>
  <c r="D521" i="12" s="1"/>
  <c r="D522" i="12" s="1"/>
  <c r="D523" i="12" s="1"/>
  <c r="D524" i="12" s="1"/>
  <c r="D525" i="12" s="1"/>
  <c r="D526" i="12" s="1"/>
  <c r="D527" i="12" s="1"/>
  <c r="D528" i="12" s="1"/>
  <c r="D529" i="12" s="1"/>
  <c r="D530" i="12" s="1"/>
  <c r="D531" i="12" s="1"/>
  <c r="D532" i="12" s="1"/>
  <c r="D533" i="12" s="1"/>
  <c r="D534" i="12" s="1"/>
  <c r="E233" i="11" l="1"/>
  <c r="E236" i="11" s="1"/>
  <c r="D535" i="12"/>
  <c r="D536" i="12" s="1"/>
  <c r="D39" i="12"/>
  <c r="D40" i="12" s="1"/>
  <c r="E239" i="11" l="1"/>
  <c r="J227" i="11"/>
  <c r="D537" i="12"/>
  <c r="D538" i="12" s="1"/>
  <c r="D539" i="12" s="1"/>
  <c r="D540" i="12" s="1"/>
  <c r="D541" i="12" s="1"/>
  <c r="D542" i="12" s="1"/>
  <c r="D543" i="12" s="1"/>
  <c r="D544" i="12" s="1"/>
  <c r="D41" i="12"/>
  <c r="K40" i="12"/>
  <c r="B40" i="13" s="1"/>
  <c r="E242" i="11" l="1"/>
  <c r="D600" i="12"/>
  <c r="D601" i="12" s="1"/>
  <c r="D602" i="12" s="1"/>
  <c r="D545" i="12"/>
  <c r="D546" i="12" s="1"/>
  <c r="D42" i="12"/>
  <c r="E245" i="11" l="1"/>
  <c r="E248" i="11" s="1"/>
  <c r="E251" i="11" s="1"/>
  <c r="E254" i="11" s="1"/>
  <c r="D547" i="12"/>
  <c r="D43" i="12"/>
  <c r="E257" i="11" l="1"/>
  <c r="J254" i="11" s="1"/>
  <c r="D548" i="12"/>
  <c r="D44" i="12"/>
  <c r="E260" i="11" l="1"/>
  <c r="D549" i="12"/>
  <c r="D45" i="12"/>
  <c r="D46" i="12" s="1"/>
  <c r="E263" i="11" l="1"/>
  <c r="J257" i="11"/>
  <c r="D550" i="12"/>
  <c r="D47" i="12"/>
  <c r="E266" i="11" l="1"/>
  <c r="J260" i="11"/>
  <c r="D551" i="12"/>
  <c r="D48" i="12"/>
  <c r="E269" i="11" l="1"/>
  <c r="D552" i="12"/>
  <c r="D49" i="12"/>
  <c r="I40" i="12" s="1"/>
  <c r="E272" i="11" l="1"/>
  <c r="E275" i="11" s="1"/>
  <c r="E278" i="11" s="1"/>
  <c r="E281" i="11" s="1"/>
  <c r="E284" i="11" s="1"/>
  <c r="E287" i="11" s="1"/>
  <c r="E290" i="11" s="1"/>
  <c r="E293" i="11" s="1"/>
  <c r="E296" i="11" s="1"/>
  <c r="E299" i="11" s="1"/>
  <c r="E302" i="11" s="1"/>
  <c r="I254" i="11" s="1"/>
  <c r="D254" i="11" s="1"/>
  <c r="D553" i="12"/>
  <c r="D50" i="12"/>
  <c r="D51" i="12" s="1"/>
  <c r="K49" i="12"/>
  <c r="B49" i="13" s="1"/>
  <c r="I263" i="11" l="1"/>
  <c r="J263" i="11"/>
  <c r="J302" i="11"/>
  <c r="D302" i="11" s="1"/>
  <c r="I92" i="11"/>
  <c r="J92" i="11"/>
  <c r="I53" i="11"/>
  <c r="D53" i="11" s="1"/>
  <c r="I35" i="11"/>
  <c r="D35" i="11" s="1"/>
  <c r="I23" i="11"/>
  <c r="D23" i="11" s="1"/>
  <c r="I20" i="11"/>
  <c r="D20" i="11" s="1"/>
  <c r="I77" i="11"/>
  <c r="D77" i="11" s="1"/>
  <c r="I119" i="11"/>
  <c r="D119" i="11" s="1"/>
  <c r="I113" i="11"/>
  <c r="D113" i="11" s="1"/>
  <c r="I116" i="11"/>
  <c r="D116" i="11" s="1"/>
  <c r="I128" i="11"/>
  <c r="D128" i="11" s="1"/>
  <c r="I137" i="11"/>
  <c r="D137" i="11" s="1"/>
  <c r="I152" i="11"/>
  <c r="D152" i="11" s="1"/>
  <c r="I164" i="11"/>
  <c r="D164" i="11" s="1"/>
  <c r="I173" i="11"/>
  <c r="D173" i="11" s="1"/>
  <c r="I182" i="11"/>
  <c r="D182" i="11" s="1"/>
  <c r="I185" i="11"/>
  <c r="D185" i="11" s="1"/>
  <c r="I188" i="11"/>
  <c r="D188" i="11" s="1"/>
  <c r="I206" i="11"/>
  <c r="D206" i="11" s="1"/>
  <c r="J236" i="11"/>
  <c r="I227" i="11"/>
  <c r="D227" i="11" s="1"/>
  <c r="I236" i="11"/>
  <c r="I257" i="11"/>
  <c r="D257" i="11" s="1"/>
  <c r="I260" i="11"/>
  <c r="D260" i="11" s="1"/>
  <c r="D554" i="12"/>
  <c r="D52" i="12"/>
  <c r="D236" i="11" l="1"/>
  <c r="D263" i="11"/>
  <c r="D92" i="11"/>
  <c r="D555" i="12"/>
  <c r="D53" i="12"/>
  <c r="D556" i="12" l="1"/>
  <c r="D54" i="12"/>
  <c r="D557" i="12" l="1"/>
  <c r="D55" i="12"/>
  <c r="D558" i="12" l="1"/>
  <c r="D56" i="12"/>
  <c r="D559" i="12" l="1"/>
  <c r="D560" i="12" s="1"/>
  <c r="D561" i="12" s="1"/>
  <c r="D562" i="12" s="1"/>
  <c r="D563" i="12" s="1"/>
  <c r="D564" i="12" s="1"/>
  <c r="D565" i="12" s="1"/>
  <c r="D566" i="12" s="1"/>
  <c r="D567" i="12" s="1"/>
  <c r="D568" i="12" s="1"/>
  <c r="D569" i="12" s="1"/>
  <c r="D570" i="12" s="1"/>
  <c r="D571" i="12" s="1"/>
  <c r="D57" i="12"/>
  <c r="D58" i="12" s="1"/>
  <c r="D572" i="12" l="1"/>
  <c r="I546" i="12"/>
  <c r="H556" i="12"/>
  <c r="I556" i="12"/>
  <c r="I552" i="12"/>
  <c r="D79" i="12"/>
  <c r="D80" i="12" s="1"/>
  <c r="D573" i="12" l="1"/>
  <c r="B556" i="12"/>
  <c r="T556" i="12" s="1"/>
  <c r="U556" i="12" s="1"/>
  <c r="D81" i="12"/>
  <c r="K80" i="12"/>
  <c r="B80" i="13" s="1"/>
  <c r="D574" i="12" l="1"/>
  <c r="D59" i="12"/>
  <c r="D60" i="12" s="1"/>
  <c r="D61" i="12" s="1"/>
  <c r="D82" i="12"/>
  <c r="D575" i="12" l="1"/>
  <c r="D62" i="12"/>
  <c r="D83" i="12"/>
  <c r="D576" i="12" l="1"/>
  <c r="I571" i="12"/>
  <c r="D63" i="12"/>
  <c r="D84" i="12"/>
  <c r="D577" i="12" l="1"/>
  <c r="D64" i="12"/>
  <c r="D85" i="12"/>
  <c r="D578" i="12" l="1"/>
  <c r="D65" i="12"/>
  <c r="D86" i="12"/>
  <c r="D579" i="12" l="1"/>
  <c r="D66" i="12"/>
  <c r="D67" i="12" s="1"/>
  <c r="D87" i="12"/>
  <c r="K86" i="12"/>
  <c r="B86" i="13" s="1"/>
  <c r="I80" i="12"/>
  <c r="D580" i="12" l="1"/>
  <c r="D68" i="12"/>
  <c r="D69" i="12" s="1"/>
  <c r="D70" i="12" s="1"/>
  <c r="D88" i="12"/>
  <c r="D581" i="12" l="1"/>
  <c r="D71" i="12"/>
  <c r="D89" i="12"/>
  <c r="D582" i="12" l="1"/>
  <c r="D72" i="12"/>
  <c r="D90" i="12"/>
  <c r="D583" i="12" l="1"/>
  <c r="I574" i="12"/>
  <c r="I577" i="12"/>
  <c r="D73" i="12"/>
  <c r="D91" i="12"/>
  <c r="D584" i="12" l="1"/>
  <c r="D74" i="12"/>
  <c r="D75" i="12" s="1"/>
  <c r="D76" i="12" s="1"/>
  <c r="D92" i="12"/>
  <c r="D585" i="12" l="1"/>
  <c r="D77" i="12"/>
  <c r="D93" i="12"/>
  <c r="D94" i="12" s="1"/>
  <c r="K92" i="12"/>
  <c r="B92" i="13" s="1"/>
  <c r="D586" i="12" l="1"/>
  <c r="D95" i="12"/>
  <c r="D78" i="12"/>
  <c r="D587" i="12" l="1"/>
  <c r="D96" i="12"/>
  <c r="H68" i="12"/>
  <c r="D588" i="12" l="1"/>
  <c r="D97" i="12"/>
  <c r="D589" i="12" l="1"/>
  <c r="D98" i="12"/>
  <c r="D590" i="12" l="1"/>
  <c r="D99" i="12"/>
  <c r="D591" i="12" l="1"/>
  <c r="D100" i="12"/>
  <c r="D592" i="12" l="1"/>
  <c r="D101" i="12"/>
  <c r="D593" i="12" l="1"/>
  <c r="D102" i="12"/>
  <c r="D119" i="12"/>
  <c r="D120" i="12" s="1"/>
  <c r="D594" i="12" l="1"/>
  <c r="I590" i="12"/>
  <c r="I585" i="12"/>
  <c r="I583" i="12"/>
  <c r="I581" i="12"/>
  <c r="D103" i="12"/>
  <c r="D121" i="12"/>
  <c r="D595" i="12" l="1"/>
  <c r="D104" i="12"/>
  <c r="D122" i="12"/>
  <c r="D596" i="12" l="1"/>
  <c r="D105" i="12"/>
  <c r="D106" i="12" s="1"/>
  <c r="D123" i="12"/>
  <c r="I120" i="12"/>
  <c r="D597" i="12" l="1"/>
  <c r="I593" i="12"/>
  <c r="D107" i="12"/>
  <c r="D124" i="12"/>
  <c r="D598" i="12" l="1"/>
  <c r="D125" i="12"/>
  <c r="D599" i="12" l="1"/>
  <c r="H577" i="12" s="1"/>
  <c r="B577" i="12" s="1"/>
  <c r="T577" i="12" s="1"/>
  <c r="D126" i="12"/>
  <c r="H593" i="12" l="1"/>
  <c r="B593" i="12" s="1"/>
  <c r="T593" i="12" s="1"/>
  <c r="U593" i="12" s="1"/>
  <c r="U577" i="12"/>
  <c r="K281" i="11"/>
  <c r="N279" i="11" s="1"/>
  <c r="H574" i="12"/>
  <c r="B574" i="12" s="1"/>
  <c r="T574" i="12" s="1"/>
  <c r="H546" i="12"/>
  <c r="B546" i="12" s="1"/>
  <c r="T546" i="12" s="1"/>
  <c r="H595" i="12"/>
  <c r="H581" i="12"/>
  <c r="B581" i="12" s="1"/>
  <c r="T581" i="12" s="1"/>
  <c r="H590" i="12"/>
  <c r="B590" i="12" s="1"/>
  <c r="T590" i="12" s="1"/>
  <c r="H585" i="12"/>
  <c r="B585" i="12" s="1"/>
  <c r="T585" i="12" s="1"/>
  <c r="H583" i="12"/>
  <c r="B583" i="12" s="1"/>
  <c r="T583" i="12" s="1"/>
  <c r="H571" i="12"/>
  <c r="B571" i="12" s="1"/>
  <c r="T571" i="12" s="1"/>
  <c r="I595" i="12"/>
  <c r="H552" i="12"/>
  <c r="B552" i="12" s="1"/>
  <c r="T552" i="12" s="1"/>
  <c r="D127" i="12"/>
  <c r="D128" i="12" s="1"/>
  <c r="D129" i="12" s="1"/>
  <c r="D130" i="12" s="1"/>
  <c r="K296" i="11" l="1"/>
  <c r="N294" i="11" s="1"/>
  <c r="P296" i="11" s="1"/>
  <c r="B595" i="12"/>
  <c r="T595" i="12" s="1"/>
  <c r="U571" i="12"/>
  <c r="K275" i="11"/>
  <c r="N273" i="11" s="1"/>
  <c r="AC281" i="11"/>
  <c r="P281" i="11"/>
  <c r="S281" i="11"/>
  <c r="R281" i="11"/>
  <c r="Q281" i="11"/>
  <c r="T281" i="11"/>
  <c r="U281" i="11"/>
  <c r="V281" i="11"/>
  <c r="W281" i="11"/>
  <c r="U585" i="12"/>
  <c r="K290" i="11"/>
  <c r="N288" i="11" s="1"/>
  <c r="U581" i="12"/>
  <c r="K284" i="11"/>
  <c r="N282" i="11" s="1"/>
  <c r="U583" i="12"/>
  <c r="K287" i="11"/>
  <c r="N285" i="11" s="1"/>
  <c r="U546" i="12"/>
  <c r="K266" i="11"/>
  <c r="N264" i="11" s="1"/>
  <c r="U552" i="12"/>
  <c r="K269" i="11"/>
  <c r="N267" i="11" s="1"/>
  <c r="U595" i="12"/>
  <c r="K299" i="11"/>
  <c r="N297" i="11" s="1"/>
  <c r="U590" i="12"/>
  <c r="K293" i="11"/>
  <c r="N291" i="11" s="1"/>
  <c r="U574" i="12"/>
  <c r="K278" i="11"/>
  <c r="N276" i="11" s="1"/>
  <c r="D131" i="12"/>
  <c r="U296" i="11" l="1"/>
  <c r="T296" i="11"/>
  <c r="R296" i="11"/>
  <c r="V296" i="11"/>
  <c r="Q296" i="11"/>
  <c r="AC296" i="11"/>
  <c r="W296" i="11"/>
  <c r="S296" i="11"/>
  <c r="AC293" i="11"/>
  <c r="P293" i="11"/>
  <c r="Q293" i="11"/>
  <c r="R293" i="11"/>
  <c r="S293" i="11"/>
  <c r="T293" i="11"/>
  <c r="U293" i="11"/>
  <c r="V293" i="11"/>
  <c r="W293" i="11"/>
  <c r="AC278" i="11"/>
  <c r="P278" i="11"/>
  <c r="Q278" i="11"/>
  <c r="R278" i="11"/>
  <c r="S278" i="11"/>
  <c r="T278" i="11"/>
  <c r="U278" i="11"/>
  <c r="V278" i="11"/>
  <c r="W278" i="11"/>
  <c r="AC299" i="11"/>
  <c r="P299" i="11"/>
  <c r="Q299" i="11"/>
  <c r="R299" i="11"/>
  <c r="S299" i="11"/>
  <c r="T299" i="11"/>
  <c r="U299" i="11"/>
  <c r="V299" i="11"/>
  <c r="W299" i="11"/>
  <c r="P266" i="11"/>
  <c r="AC266" i="11"/>
  <c r="Q266" i="11"/>
  <c r="R266" i="11"/>
  <c r="S266" i="11"/>
  <c r="T266" i="11"/>
  <c r="U266" i="11"/>
  <c r="V266" i="11"/>
  <c r="W266" i="11"/>
  <c r="AC284" i="11"/>
  <c r="P284" i="11"/>
  <c r="Q284" i="11"/>
  <c r="R284" i="11"/>
  <c r="S284" i="11"/>
  <c r="T284" i="11"/>
  <c r="U284" i="11"/>
  <c r="V284" i="11"/>
  <c r="W284" i="11"/>
  <c r="AC269" i="11"/>
  <c r="R269" i="11"/>
  <c r="P269" i="11"/>
  <c r="Q269" i="11"/>
  <c r="S269" i="11"/>
  <c r="T269" i="11"/>
  <c r="U269" i="11"/>
  <c r="V269" i="11"/>
  <c r="W269" i="11"/>
  <c r="P275" i="11"/>
  <c r="AC275" i="11"/>
  <c r="Q275" i="11"/>
  <c r="R275" i="11"/>
  <c r="S275" i="11"/>
  <c r="T275" i="11"/>
  <c r="U275" i="11"/>
  <c r="V275" i="11"/>
  <c r="W275" i="11"/>
  <c r="R287" i="11"/>
  <c r="AC287" i="11"/>
  <c r="P287" i="11"/>
  <c r="Q287" i="11"/>
  <c r="S287" i="11"/>
  <c r="T287" i="11"/>
  <c r="U287" i="11"/>
  <c r="V287" i="11"/>
  <c r="W287" i="11"/>
  <c r="AC290" i="11"/>
  <c r="P290" i="11"/>
  <c r="Q290" i="11"/>
  <c r="R290" i="11"/>
  <c r="S290" i="11"/>
  <c r="T290" i="11"/>
  <c r="U290" i="11"/>
  <c r="V290" i="11"/>
  <c r="W290" i="11"/>
  <c r="D132" i="12"/>
  <c r="D134" i="12"/>
  <c r="D133" i="12" l="1"/>
  <c r="H130" i="12" s="1"/>
  <c r="D135" i="12"/>
  <c r="D136" i="12" l="1"/>
  <c r="D137" i="12" l="1"/>
  <c r="D138" i="12" l="1"/>
  <c r="D139" i="12" l="1"/>
  <c r="D140" i="12" l="1"/>
  <c r="D141" i="12" l="1"/>
  <c r="D142" i="12" l="1"/>
  <c r="D108" i="12" l="1"/>
  <c r="D143" i="12"/>
  <c r="K108" i="12" l="1"/>
  <c r="B108" i="13" s="1"/>
  <c r="D109" i="12"/>
  <c r="D144" i="12"/>
  <c r="D145" i="12" s="1"/>
  <c r="D146" i="12" s="1"/>
  <c r="I135" i="12"/>
  <c r="D110" i="12" l="1"/>
  <c r="K109" i="12"/>
  <c r="B109" i="13" s="1"/>
  <c r="D147" i="12"/>
  <c r="I143" i="12" s="1"/>
  <c r="D111" i="12" l="1"/>
  <c r="D148" i="12"/>
  <c r="D112" i="12" l="1"/>
  <c r="D149" i="12"/>
  <c r="D150" i="12" l="1"/>
  <c r="D151" i="12" l="1"/>
  <c r="D152" i="12" l="1"/>
  <c r="D153" i="12" l="1"/>
  <c r="D154" i="12" l="1"/>
  <c r="I147" i="12"/>
  <c r="D155" i="12" l="1"/>
  <c r="D156" i="12" l="1"/>
  <c r="D157" i="12" l="1"/>
  <c r="D158" i="12" l="1"/>
  <c r="D159" i="12" l="1"/>
  <c r="H296" i="12"/>
  <c r="H239" i="12"/>
  <c r="I239" i="12"/>
  <c r="D160" i="12" l="1"/>
  <c r="B239" i="12"/>
  <c r="D161" i="12" l="1"/>
  <c r="D162" i="12" l="1"/>
  <c r="D163" i="12" l="1"/>
  <c r="D164" i="12" l="1"/>
  <c r="D165" i="12" l="1"/>
  <c r="D166" i="12" l="1"/>
  <c r="D167" i="12" l="1"/>
  <c r="D168" i="12" l="1"/>
  <c r="D169" i="12" l="1"/>
  <c r="D170" i="12" l="1"/>
  <c r="D171" i="12" l="1"/>
  <c r="D172" i="12" l="1"/>
  <c r="I169" i="12"/>
  <c r="D173" i="12" l="1"/>
  <c r="D174" i="12" l="1"/>
  <c r="D179" i="12" l="1"/>
  <c r="D180" i="12" l="1"/>
  <c r="D181" i="12" l="1"/>
  <c r="D182" i="12" l="1"/>
  <c r="D183" i="12" l="1"/>
  <c r="D184" i="12" l="1"/>
  <c r="D185" i="12" l="1"/>
  <c r="D186" i="12" l="1"/>
  <c r="D187" i="12" s="1"/>
  <c r="D188" i="12" l="1"/>
  <c r="D189" i="12" l="1"/>
  <c r="D190" i="12" s="1"/>
  <c r="D191" i="12" l="1"/>
  <c r="D192" i="12" l="1"/>
  <c r="D193" i="12" l="1"/>
  <c r="D194" i="12" l="1"/>
  <c r="D195" i="12" l="1"/>
  <c r="D196" i="12" l="1"/>
  <c r="D197" i="12" l="1"/>
  <c r="D198" i="12" l="1"/>
  <c r="D199" i="12" l="1"/>
  <c r="D200" i="12" l="1"/>
  <c r="D201" i="12" l="1"/>
  <c r="D202" i="12" l="1"/>
  <c r="D203" i="12" s="1"/>
  <c r="D204" i="12" l="1"/>
  <c r="I122" i="12"/>
  <c r="H40" i="12"/>
  <c r="B40" i="12" s="1"/>
  <c r="I49" i="12"/>
  <c r="H49" i="12"/>
  <c r="H120" i="12"/>
  <c r="B120" i="12" s="1"/>
  <c r="H122" i="12"/>
  <c r="I153" i="12"/>
  <c r="I190" i="12"/>
  <c r="D205" i="12" l="1"/>
  <c r="H203" i="12" s="1"/>
  <c r="B122" i="12"/>
  <c r="B49" i="12"/>
  <c r="H190" i="12" l="1"/>
  <c r="B190" i="12" s="1"/>
  <c r="I203" i="12"/>
  <c r="B203" i="12" s="1"/>
  <c r="D392" i="12"/>
  <c r="D393" i="12" l="1"/>
  <c r="D394" i="12" l="1"/>
  <c r="D395" i="12" l="1"/>
  <c r="D396" i="12" s="1"/>
  <c r="D397" i="12" l="1"/>
  <c r="D398" i="12" l="1"/>
  <c r="D399" i="12" l="1"/>
  <c r="D400" i="12" l="1"/>
  <c r="D401" i="12" l="1"/>
  <c r="D402" i="12" l="1"/>
  <c r="D403" i="12" l="1"/>
  <c r="D404" i="12" s="1"/>
  <c r="D405" i="12" s="1"/>
  <c r="D406" i="12" l="1"/>
  <c r="D407" i="12" s="1"/>
  <c r="D408" i="12" l="1"/>
  <c r="D409" i="12" l="1"/>
  <c r="D410" i="12" l="1"/>
  <c r="D411" i="12" l="1"/>
  <c r="D412" i="12" l="1"/>
  <c r="D413" i="12" l="1"/>
  <c r="D414" i="12" s="1"/>
  <c r="D415" i="12" l="1"/>
  <c r="D418" i="12"/>
  <c r="D419" i="12" s="1"/>
  <c r="D416" i="12" l="1"/>
  <c r="D420" i="12"/>
  <c r="D417" i="12" l="1"/>
  <c r="H414" i="12" s="1"/>
  <c r="D421" i="12"/>
  <c r="H408" i="12" l="1"/>
  <c r="D422" i="12"/>
  <c r="D423" i="12" l="1"/>
  <c r="D424" i="12" l="1"/>
  <c r="I419" i="12" s="1"/>
  <c r="D425" i="12" l="1"/>
  <c r="D426" i="12" l="1"/>
  <c r="D427" i="12" l="1"/>
  <c r="D428" i="12" l="1"/>
  <c r="D429" i="12" l="1"/>
  <c r="D430" i="12" l="1"/>
  <c r="D431" i="12" l="1"/>
  <c r="D432" i="12" l="1"/>
  <c r="D433" i="12" l="1"/>
  <c r="D434" i="12" l="1"/>
  <c r="D435" i="12" l="1"/>
  <c r="D436" i="12" l="1"/>
  <c r="D437" i="12" l="1"/>
  <c r="D438" i="12" l="1"/>
  <c r="D439" i="12" l="1"/>
  <c r="D440" i="12" l="1"/>
  <c r="D441" i="12" l="1"/>
  <c r="D442" i="12" l="1"/>
  <c r="D443" i="12" l="1"/>
  <c r="D444" i="12" l="1"/>
  <c r="D445" i="12" l="1"/>
  <c r="D446" i="12" l="1"/>
  <c r="D447" i="12" l="1"/>
  <c r="D448" i="12" l="1"/>
  <c r="D449" i="12" l="1"/>
  <c r="D450" i="12" l="1"/>
  <c r="D451" i="12" l="1"/>
  <c r="D452" i="12" l="1"/>
  <c r="D453" i="12" l="1"/>
  <c r="D454" i="12" l="1"/>
  <c r="D455" i="12" l="1"/>
  <c r="D456" i="12" l="1"/>
  <c r="D457" i="12" l="1"/>
  <c r="D458" i="12" l="1"/>
  <c r="D459" i="12" l="1"/>
  <c r="D460" i="12" l="1"/>
  <c r="D461" i="12" l="1"/>
  <c r="D462" i="12" l="1"/>
  <c r="D463" i="12" l="1"/>
  <c r="I460" i="12" s="1"/>
  <c r="D464" i="12" l="1"/>
  <c r="D465" i="12" l="1"/>
  <c r="D466" i="12" l="1"/>
  <c r="D467" i="12" l="1"/>
  <c r="D468" i="12" l="1"/>
  <c r="D469" i="12" l="1"/>
  <c r="D470" i="12" l="1"/>
  <c r="D471" i="12" l="1"/>
  <c r="D472" i="12" l="1"/>
  <c r="D473" i="12" l="1"/>
  <c r="D474" i="12" l="1"/>
  <c r="D475" i="12" s="1"/>
  <c r="D476" i="12" l="1"/>
  <c r="D477" i="12" s="1"/>
  <c r="D478" i="12" l="1"/>
  <c r="D479" i="12" s="1"/>
  <c r="D480" i="12" l="1"/>
  <c r="D481" i="12" l="1"/>
  <c r="D482" i="12" l="1"/>
  <c r="D483" i="12" l="1"/>
  <c r="D484" i="12" l="1"/>
  <c r="D485" i="12" l="1"/>
  <c r="D486" i="12" l="1"/>
  <c r="I479" i="12"/>
  <c r="D487" i="12" l="1"/>
  <c r="D488" i="12" l="1"/>
  <c r="D489" i="12" l="1"/>
  <c r="D490" i="12" l="1"/>
  <c r="D491" i="12" l="1"/>
  <c r="H485" i="12"/>
  <c r="D492" i="12" l="1"/>
  <c r="D493" i="12" l="1"/>
  <c r="D494" i="12" l="1"/>
  <c r="D495" i="12" l="1"/>
  <c r="D496" i="12" l="1"/>
  <c r="D497" i="12" l="1"/>
  <c r="H463" i="12"/>
  <c r="I450" i="12"/>
  <c r="H450" i="12"/>
  <c r="D498" i="12" l="1"/>
  <c r="B450" i="12"/>
  <c r="D499" i="12" l="1"/>
  <c r="D500" i="12" l="1"/>
  <c r="I491" i="12"/>
  <c r="D501" i="12" l="1"/>
  <c r="D502" i="12" l="1"/>
  <c r="I499" i="12" s="1"/>
  <c r="D503" i="12" l="1"/>
  <c r="D504" i="12" l="1"/>
  <c r="D505" i="12" l="1"/>
  <c r="D506" i="12" l="1"/>
  <c r="D507" i="12" s="1"/>
  <c r="D508" i="12" l="1"/>
  <c r="I502" i="12"/>
  <c r="D509" i="12" l="1"/>
  <c r="D510" i="12" l="1"/>
  <c r="D511" i="12" l="1"/>
  <c r="D512" i="12" l="1"/>
  <c r="D513" i="12" l="1"/>
  <c r="I506" i="12" s="1"/>
  <c r="D514" i="12" l="1"/>
  <c r="D515" i="12" l="1"/>
  <c r="H513" i="12" l="1"/>
  <c r="H419" i="12"/>
  <c r="B419" i="12" s="1"/>
  <c r="I424" i="12"/>
  <c r="H424" i="12"/>
  <c r="I440" i="12"/>
  <c r="H440" i="12"/>
  <c r="H460" i="12"/>
  <c r="B460" i="12" s="1"/>
  <c r="H479" i="12"/>
  <c r="B479" i="12" s="1"/>
  <c r="I485" i="12"/>
  <c r="B485" i="12" s="1"/>
  <c r="H491" i="12"/>
  <c r="B491" i="12" s="1"/>
  <c r="H499" i="12"/>
  <c r="B499" i="12" s="1"/>
  <c r="H502" i="12"/>
  <c r="B502" i="12" s="1"/>
  <c r="H506" i="12"/>
  <c r="B506" i="12" s="1"/>
  <c r="B424" i="12" l="1"/>
  <c r="B440" i="12"/>
  <c r="P28" i="11" l="1"/>
  <c r="Q28" i="11" l="1"/>
  <c r="R28" i="11" l="1"/>
  <c r="S28" i="11" l="1"/>
  <c r="T28" i="11" l="1"/>
  <c r="P19" i="11" l="1"/>
  <c r="P40" i="11"/>
  <c r="Q19" i="11" l="1"/>
  <c r="Q40" i="11"/>
  <c r="P58" i="11"/>
  <c r="Q58" i="11" s="1"/>
  <c r="P73" i="11"/>
  <c r="U28" i="11"/>
  <c r="AC18" i="11"/>
  <c r="AC19" i="11" s="1"/>
  <c r="AC27" i="11"/>
  <c r="AC28" i="11" s="1"/>
  <c r="AC39" i="11"/>
  <c r="AC40" i="11" s="1"/>
  <c r="AC57" i="11"/>
  <c r="AC58" i="11" s="1"/>
  <c r="AC72" i="11"/>
  <c r="AC73" i="11" s="1"/>
  <c r="R19" i="11" l="1"/>
  <c r="V28" i="11"/>
  <c r="R40" i="11"/>
  <c r="R58" i="11"/>
  <c r="Q73" i="11"/>
  <c r="S19" i="11" l="1"/>
  <c r="W28" i="11"/>
  <c r="S40" i="11"/>
  <c r="S58" i="11"/>
  <c r="R73" i="11"/>
  <c r="T19" i="11" l="1"/>
  <c r="S73" i="11"/>
  <c r="T40" i="11"/>
  <c r="T58" i="11"/>
  <c r="U19" i="11" l="1"/>
  <c r="U40" i="11"/>
  <c r="U58" i="11"/>
  <c r="T73" i="11"/>
  <c r="V19" i="11" l="1"/>
  <c r="W19" i="11" s="1"/>
  <c r="U73" i="11"/>
  <c r="V40" i="11"/>
  <c r="V58" i="11"/>
  <c r="W58" i="11" l="1"/>
  <c r="W40" i="11"/>
  <c r="V73" i="11"/>
  <c r="W73" i="11" l="1"/>
  <c r="G228" i="12" l="1"/>
  <c r="F228" i="12"/>
  <c r="E228" i="12"/>
  <c r="E229" i="12" s="1"/>
  <c r="G229" i="12" l="1"/>
  <c r="G230" i="12" s="1"/>
  <c r="G231" i="12" s="1"/>
  <c r="G232" i="12" s="1"/>
  <c r="G233" i="12" s="1"/>
  <c r="G234" i="12" s="1"/>
  <c r="G235" i="12" s="1"/>
  <c r="G236" i="12" s="1"/>
  <c r="G237" i="12" s="1"/>
  <c r="G238" i="12" s="1"/>
  <c r="G239" i="12" s="1"/>
  <c r="F229" i="12"/>
  <c r="F230" i="12" s="1"/>
  <c r="F231" i="12" s="1"/>
  <c r="F232" i="12" s="1"/>
  <c r="F233" i="12" s="1"/>
  <c r="F234" i="12" s="1"/>
  <c r="F235" i="12" s="1"/>
  <c r="F236" i="12" s="1"/>
  <c r="F237" i="12" s="1"/>
  <c r="F238" i="12" s="1"/>
  <c r="F239" i="12" s="1"/>
  <c r="E230" i="12"/>
  <c r="F240" i="12" l="1"/>
  <c r="F241" i="12" s="1"/>
  <c r="F242" i="12" s="1"/>
  <c r="F243" i="12" s="1"/>
  <c r="F244" i="12" s="1"/>
  <c r="F245" i="12" s="1"/>
  <c r="G240" i="12"/>
  <c r="G241" i="12" s="1"/>
  <c r="G242" i="12" s="1"/>
  <c r="G243" i="12" s="1"/>
  <c r="G244" i="12" s="1"/>
  <c r="G245" i="12" s="1"/>
  <c r="G378" i="12"/>
  <c r="G379" i="12" s="1"/>
  <c r="G380" i="12" s="1"/>
  <c r="G381" i="12" s="1"/>
  <c r="G382" i="12" s="1"/>
  <c r="G383" i="12" s="1"/>
  <c r="G384" i="12" s="1"/>
  <c r="G385" i="12" s="1"/>
  <c r="G386" i="12" s="1"/>
  <c r="G387" i="12" s="1"/>
  <c r="G388" i="12" s="1"/>
  <c r="G389" i="12" s="1"/>
  <c r="G390" i="12" s="1"/>
  <c r="G391" i="12" s="1"/>
  <c r="G392" i="12" s="1"/>
  <c r="F378" i="12"/>
  <c r="F379" i="12" s="1"/>
  <c r="F380" i="12" s="1"/>
  <c r="F381" i="12" s="1"/>
  <c r="F382" i="12" s="1"/>
  <c r="F383" i="12" s="1"/>
  <c r="F384" i="12" s="1"/>
  <c r="F385" i="12" s="1"/>
  <c r="F386" i="12" s="1"/>
  <c r="F387" i="12" s="1"/>
  <c r="F388" i="12" s="1"/>
  <c r="F389" i="12" s="1"/>
  <c r="F390" i="12" s="1"/>
  <c r="F391" i="12" s="1"/>
  <c r="F392" i="12" s="1"/>
  <c r="E231" i="12"/>
  <c r="F393" i="12" l="1"/>
  <c r="F394" i="12" s="1"/>
  <c r="F395" i="12" s="1"/>
  <c r="G393" i="12"/>
  <c r="G394" i="12" s="1"/>
  <c r="G395" i="12" s="1"/>
  <c r="E232" i="12"/>
  <c r="G396" i="12" l="1"/>
  <c r="G397" i="12" s="1"/>
  <c r="G398" i="12" s="1"/>
  <c r="F396" i="12"/>
  <c r="F397" i="12" s="1"/>
  <c r="F398" i="12" s="1"/>
  <c r="G29" i="12"/>
  <c r="G30" i="12" s="1"/>
  <c r="F29" i="12"/>
  <c r="F30" i="12" s="1"/>
  <c r="E233" i="12"/>
  <c r="F399" i="12" l="1"/>
  <c r="F400" i="12" s="1"/>
  <c r="F401" i="12" s="1"/>
  <c r="F402" i="12" s="1"/>
  <c r="F403" i="12" s="1"/>
  <c r="F404" i="12" s="1"/>
  <c r="F405" i="12" s="1"/>
  <c r="G399" i="12"/>
  <c r="G400" i="12" s="1"/>
  <c r="G401" i="12" s="1"/>
  <c r="G402" i="12" s="1"/>
  <c r="G403" i="12" s="1"/>
  <c r="G404" i="12" s="1"/>
  <c r="G405" i="12" s="1"/>
  <c r="F39" i="12"/>
  <c r="F40" i="12" s="1"/>
  <c r="F41" i="12" s="1"/>
  <c r="F42" i="12" s="1"/>
  <c r="F43" i="12" s="1"/>
  <c r="F44" i="12" s="1"/>
  <c r="F45" i="12" s="1"/>
  <c r="F31" i="12"/>
  <c r="F32" i="12" s="1"/>
  <c r="F33" i="12" s="1"/>
  <c r="F34" i="12" s="1"/>
  <c r="F35" i="12" s="1"/>
  <c r="F36" i="12" s="1"/>
  <c r="F37" i="12" s="1"/>
  <c r="F38" i="12" s="1"/>
  <c r="G39" i="12"/>
  <c r="G40" i="12" s="1"/>
  <c r="G41" i="12" s="1"/>
  <c r="K41" i="12" s="1"/>
  <c r="B41" i="13" s="1"/>
  <c r="G31" i="12"/>
  <c r="G32" i="12" s="1"/>
  <c r="G33" i="12" s="1"/>
  <c r="G34" i="12" s="1"/>
  <c r="G35" i="12" s="1"/>
  <c r="G36" i="12" s="1"/>
  <c r="G37" i="12" s="1"/>
  <c r="G38" i="12" s="1"/>
  <c r="E234" i="12"/>
  <c r="F46" i="12" l="1"/>
  <c r="F47" i="12" s="1"/>
  <c r="F48" i="12" s="1"/>
  <c r="F49" i="12" s="1"/>
  <c r="F50" i="12" s="1"/>
  <c r="F51" i="12" s="1"/>
  <c r="F52" i="12" s="1"/>
  <c r="F53" i="12" s="1"/>
  <c r="F54" i="12" s="1"/>
  <c r="F55" i="12" s="1"/>
  <c r="F56" i="12" s="1"/>
  <c r="F57" i="12" s="1"/>
  <c r="G406" i="12"/>
  <c r="G407" i="12" s="1"/>
  <c r="F406" i="12"/>
  <c r="F407" i="12" s="1"/>
  <c r="F79" i="12"/>
  <c r="F80" i="12" s="1"/>
  <c r="F81" i="12" s="1"/>
  <c r="F82" i="12" s="1"/>
  <c r="F83" i="12" s="1"/>
  <c r="F84" i="12" s="1"/>
  <c r="F85" i="12" s="1"/>
  <c r="F86" i="12" s="1"/>
  <c r="F87" i="12" s="1"/>
  <c r="F88" i="12" s="1"/>
  <c r="F89" i="12" s="1"/>
  <c r="F90" i="12" s="1"/>
  <c r="F91" i="12" s="1"/>
  <c r="F92" i="12" s="1"/>
  <c r="F93" i="12" s="1"/>
  <c r="F58" i="12"/>
  <c r="G42" i="12"/>
  <c r="G43" i="12" s="1"/>
  <c r="E235" i="12"/>
  <c r="F59" i="12" l="1"/>
  <c r="F60" i="12" s="1"/>
  <c r="F61" i="12" s="1"/>
  <c r="F62" i="12" s="1"/>
  <c r="F63" i="12" s="1"/>
  <c r="F64" i="12" s="1"/>
  <c r="F65" i="12" s="1"/>
  <c r="F408" i="12"/>
  <c r="F409" i="12" s="1"/>
  <c r="F410" i="12" s="1"/>
  <c r="F411" i="12" s="1"/>
  <c r="F412" i="12" s="1"/>
  <c r="F413" i="12" s="1"/>
  <c r="G408" i="12"/>
  <c r="G409" i="12" s="1"/>
  <c r="G410" i="12" s="1"/>
  <c r="G411" i="12" s="1"/>
  <c r="G412" i="12" s="1"/>
  <c r="G413" i="12" s="1"/>
  <c r="F108" i="12"/>
  <c r="F109" i="12" s="1"/>
  <c r="F110" i="12" s="1"/>
  <c r="F111" i="12" s="1"/>
  <c r="F112" i="12" s="1"/>
  <c r="F113" i="12" s="1"/>
  <c r="F114" i="12" s="1"/>
  <c r="F115" i="12" s="1"/>
  <c r="F116" i="12" s="1"/>
  <c r="F117" i="12" s="1"/>
  <c r="F118" i="12" s="1"/>
  <c r="F119" i="12" s="1"/>
  <c r="F120" i="12" s="1"/>
  <c r="F121" i="12" s="1"/>
  <c r="F122" i="12" s="1"/>
  <c r="F123" i="12" s="1"/>
  <c r="F124" i="12" s="1"/>
  <c r="F125" i="12" s="1"/>
  <c r="F126" i="12" s="1"/>
  <c r="F127" i="12" s="1"/>
  <c r="F94" i="12"/>
  <c r="F95" i="12" s="1"/>
  <c r="F96" i="12" s="1"/>
  <c r="F97" i="12" s="1"/>
  <c r="F98" i="12" s="1"/>
  <c r="F99" i="12" s="1"/>
  <c r="F100" i="12" s="1"/>
  <c r="F101" i="12" s="1"/>
  <c r="F102" i="12" s="1"/>
  <c r="F103" i="12" s="1"/>
  <c r="F104" i="12" s="1"/>
  <c r="F105" i="12" s="1"/>
  <c r="F106" i="12" s="1"/>
  <c r="F107" i="12" s="1"/>
  <c r="K42" i="12"/>
  <c r="B42" i="13" s="1"/>
  <c r="G44" i="12"/>
  <c r="K43" i="12"/>
  <c r="B43" i="13" s="1"/>
  <c r="E236" i="12"/>
  <c r="E237" i="12" s="1"/>
  <c r="F68" i="12" l="1"/>
  <c r="F69" i="12" s="1"/>
  <c r="F70" i="12" s="1"/>
  <c r="F71" i="12" s="1"/>
  <c r="F72" i="12" s="1"/>
  <c r="F66" i="12"/>
  <c r="F67" i="12" s="1"/>
  <c r="G414" i="12"/>
  <c r="G415" i="12" s="1"/>
  <c r="G416" i="12" s="1"/>
  <c r="G417" i="12" s="1"/>
  <c r="G418" i="12" s="1"/>
  <c r="G419" i="12" s="1"/>
  <c r="G420" i="12" s="1"/>
  <c r="G421" i="12" s="1"/>
  <c r="G422" i="12" s="1"/>
  <c r="G423" i="12" s="1"/>
  <c r="G424" i="12" s="1"/>
  <c r="G425" i="12" s="1"/>
  <c r="G426" i="12" s="1"/>
  <c r="G427" i="12" s="1"/>
  <c r="G428" i="12" s="1"/>
  <c r="G429" i="12" s="1"/>
  <c r="G430" i="12" s="1"/>
  <c r="G431" i="12" s="1"/>
  <c r="G432" i="12" s="1"/>
  <c r="G433" i="12" s="1"/>
  <c r="G434" i="12" s="1"/>
  <c r="G435" i="12" s="1"/>
  <c r="G436" i="12" s="1"/>
  <c r="G437" i="12" s="1"/>
  <c r="G438" i="12" s="1"/>
  <c r="G439" i="12" s="1"/>
  <c r="G440" i="12" s="1"/>
  <c r="G441" i="12" s="1"/>
  <c r="G442" i="12" s="1"/>
  <c r="G443" i="12" s="1"/>
  <c r="G444" i="12" s="1"/>
  <c r="G445" i="12" s="1"/>
  <c r="G446" i="12" s="1"/>
  <c r="G447" i="12" s="1"/>
  <c r="G448" i="12" s="1"/>
  <c r="G449" i="12" s="1"/>
  <c r="G450" i="12" s="1"/>
  <c r="G451" i="12" s="1"/>
  <c r="G452" i="12" s="1"/>
  <c r="G453" i="12" s="1"/>
  <c r="G454" i="12" s="1"/>
  <c r="G455" i="12" s="1"/>
  <c r="G456" i="12" s="1"/>
  <c r="G457" i="12" s="1"/>
  <c r="G458" i="12" s="1"/>
  <c r="G459" i="12" s="1"/>
  <c r="G460" i="12" s="1"/>
  <c r="G461" i="12" s="1"/>
  <c r="G462" i="12" s="1"/>
  <c r="G463" i="12" s="1"/>
  <c r="G464" i="12" s="1"/>
  <c r="G465" i="12" s="1"/>
  <c r="G466" i="12" s="1"/>
  <c r="G467" i="12" s="1"/>
  <c r="G468" i="12" s="1"/>
  <c r="G469" i="12" s="1"/>
  <c r="G470" i="12" s="1"/>
  <c r="F414" i="12"/>
  <c r="F415" i="12" s="1"/>
  <c r="F416" i="12" s="1"/>
  <c r="F417" i="12" s="1"/>
  <c r="F418" i="12" s="1"/>
  <c r="F419" i="12" s="1"/>
  <c r="F420" i="12" s="1"/>
  <c r="F421" i="12" s="1"/>
  <c r="F422" i="12" s="1"/>
  <c r="F423" i="12" s="1"/>
  <c r="F424" i="12" s="1"/>
  <c r="F425" i="12" s="1"/>
  <c r="F426" i="12" s="1"/>
  <c r="F427" i="12" s="1"/>
  <c r="F428" i="12" s="1"/>
  <c r="F429" i="12" s="1"/>
  <c r="F430" i="12" s="1"/>
  <c r="F431" i="12" s="1"/>
  <c r="F432" i="12" s="1"/>
  <c r="F433" i="12" s="1"/>
  <c r="F434" i="12" s="1"/>
  <c r="F435" i="12" s="1"/>
  <c r="F436" i="12" s="1"/>
  <c r="F437" i="12" s="1"/>
  <c r="F438" i="12" s="1"/>
  <c r="F439" i="12" s="1"/>
  <c r="F440" i="12" s="1"/>
  <c r="F441" i="12" s="1"/>
  <c r="F442" i="12" s="1"/>
  <c r="F443" i="12" s="1"/>
  <c r="F444" i="12" s="1"/>
  <c r="F445" i="12" s="1"/>
  <c r="F446" i="12" s="1"/>
  <c r="F447" i="12" s="1"/>
  <c r="F448" i="12" s="1"/>
  <c r="F449" i="12" s="1"/>
  <c r="F450" i="12" s="1"/>
  <c r="F451" i="12" s="1"/>
  <c r="F452" i="12" s="1"/>
  <c r="F453" i="12" s="1"/>
  <c r="F454" i="12" s="1"/>
  <c r="F455" i="12" s="1"/>
  <c r="F456" i="12" s="1"/>
  <c r="F457" i="12" s="1"/>
  <c r="F458" i="12" s="1"/>
  <c r="F459" i="12" s="1"/>
  <c r="F460" i="12" s="1"/>
  <c r="F461" i="12" s="1"/>
  <c r="F462" i="12" s="1"/>
  <c r="F463" i="12" s="1"/>
  <c r="F464" i="12" s="1"/>
  <c r="F465" i="12" s="1"/>
  <c r="F466" i="12" s="1"/>
  <c r="F467" i="12" s="1"/>
  <c r="F468" i="12" s="1"/>
  <c r="F469" i="12" s="1"/>
  <c r="F470" i="12" s="1"/>
  <c r="F134" i="12"/>
  <c r="F128" i="12"/>
  <c r="F129" i="12" s="1"/>
  <c r="F130" i="12" s="1"/>
  <c r="F131" i="12" s="1"/>
  <c r="F132" i="12" s="1"/>
  <c r="F133" i="12" s="1"/>
  <c r="G45" i="12"/>
  <c r="G46" i="12" s="1"/>
  <c r="K46" i="12" s="1"/>
  <c r="B46" i="13" s="1"/>
  <c r="K44" i="12"/>
  <c r="B44" i="13" s="1"/>
  <c r="E238" i="12"/>
  <c r="G471" i="12" l="1"/>
  <c r="G472" i="12" s="1"/>
  <c r="G473" i="12" s="1"/>
  <c r="G474" i="12" s="1"/>
  <c r="G475" i="12" s="1"/>
  <c r="F471" i="12"/>
  <c r="F472" i="12" s="1"/>
  <c r="F473" i="12" s="1"/>
  <c r="F474" i="12" s="1"/>
  <c r="F475" i="12" s="1"/>
  <c r="F74" i="12"/>
  <c r="F75" i="12" s="1"/>
  <c r="F76" i="12" s="1"/>
  <c r="F77" i="12" s="1"/>
  <c r="F78" i="12" s="1"/>
  <c r="F73" i="12"/>
  <c r="G47" i="12"/>
  <c r="K45" i="12"/>
  <c r="B45" i="13" s="1"/>
  <c r="E239" i="12"/>
  <c r="E240" i="12" l="1"/>
  <c r="G476" i="12"/>
  <c r="G477" i="12" s="1"/>
  <c r="G478" i="12" s="1"/>
  <c r="G479" i="12" s="1"/>
  <c r="G480" i="12" s="1"/>
  <c r="G481" i="12" s="1"/>
  <c r="G482" i="12" s="1"/>
  <c r="G483" i="12" s="1"/>
  <c r="G484" i="12" s="1"/>
  <c r="G485" i="12" s="1"/>
  <c r="G486" i="12" s="1"/>
  <c r="G487" i="12" s="1"/>
  <c r="G488" i="12" s="1"/>
  <c r="G489" i="12" s="1"/>
  <c r="G490" i="12" s="1"/>
  <c r="F476" i="12"/>
  <c r="F477" i="12" s="1"/>
  <c r="F478" i="12" s="1"/>
  <c r="F479" i="12" s="1"/>
  <c r="F480" i="12" s="1"/>
  <c r="F481" i="12" s="1"/>
  <c r="F482" i="12" s="1"/>
  <c r="F483" i="12" s="1"/>
  <c r="F484" i="12" s="1"/>
  <c r="F485" i="12" s="1"/>
  <c r="F486" i="12" s="1"/>
  <c r="F487" i="12" s="1"/>
  <c r="F488" i="12" s="1"/>
  <c r="F489" i="12" s="1"/>
  <c r="F490" i="12" s="1"/>
  <c r="G48" i="12"/>
  <c r="K47" i="12"/>
  <c r="B47" i="13" s="1"/>
  <c r="E242" i="12"/>
  <c r="E243" i="12" s="1"/>
  <c r="E241" i="12" l="1"/>
  <c r="H240" i="12" s="1"/>
  <c r="G49" i="12"/>
  <c r="G50" i="12" s="1"/>
  <c r="G51" i="12" s="1"/>
  <c r="K51" i="12" s="1"/>
  <c r="B51" i="13" s="1"/>
  <c r="K48" i="12"/>
  <c r="B48" i="13" s="1"/>
  <c r="E244" i="12"/>
  <c r="G52" i="12" l="1"/>
  <c r="K50" i="12"/>
  <c r="B50" i="13" s="1"/>
  <c r="E245" i="12"/>
  <c r="G53" i="12" l="1"/>
  <c r="K52" i="12"/>
  <c r="B52" i="13" s="1"/>
  <c r="E378" i="12"/>
  <c r="E379" i="12" s="1"/>
  <c r="G54" i="12" l="1"/>
  <c r="K53" i="12"/>
  <c r="B53" i="13" s="1"/>
  <c r="E380" i="12"/>
  <c r="G55" i="12" l="1"/>
  <c r="K54" i="12"/>
  <c r="B54" i="13" s="1"/>
  <c r="E381" i="12"/>
  <c r="G56" i="12" l="1"/>
  <c r="K55" i="12"/>
  <c r="B55" i="13" s="1"/>
  <c r="E382" i="12"/>
  <c r="G57" i="12" l="1"/>
  <c r="G58" i="12" s="1"/>
  <c r="K56" i="12"/>
  <c r="B56" i="13" s="1"/>
  <c r="E383" i="12"/>
  <c r="K58" i="12" l="1"/>
  <c r="B58" i="13" s="1"/>
  <c r="G79" i="12"/>
  <c r="G80" i="12" s="1"/>
  <c r="G81" i="12" s="1"/>
  <c r="K57" i="12"/>
  <c r="B57" i="13" s="1"/>
  <c r="E384" i="12"/>
  <c r="G82" i="12" l="1"/>
  <c r="K81" i="12"/>
  <c r="B81" i="13" s="1"/>
  <c r="E385" i="12"/>
  <c r="G59" i="12" l="1"/>
  <c r="G83" i="12"/>
  <c r="K82" i="12"/>
  <c r="B82" i="13" s="1"/>
  <c r="E386" i="12"/>
  <c r="G60" i="12" l="1"/>
  <c r="K59" i="12"/>
  <c r="B59" i="13" s="1"/>
  <c r="G84" i="12"/>
  <c r="K83" i="12"/>
  <c r="B83" i="13" s="1"/>
  <c r="E387" i="12"/>
  <c r="G61" i="12" l="1"/>
  <c r="K60" i="12"/>
  <c r="B60" i="13" s="1"/>
  <c r="G85" i="12"/>
  <c r="K84" i="12"/>
  <c r="B84" i="13" s="1"/>
  <c r="E388" i="12"/>
  <c r="G62" i="12" l="1"/>
  <c r="K61" i="12"/>
  <c r="B61" i="13" s="1"/>
  <c r="G86" i="12"/>
  <c r="G87" i="12" s="1"/>
  <c r="K85" i="12"/>
  <c r="B85" i="13" s="1"/>
  <c r="E389" i="12"/>
  <c r="G63" i="12" l="1"/>
  <c r="K62" i="12"/>
  <c r="B62" i="13" s="1"/>
  <c r="G88" i="12"/>
  <c r="K87" i="12"/>
  <c r="B87" i="13" s="1"/>
  <c r="E390" i="12"/>
  <c r="G64" i="12" l="1"/>
  <c r="K63" i="12"/>
  <c r="B63" i="13" s="1"/>
  <c r="G68" i="12"/>
  <c r="G89" i="12"/>
  <c r="K88" i="12"/>
  <c r="B88" i="13" s="1"/>
  <c r="E391" i="12"/>
  <c r="G65" i="12" l="1"/>
  <c r="K64" i="12"/>
  <c r="B64" i="13" s="1"/>
  <c r="G69" i="12"/>
  <c r="K68" i="12"/>
  <c r="B68" i="13" s="1"/>
  <c r="G90" i="12"/>
  <c r="K89" i="12"/>
  <c r="B89" i="13" s="1"/>
  <c r="E392" i="12"/>
  <c r="K65" i="12" l="1"/>
  <c r="B65" i="13" s="1"/>
  <c r="G66" i="12"/>
  <c r="E393" i="12"/>
  <c r="E394" i="12" s="1"/>
  <c r="E395" i="12" s="1"/>
  <c r="E396" i="12" s="1"/>
  <c r="G70" i="12"/>
  <c r="K69" i="12"/>
  <c r="B69" i="13" s="1"/>
  <c r="G91" i="12"/>
  <c r="K90" i="12"/>
  <c r="B90" i="13" s="1"/>
  <c r="K66" i="12" l="1"/>
  <c r="B66" i="13" s="1"/>
  <c r="G67" i="12"/>
  <c r="K67" i="12" s="1"/>
  <c r="B67" i="13" s="1"/>
  <c r="G71" i="12"/>
  <c r="K70" i="12"/>
  <c r="B70" i="13" s="1"/>
  <c r="G92" i="12"/>
  <c r="G93" i="12" s="1"/>
  <c r="G94" i="12" s="1"/>
  <c r="K91" i="12"/>
  <c r="B91" i="13" s="1"/>
  <c r="E397" i="12"/>
  <c r="G95" i="12" l="1"/>
  <c r="K94" i="12"/>
  <c r="B94" i="13" s="1"/>
  <c r="G72" i="12"/>
  <c r="K71" i="12"/>
  <c r="B71" i="13" s="1"/>
  <c r="K93" i="12"/>
  <c r="B93" i="13" s="1"/>
  <c r="E398" i="12"/>
  <c r="E399" i="12" s="1"/>
  <c r="G74" i="12" l="1"/>
  <c r="G73" i="12"/>
  <c r="K73" i="12" s="1"/>
  <c r="B73" i="13" s="1"/>
  <c r="G96" i="12"/>
  <c r="K95" i="12"/>
  <c r="B95" i="13" s="1"/>
  <c r="G75" i="12"/>
  <c r="K74" i="12"/>
  <c r="B74" i="13" s="1"/>
  <c r="K72" i="12"/>
  <c r="B72" i="13" s="1"/>
  <c r="G108" i="12"/>
  <c r="G109" i="12" s="1"/>
  <c r="G110" i="12" s="1"/>
  <c r="E400" i="12"/>
  <c r="G97" i="12" l="1"/>
  <c r="K96" i="12"/>
  <c r="B96" i="13" s="1"/>
  <c r="G76" i="12"/>
  <c r="K75" i="12"/>
  <c r="B75" i="13" s="1"/>
  <c r="G111" i="12"/>
  <c r="K110" i="12"/>
  <c r="B110" i="13" s="1"/>
  <c r="E401" i="12"/>
  <c r="G98" i="12" l="1"/>
  <c r="K97" i="12"/>
  <c r="B97" i="13" s="1"/>
  <c r="G77" i="12"/>
  <c r="K76" i="12"/>
  <c r="B76" i="13" s="1"/>
  <c r="G112" i="12"/>
  <c r="K111" i="12"/>
  <c r="B111" i="13" s="1"/>
  <c r="E402" i="12"/>
  <c r="G99" i="12" l="1"/>
  <c r="K98" i="12"/>
  <c r="B98" i="13" s="1"/>
  <c r="G78" i="12"/>
  <c r="K78" i="12" s="1"/>
  <c r="B78" i="13" s="1"/>
  <c r="K77" i="12"/>
  <c r="B77" i="13" s="1"/>
  <c r="K112" i="12"/>
  <c r="B112" i="13" s="1"/>
  <c r="G113" i="12"/>
  <c r="G114" i="12" s="1"/>
  <c r="G115" i="12" s="1"/>
  <c r="G116" i="12" s="1"/>
  <c r="G117" i="12" s="1"/>
  <c r="G118" i="12" s="1"/>
  <c r="G119" i="12" s="1"/>
  <c r="G120" i="12" s="1"/>
  <c r="G121" i="12" s="1"/>
  <c r="G122" i="12" s="1"/>
  <c r="G123" i="12" s="1"/>
  <c r="G124" i="12" s="1"/>
  <c r="G125" i="12" s="1"/>
  <c r="G126" i="12" s="1"/>
  <c r="G127" i="12" s="1"/>
  <c r="E403" i="12"/>
  <c r="G134" i="12" l="1"/>
  <c r="G128" i="12"/>
  <c r="G129" i="12" s="1"/>
  <c r="G130" i="12" s="1"/>
  <c r="G131" i="12" s="1"/>
  <c r="G132" i="12" s="1"/>
  <c r="G133" i="12" s="1"/>
  <c r="G100" i="12"/>
  <c r="K99" i="12"/>
  <c r="B99" i="13" s="1"/>
  <c r="E404" i="12"/>
  <c r="G101" i="12" l="1"/>
  <c r="K100" i="12"/>
  <c r="B100" i="13" s="1"/>
  <c r="E405" i="12"/>
  <c r="E406" i="12" s="1"/>
  <c r="E407" i="12" s="1"/>
  <c r="E408" i="12" s="1"/>
  <c r="G102" i="12" l="1"/>
  <c r="K101" i="12"/>
  <c r="B101" i="13" s="1"/>
  <c r="E409" i="12"/>
  <c r="G103" i="12" l="1"/>
  <c r="K102" i="12"/>
  <c r="B102" i="13" s="1"/>
  <c r="E410" i="12"/>
  <c r="G104" i="12" l="1"/>
  <c r="K103" i="12"/>
  <c r="B103" i="13" s="1"/>
  <c r="E411" i="12"/>
  <c r="G105" i="12" l="1"/>
  <c r="G106" i="12" s="1"/>
  <c r="K104" i="12"/>
  <c r="B104" i="13" s="1"/>
  <c r="E412" i="12"/>
  <c r="G107" i="12" l="1"/>
  <c r="K107" i="12" s="1"/>
  <c r="B107" i="13" s="1"/>
  <c r="K106" i="12"/>
  <c r="B106" i="13" s="1"/>
  <c r="K105" i="12"/>
  <c r="B105" i="13" s="1"/>
  <c r="E413" i="12"/>
  <c r="E414" i="12" s="1"/>
  <c r="E415" i="12" l="1"/>
  <c r="E416" i="12" l="1"/>
  <c r="E417" i="12" l="1"/>
  <c r="E418" i="12" l="1"/>
  <c r="E419" i="12" s="1"/>
  <c r="E420" i="12" s="1"/>
  <c r="E421" i="12" l="1"/>
  <c r="E422" i="12" l="1"/>
  <c r="E423" i="12" l="1"/>
  <c r="E424" i="12" l="1"/>
  <c r="E425" i="12" s="1"/>
  <c r="E426" i="12" l="1"/>
  <c r="E427" i="12" l="1"/>
  <c r="E428" i="12" l="1"/>
  <c r="E429" i="12" l="1"/>
  <c r="E430" i="12" l="1"/>
  <c r="E431" i="12" l="1"/>
  <c r="E432" i="12" l="1"/>
  <c r="E433" i="12" l="1"/>
  <c r="E434" i="12" l="1"/>
  <c r="E435" i="12" l="1"/>
  <c r="E436" i="12" l="1"/>
  <c r="E437" i="12" l="1"/>
  <c r="E438" i="12" l="1"/>
  <c r="E439" i="12" l="1"/>
  <c r="E440" i="12" l="1"/>
  <c r="E441" i="12" s="1"/>
  <c r="E442" i="12" l="1"/>
  <c r="E443" i="12" l="1"/>
  <c r="E444" i="12" l="1"/>
  <c r="E445" i="12" l="1"/>
  <c r="E446" i="12" l="1"/>
  <c r="E447" i="12" l="1"/>
  <c r="E448" i="12" l="1"/>
  <c r="E449" i="12" l="1"/>
  <c r="E450" i="12" l="1"/>
  <c r="E451" i="12" s="1"/>
  <c r="E452" i="12" l="1"/>
  <c r="E453" i="12" l="1"/>
  <c r="E454" i="12" l="1"/>
  <c r="E455" i="12" l="1"/>
  <c r="E456" i="12" l="1"/>
  <c r="E457" i="12" l="1"/>
  <c r="E458" i="12" l="1"/>
  <c r="E459" i="12" l="1"/>
  <c r="E460" i="12" l="1"/>
  <c r="E461" i="12" s="1"/>
  <c r="E462" i="12" l="1"/>
  <c r="E463" i="12" l="1"/>
  <c r="E464" i="12" s="1"/>
  <c r="E465" i="12" l="1"/>
  <c r="E466" i="12" l="1"/>
  <c r="E467" i="12" l="1"/>
  <c r="E468" i="12" l="1"/>
  <c r="E469" i="12" l="1"/>
  <c r="E470" i="12" l="1"/>
  <c r="E471" i="12" l="1"/>
  <c r="E472" i="12" l="1"/>
  <c r="E473" i="12" l="1"/>
  <c r="E474" i="12" l="1"/>
  <c r="E475" i="12" s="1"/>
  <c r="E476" i="12" l="1"/>
  <c r="E477" i="12" s="1"/>
  <c r="E478" i="12" l="1"/>
  <c r="E479" i="12" s="1"/>
  <c r="E480" i="12" s="1"/>
  <c r="E481" i="12" l="1"/>
  <c r="E482" i="12" l="1"/>
  <c r="E483" i="12" l="1"/>
  <c r="E484" i="12" l="1"/>
  <c r="E485" i="12" l="1"/>
  <c r="E486" i="12" s="1"/>
  <c r="E487" i="12" l="1"/>
  <c r="E488" i="12" l="1"/>
  <c r="E489" i="12" l="1"/>
  <c r="E490" i="12" l="1"/>
  <c r="I114" i="12" l="1"/>
  <c r="B114" i="12" s="1"/>
  <c r="I240" i="12"/>
  <c r="B240" i="12" s="1"/>
  <c r="I109" i="12"/>
  <c r="B109" i="12" s="1"/>
  <c r="D369" i="12" l="1"/>
  <c r="D378" i="12"/>
  <c r="D379" i="12" s="1"/>
  <c r="D380" i="12" s="1"/>
  <c r="D381" i="12" s="1"/>
  <c r="D382" i="12" s="1"/>
  <c r="D383" i="12" s="1"/>
  <c r="D384" i="12" s="1"/>
  <c r="D385" i="12" s="1"/>
  <c r="D386" i="12" s="1"/>
  <c r="D387" i="12" s="1"/>
  <c r="D388" i="12" s="1"/>
  <c r="D389" i="12" s="1"/>
  <c r="D390" i="12" s="1"/>
  <c r="D391" i="12" s="1"/>
  <c r="D29" i="12"/>
  <c r="D30" i="12" l="1"/>
  <c r="K30" i="12" s="1"/>
  <c r="B30" i="13" s="1"/>
  <c r="K29" i="12"/>
  <c r="B29" i="13" s="1"/>
  <c r="D370" i="12"/>
  <c r="D31" i="12" l="1"/>
  <c r="D32" i="12" s="1"/>
  <c r="D371" i="12"/>
  <c r="K31" i="12" l="1"/>
  <c r="L24" i="11"/>
  <c r="D33" i="12"/>
  <c r="K32" i="12"/>
  <c r="B32" i="13" s="1"/>
  <c r="D372" i="12"/>
  <c r="B31" i="13" l="1"/>
  <c r="L27" i="11"/>
  <c r="D34" i="12"/>
  <c r="K33" i="12"/>
  <c r="B33" i="13" s="1"/>
  <c r="D373" i="12"/>
  <c r="D35" i="12" l="1"/>
  <c r="K34" i="12"/>
  <c r="B34" i="13" s="1"/>
  <c r="D374" i="12"/>
  <c r="D36" i="12" l="1"/>
  <c r="K35" i="12"/>
  <c r="B35" i="13" s="1"/>
  <c r="D375" i="12"/>
  <c r="D37" i="12" l="1"/>
  <c r="K36" i="12"/>
  <c r="B36" i="13" s="1"/>
  <c r="D376" i="12"/>
  <c r="D377" i="12" s="1"/>
  <c r="D38" i="12" l="1"/>
  <c r="H35" i="12" s="1"/>
  <c r="K37" i="12"/>
  <c r="B37" i="13" s="1"/>
  <c r="I306" i="12"/>
  <c r="B306" i="12" s="1"/>
  <c r="I340" i="12"/>
  <c r="I242" i="12"/>
  <c r="B242" i="12" s="1"/>
  <c r="I296" i="12"/>
  <c r="B296" i="12" s="1"/>
  <c r="I35" i="12" l="1"/>
  <c r="B35" i="12" s="1"/>
  <c r="K38" i="12"/>
  <c r="B38" i="13" s="1"/>
  <c r="H25" i="12"/>
  <c r="I31" i="12"/>
  <c r="D113" i="12" l="1"/>
  <c r="D114" i="12" l="1"/>
  <c r="D115" i="12" l="1"/>
  <c r="D116" i="12" l="1"/>
  <c r="D117" i="12" l="1"/>
  <c r="D118" i="12" l="1"/>
  <c r="D175" i="12" l="1"/>
  <c r="D176" i="12" l="1"/>
  <c r="D177" i="12" s="1"/>
  <c r="D178" i="12" s="1"/>
  <c r="I106" i="12" l="1"/>
  <c r="H147" i="12"/>
  <c r="B147" i="12" s="1"/>
  <c r="H106" i="12"/>
  <c r="H143" i="12" l="1"/>
  <c r="B143" i="12" s="1"/>
  <c r="H171" i="12"/>
  <c r="H169" i="12"/>
  <c r="B169" i="12" s="1"/>
  <c r="H153" i="12"/>
  <c r="B153" i="12" s="1"/>
  <c r="B106" i="12"/>
  <c r="H135" i="12"/>
  <c r="B135" i="12" s="1"/>
  <c r="C113" i="12"/>
  <c r="C114" i="12" l="1"/>
  <c r="K113" i="12"/>
  <c r="B113" i="13" s="1"/>
  <c r="C115" i="12" l="1"/>
  <c r="K114" i="12"/>
  <c r="B114" i="13" s="1"/>
  <c r="C116" i="12" l="1"/>
  <c r="K115" i="12"/>
  <c r="B115" i="13" s="1"/>
  <c r="C117" i="12" l="1"/>
  <c r="K116" i="12"/>
  <c r="B116" i="13" s="1"/>
  <c r="C118" i="12" l="1"/>
  <c r="C119" i="12" s="1"/>
  <c r="K117" i="12"/>
  <c r="B117" i="13" s="1"/>
  <c r="C120" i="12" l="1"/>
  <c r="K119" i="12"/>
  <c r="K118" i="12"/>
  <c r="B118" i="13" s="1"/>
  <c r="B119" i="13" l="1"/>
  <c r="L30" i="11"/>
  <c r="C121" i="12"/>
  <c r="K120" i="12"/>
  <c r="B120" i="13" s="1"/>
  <c r="C122" i="12" l="1"/>
  <c r="K121" i="12"/>
  <c r="B121" i="13" s="1"/>
  <c r="C123" i="12" l="1"/>
  <c r="K122" i="12"/>
  <c r="B122" i="13" s="1"/>
  <c r="C124" i="12" l="1"/>
  <c r="K123" i="12"/>
  <c r="B123" i="13" s="1"/>
  <c r="C125" i="12" l="1"/>
  <c r="K124" i="12"/>
  <c r="B124" i="13" s="1"/>
  <c r="I408" i="12" l="1"/>
  <c r="B408" i="12" s="1"/>
  <c r="I414" i="12"/>
  <c r="B414" i="12" s="1"/>
  <c r="I399" i="12"/>
  <c r="H399" i="12"/>
  <c r="H396" i="12"/>
  <c r="I396" i="12"/>
  <c r="H393" i="12"/>
  <c r="I393" i="12"/>
  <c r="H310" i="12"/>
  <c r="B310" i="12" s="1"/>
  <c r="H340" i="12"/>
  <c r="B340" i="12" s="1"/>
  <c r="I130" i="12"/>
  <c r="B130" i="12" s="1"/>
  <c r="I229" i="12"/>
  <c r="H229" i="12"/>
  <c r="I99" i="12"/>
  <c r="H99" i="12"/>
  <c r="I86" i="12"/>
  <c r="I94" i="12"/>
  <c r="H94" i="12"/>
  <c r="I68" i="12"/>
  <c r="B68" i="12" s="1"/>
  <c r="H74" i="12"/>
  <c r="I74" i="12"/>
  <c r="I25" i="12"/>
  <c r="B25" i="12" s="1"/>
  <c r="I58" i="12"/>
  <c r="H58" i="12"/>
  <c r="H86" i="12"/>
  <c r="H80" i="12"/>
  <c r="B80" i="12" s="1"/>
  <c r="C126" i="12"/>
  <c r="K125" i="12"/>
  <c r="B125" i="13" s="1"/>
  <c r="B396" i="12" l="1"/>
  <c r="B399" i="12"/>
  <c r="B393" i="12"/>
  <c r="B229" i="12"/>
  <c r="B86" i="12"/>
  <c r="B99" i="12"/>
  <c r="B94" i="12"/>
  <c r="B74" i="12"/>
  <c r="B58" i="12"/>
  <c r="C127" i="12"/>
  <c r="C128" i="12" s="1"/>
  <c r="K126" i="12"/>
  <c r="B126" i="13" s="1"/>
  <c r="K128" i="12" l="1"/>
  <c r="B128" i="13" s="1"/>
  <c r="C129" i="12"/>
  <c r="K127" i="12"/>
  <c r="B127" i="13" s="1"/>
  <c r="I513" i="12"/>
  <c r="B513" i="12" s="1"/>
  <c r="I463" i="12"/>
  <c r="B463" i="12" s="1"/>
  <c r="I171" i="12"/>
  <c r="B171" i="12" s="1"/>
  <c r="C130" i="12" l="1"/>
  <c r="K129" i="12"/>
  <c r="B129" i="13" s="1"/>
  <c r="C131" i="12" l="1"/>
  <c r="K130" i="12"/>
  <c r="B130" i="13" s="1"/>
  <c r="K131" i="12" l="1"/>
  <c r="B131" i="13" s="1"/>
  <c r="C132" i="12"/>
  <c r="K132" i="12" l="1"/>
  <c r="B132" i="13" s="1"/>
  <c r="C133" i="12"/>
  <c r="K133" i="12" l="1"/>
  <c r="B133" i="13" s="1"/>
  <c r="C134" i="12"/>
  <c r="I119" i="12" l="1"/>
  <c r="K134" i="12"/>
  <c r="L90" i="11" s="1"/>
  <c r="C135" i="12"/>
  <c r="C136" i="12" l="1"/>
  <c r="K135" i="12"/>
  <c r="L33" i="11"/>
  <c r="B134" i="13"/>
  <c r="B135" i="13" l="1"/>
  <c r="L93" i="11"/>
  <c r="C137" i="12"/>
  <c r="K136" i="12"/>
  <c r="B136" i="13" s="1"/>
  <c r="C138" i="12" l="1"/>
  <c r="K137" i="12"/>
  <c r="B137" i="13" s="1"/>
  <c r="C139" i="12" l="1"/>
  <c r="K138" i="12"/>
  <c r="B138" i="13" s="1"/>
  <c r="C140" i="12" l="1"/>
  <c r="K139" i="12"/>
  <c r="B139" i="13" s="1"/>
  <c r="C141" i="12" l="1"/>
  <c r="K140" i="12"/>
  <c r="B140" i="13" s="1"/>
  <c r="C142" i="12" l="1"/>
  <c r="K141" i="12"/>
  <c r="B141" i="13" s="1"/>
  <c r="C143" i="12" l="1"/>
  <c r="K142" i="12"/>
  <c r="B142" i="13" s="1"/>
  <c r="C144" i="12" l="1"/>
  <c r="C145" i="12" s="1"/>
  <c r="K143" i="12"/>
  <c r="B143" i="13" l="1"/>
  <c r="L96" i="11"/>
  <c r="K145" i="12"/>
  <c r="B145" i="13" s="1"/>
  <c r="C146" i="12"/>
  <c r="K146" i="12" s="1"/>
  <c r="B146" i="13" s="1"/>
  <c r="K144" i="12"/>
  <c r="B144" i="13" s="1"/>
  <c r="C147" i="12" l="1"/>
  <c r="C148" i="12" s="1"/>
  <c r="K147" i="12" l="1"/>
  <c r="C149" i="12"/>
  <c r="K148" i="12"/>
  <c r="B148" i="13" s="1"/>
  <c r="B147" i="13" l="1"/>
  <c r="L99" i="11"/>
  <c r="C150" i="12"/>
  <c r="K149" i="12"/>
  <c r="B149" i="13" s="1"/>
  <c r="C151" i="12" l="1"/>
  <c r="K150" i="12"/>
  <c r="B150" i="13" s="1"/>
  <c r="C152" i="12" l="1"/>
  <c r="K151" i="12"/>
  <c r="B151" i="13" s="1"/>
  <c r="C153" i="12" l="1"/>
  <c r="K152" i="12"/>
  <c r="B152" i="13" s="1"/>
  <c r="C154" i="12" l="1"/>
  <c r="K153" i="12"/>
  <c r="B153" i="13" l="1"/>
  <c r="L102" i="11"/>
  <c r="C155" i="12"/>
  <c r="K154" i="12"/>
  <c r="B154" i="13" s="1"/>
  <c r="C156" i="12" l="1"/>
  <c r="K155" i="12"/>
  <c r="B155" i="13" s="1"/>
  <c r="C157" i="12" l="1"/>
  <c r="K156" i="12"/>
  <c r="B156" i="13" s="1"/>
  <c r="C158" i="12" l="1"/>
  <c r="K157" i="12"/>
  <c r="B157" i="13" s="1"/>
  <c r="C159" i="12" l="1"/>
  <c r="K158" i="12"/>
  <c r="B158" i="13" s="1"/>
  <c r="C160" i="12" l="1"/>
  <c r="K159" i="12"/>
  <c r="B159" i="13" s="1"/>
  <c r="C161" i="12" l="1"/>
  <c r="K160" i="12"/>
  <c r="B160" i="13" s="1"/>
  <c r="C162" i="12" l="1"/>
  <c r="K161" i="12"/>
  <c r="B161" i="13" s="1"/>
  <c r="C163" i="12" l="1"/>
  <c r="K162" i="12"/>
  <c r="B162" i="13" s="1"/>
  <c r="C164" i="12" l="1"/>
  <c r="K163" i="12"/>
  <c r="B163" i="13" s="1"/>
  <c r="C165" i="12" l="1"/>
  <c r="K164" i="12"/>
  <c r="B164" i="13" s="1"/>
  <c r="C166" i="12" l="1"/>
  <c r="K165" i="12"/>
  <c r="B165" i="13" s="1"/>
  <c r="C167" i="12" l="1"/>
  <c r="K166" i="12"/>
  <c r="B166" i="13" s="1"/>
  <c r="C168" i="12" l="1"/>
  <c r="K167" i="12"/>
  <c r="B167" i="13" s="1"/>
  <c r="C169" i="12" l="1"/>
  <c r="K168" i="12"/>
  <c r="B168" i="13" s="1"/>
  <c r="C170" i="12" l="1"/>
  <c r="K169" i="12"/>
  <c r="B169" i="13" l="1"/>
  <c r="L105" i="11"/>
  <c r="C171" i="12"/>
  <c r="K170" i="12"/>
  <c r="B170" i="13" s="1"/>
  <c r="C172" i="12" l="1"/>
  <c r="K171" i="12"/>
  <c r="B171" i="13" l="1"/>
  <c r="L108" i="11"/>
  <c r="C173" i="12"/>
  <c r="K172" i="12"/>
  <c r="B172" i="13" s="1"/>
  <c r="C174" i="12" l="1"/>
  <c r="K173" i="12"/>
  <c r="B173" i="13" s="1"/>
  <c r="K174" i="12" l="1"/>
  <c r="B174" i="13" s="1"/>
  <c r="C175" i="12"/>
  <c r="C176" i="12" l="1"/>
  <c r="K175" i="12"/>
  <c r="B175" i="13" s="1"/>
  <c r="C177" i="12" l="1"/>
  <c r="K176" i="12"/>
  <c r="B176" i="13" s="1"/>
  <c r="C178" i="12" l="1"/>
  <c r="K177" i="12"/>
  <c r="B177" i="13" s="1"/>
  <c r="C179" i="12" l="1"/>
  <c r="K178" i="12"/>
  <c r="B178" i="13" s="1"/>
  <c r="C180" i="12" l="1"/>
  <c r="K179" i="12"/>
  <c r="L111" i="11" s="1"/>
  <c r="C181" i="12" l="1"/>
  <c r="K181" i="12" s="1"/>
  <c r="B181" i="13" s="1"/>
  <c r="K180" i="12"/>
  <c r="B180" i="13" s="1"/>
  <c r="B179" i="13"/>
  <c r="L36" i="11"/>
  <c r="C182" i="12" l="1"/>
  <c r="C183" i="12" l="1"/>
  <c r="K182" i="12"/>
  <c r="B182" i="13" s="1"/>
  <c r="C184" i="12" l="1"/>
  <c r="K183" i="12"/>
  <c r="B183" i="13" s="1"/>
  <c r="K184" i="12" l="1"/>
  <c r="B184" i="13" s="1"/>
  <c r="C185" i="12"/>
  <c r="C186" i="12" l="1"/>
  <c r="K185" i="12"/>
  <c r="B185" i="13" s="1"/>
  <c r="I179" i="12" l="1"/>
  <c r="C187" i="12"/>
  <c r="K186" i="12"/>
  <c r="L114" i="11" s="1"/>
  <c r="B186" i="13" l="1"/>
  <c r="L39" i="11"/>
  <c r="K187" i="12"/>
  <c r="B187" i="13" s="1"/>
  <c r="C188" i="12"/>
  <c r="C189" i="12" l="1"/>
  <c r="K188" i="12"/>
  <c r="B188" i="13" s="1"/>
  <c r="I186" i="12" l="1"/>
  <c r="K189" i="12"/>
  <c r="L117" i="11" s="1"/>
  <c r="C190" i="12"/>
  <c r="K190" i="12" l="1"/>
  <c r="C191" i="12"/>
  <c r="L42" i="11"/>
  <c r="B189" i="13"/>
  <c r="B190" i="13" l="1"/>
  <c r="L120" i="11"/>
  <c r="K191" i="12"/>
  <c r="B191" i="13" s="1"/>
  <c r="C192" i="12"/>
  <c r="C193" i="12" l="1"/>
  <c r="K192" i="12"/>
  <c r="B192" i="13" s="1"/>
  <c r="C194" i="12" l="1"/>
  <c r="K193" i="12"/>
  <c r="B193" i="13" s="1"/>
  <c r="K194" i="12" l="1"/>
  <c r="B194" i="13" s="1"/>
  <c r="C195" i="12"/>
  <c r="K195" i="12" l="1"/>
  <c r="B195" i="13" s="1"/>
  <c r="C196" i="12"/>
  <c r="K196" i="12" l="1"/>
  <c r="B196" i="13" s="1"/>
  <c r="C197" i="12"/>
  <c r="I79" i="12"/>
  <c r="I134" i="12"/>
  <c r="K197" i="12" l="1"/>
  <c r="B197" i="13" s="1"/>
  <c r="C198" i="12"/>
  <c r="C199" i="12" l="1"/>
  <c r="K198" i="12"/>
  <c r="B198" i="13" s="1"/>
  <c r="C200" i="12" l="1"/>
  <c r="K199" i="12"/>
  <c r="B199" i="13" s="1"/>
  <c r="K200" i="12" l="1"/>
  <c r="B200" i="13" s="1"/>
  <c r="C201" i="12"/>
  <c r="K201" i="12" l="1"/>
  <c r="B201" i="13" s="1"/>
  <c r="C202" i="12"/>
  <c r="C203" i="12" s="1"/>
  <c r="K203" i="12" l="1"/>
  <c r="C204" i="12"/>
  <c r="K202" i="12"/>
  <c r="B202" i="13" s="1"/>
  <c r="B203" i="13" l="1"/>
  <c r="L123" i="11"/>
  <c r="K204" i="12"/>
  <c r="B204" i="13" s="1"/>
  <c r="C205" i="12"/>
  <c r="K205" i="12" l="1"/>
  <c r="B205" i="13" s="1"/>
  <c r="C206" i="12"/>
  <c r="K206" i="12" l="1"/>
  <c r="L126" i="11" s="1"/>
  <c r="C207" i="12"/>
  <c r="I189" i="12"/>
  <c r="K207" i="12" l="1"/>
  <c r="C208" i="12"/>
  <c r="B206" i="13"/>
  <c r="L45" i="11"/>
  <c r="B207" i="13" l="1"/>
  <c r="L129" i="11"/>
  <c r="C209" i="12"/>
  <c r="K208" i="12"/>
  <c r="B208" i="13" s="1"/>
  <c r="C210" i="12" l="1"/>
  <c r="K209" i="12"/>
  <c r="B209" i="13" s="1"/>
  <c r="K210" i="12" l="1"/>
  <c r="B210" i="13" s="1"/>
  <c r="C211" i="12"/>
  <c r="C212" i="12" l="1"/>
  <c r="K211" i="12"/>
  <c r="B211" i="13" s="1"/>
  <c r="C213" i="12" l="1"/>
  <c r="K212" i="12"/>
  <c r="B212" i="13" s="1"/>
  <c r="C214" i="12" l="1"/>
  <c r="K213" i="12"/>
  <c r="B213" i="13" s="1"/>
  <c r="K214" i="12" l="1"/>
  <c r="B214" i="13" s="1"/>
  <c r="C215" i="12"/>
  <c r="K215" i="12" l="1"/>
  <c r="B215" i="13" s="1"/>
  <c r="C216" i="12"/>
  <c r="C217" i="12" l="1"/>
  <c r="K216" i="12"/>
  <c r="B216" i="13" s="1"/>
  <c r="C218" i="12" l="1"/>
  <c r="K217" i="12"/>
  <c r="B217" i="13" s="1"/>
  <c r="C219" i="12" l="1"/>
  <c r="K218" i="12"/>
  <c r="B218" i="13" s="1"/>
  <c r="K219" i="12" l="1"/>
  <c r="B219" i="13" s="1"/>
  <c r="C220" i="12"/>
  <c r="C221" i="12" l="1"/>
  <c r="K220" i="12"/>
  <c r="B220" i="13" l="1"/>
  <c r="L132" i="11"/>
  <c r="K221" i="12"/>
  <c r="B221" i="13" s="1"/>
  <c r="C222" i="12"/>
  <c r="C223" i="12" s="1"/>
  <c r="C224" i="12" l="1"/>
  <c r="K223" i="12"/>
  <c r="B223" i="13" s="1"/>
  <c r="K222" i="12"/>
  <c r="B222" i="13" s="1"/>
  <c r="C225" i="12" l="1"/>
  <c r="K224" i="12"/>
  <c r="B224" i="13" s="1"/>
  <c r="C226" i="12" l="1"/>
  <c r="K225" i="12"/>
  <c r="B225" i="13" s="1"/>
  <c r="C227" i="12" l="1"/>
  <c r="K226" i="12"/>
  <c r="B226" i="13" s="1"/>
  <c r="K227" i="12" l="1"/>
  <c r="B227" i="13" s="1"/>
  <c r="C228" i="12"/>
  <c r="C229" i="12" s="1"/>
  <c r="K229" i="12" s="1"/>
  <c r="B229" i="13" l="1"/>
  <c r="L138" i="11"/>
  <c r="C230" i="12"/>
  <c r="K228" i="12"/>
  <c r="L135" i="11" s="1"/>
  <c r="B228" i="13" l="1"/>
  <c r="L48" i="11"/>
  <c r="C231" i="12"/>
  <c r="K230" i="12"/>
  <c r="B230" i="13" s="1"/>
  <c r="C232" i="12" l="1"/>
  <c r="K231" i="12"/>
  <c r="B231" i="13" s="1"/>
  <c r="C233" i="12" l="1"/>
  <c r="K232" i="12"/>
  <c r="B232" i="13" s="1"/>
  <c r="K233" i="12" l="1"/>
  <c r="B233" i="13" s="1"/>
  <c r="C234" i="12"/>
  <c r="K234" i="12" l="1"/>
  <c r="B234" i="13" s="1"/>
  <c r="C235" i="12"/>
  <c r="K235" i="12" l="1"/>
  <c r="B235" i="13" s="1"/>
  <c r="C236" i="12"/>
  <c r="K236" i="12" l="1"/>
  <c r="C237" i="12"/>
  <c r="B236" i="13" l="1"/>
  <c r="L141" i="11"/>
  <c r="K237" i="12"/>
  <c r="B237" i="13" s="1"/>
  <c r="C238" i="12"/>
  <c r="K238" i="12" l="1"/>
  <c r="B238" i="13" s="1"/>
  <c r="C239" i="12"/>
  <c r="C240" i="12" s="1"/>
  <c r="K240" i="12" s="1"/>
  <c r="B240" i="13" s="1"/>
  <c r="C241" i="12" l="1"/>
  <c r="K239" i="12"/>
  <c r="B239" i="13" l="1"/>
  <c r="L144" i="11"/>
  <c r="K241" i="12"/>
  <c r="B241" i="13" s="1"/>
  <c r="C242" i="12"/>
  <c r="K242" i="12" l="1"/>
  <c r="C243" i="12"/>
  <c r="B242" i="13" l="1"/>
  <c r="L147" i="11"/>
  <c r="K243" i="12"/>
  <c r="B243" i="13" s="1"/>
  <c r="C244" i="12"/>
  <c r="K244" i="12" l="1"/>
  <c r="B244" i="13" s="1"/>
  <c r="C245" i="12"/>
  <c r="K245" i="12" l="1"/>
  <c r="L150" i="11" s="1"/>
  <c r="C246" i="12"/>
  <c r="C247" i="12" l="1"/>
  <c r="K246" i="12"/>
  <c r="B245" i="13"/>
  <c r="L51" i="11"/>
  <c r="B246" i="13" l="1"/>
  <c r="L153" i="11"/>
  <c r="C248" i="12"/>
  <c r="K247" i="12"/>
  <c r="B247" i="13" s="1"/>
  <c r="K248" i="12" l="1"/>
  <c r="B248" i="13" s="1"/>
  <c r="C249" i="12"/>
  <c r="K249" i="12" l="1"/>
  <c r="B249" i="13" s="1"/>
  <c r="C250" i="12"/>
  <c r="C251" i="12" l="1"/>
  <c r="K250" i="12"/>
  <c r="B250" i="13" s="1"/>
  <c r="C252" i="12" l="1"/>
  <c r="C253" i="12" s="1"/>
  <c r="K253" i="12" s="1"/>
  <c r="B253" i="13" s="1"/>
  <c r="K251" i="12"/>
  <c r="B251" i="13" s="1"/>
  <c r="K252" i="12" l="1"/>
  <c r="B252" i="13" s="1"/>
  <c r="C254" i="12"/>
  <c r="K254" i="12" l="1"/>
  <c r="B254" i="13" s="1"/>
  <c r="C255" i="12"/>
  <c r="K255" i="12" l="1"/>
  <c r="B255" i="13" s="1"/>
  <c r="C256" i="12"/>
  <c r="K256" i="12" l="1"/>
  <c r="B256" i="13" s="1"/>
  <c r="C257" i="12"/>
  <c r="C258" i="12" l="1"/>
  <c r="K257" i="12"/>
  <c r="B257" i="13" s="1"/>
  <c r="K258" i="12" l="1"/>
  <c r="B258" i="13" s="1"/>
  <c r="C259" i="12"/>
  <c r="K259" i="12" l="1"/>
  <c r="B259" i="13" s="1"/>
  <c r="C260" i="12"/>
  <c r="C261" i="12" l="1"/>
  <c r="K260" i="12"/>
  <c r="B260" i="13" s="1"/>
  <c r="C262" i="12" l="1"/>
  <c r="K261" i="12"/>
  <c r="B261" i="13" s="1"/>
  <c r="C263" i="12" l="1"/>
  <c r="K262" i="12"/>
  <c r="B262" i="13" s="1"/>
  <c r="C264" i="12" l="1"/>
  <c r="K263" i="12"/>
  <c r="B263" i="13" s="1"/>
  <c r="C265" i="12" l="1"/>
  <c r="K264" i="12"/>
  <c r="B264" i="13" s="1"/>
  <c r="C266" i="12" l="1"/>
  <c r="K265" i="12"/>
  <c r="B265" i="13" s="1"/>
  <c r="C267" i="12" l="1"/>
  <c r="K266" i="12"/>
  <c r="B266" i="13" s="1"/>
  <c r="K267" i="12" l="1"/>
  <c r="B267" i="13" s="1"/>
  <c r="C268" i="12"/>
  <c r="C269" i="12" l="1"/>
  <c r="K268" i="12"/>
  <c r="B268" i="13" s="1"/>
  <c r="K269" i="12" l="1"/>
  <c r="B269" i="13" s="1"/>
  <c r="C270" i="12"/>
  <c r="K270" i="12" l="1"/>
  <c r="B270" i="13" s="1"/>
  <c r="C271" i="12"/>
  <c r="C272" i="12" l="1"/>
  <c r="K271" i="12"/>
  <c r="B271" i="13" s="1"/>
  <c r="K272" i="12" l="1"/>
  <c r="B272" i="13" s="1"/>
  <c r="C273" i="12"/>
  <c r="C274" i="12" l="1"/>
  <c r="K273" i="12"/>
  <c r="B273" i="13" s="1"/>
  <c r="K274" i="12" l="1"/>
  <c r="B274" i="13" s="1"/>
  <c r="C275" i="12"/>
  <c r="K275" i="12" l="1"/>
  <c r="B275" i="13" s="1"/>
  <c r="C276" i="12"/>
  <c r="K276" i="12" l="1"/>
  <c r="B276" i="13" s="1"/>
  <c r="C277" i="12"/>
  <c r="K277" i="12" l="1"/>
  <c r="B277" i="13" s="1"/>
  <c r="C278" i="12"/>
  <c r="K278" i="12" l="1"/>
  <c r="B278" i="13" s="1"/>
  <c r="C279" i="12"/>
  <c r="K279" i="12" l="1"/>
  <c r="B279" i="13" s="1"/>
  <c r="C280" i="12"/>
  <c r="K280" i="12" l="1"/>
  <c r="B280" i="13" s="1"/>
  <c r="C281" i="12"/>
  <c r="K281" i="12" l="1"/>
  <c r="B281" i="13" s="1"/>
  <c r="C282" i="12"/>
  <c r="K282" i="12" l="1"/>
  <c r="B282" i="13" s="1"/>
  <c r="C283" i="12"/>
  <c r="K283" i="12" l="1"/>
  <c r="B283" i="13" s="1"/>
  <c r="C284" i="12"/>
  <c r="C285" i="12" l="1"/>
  <c r="K284" i="12"/>
  <c r="B284" i="13" s="1"/>
  <c r="C286" i="12" l="1"/>
  <c r="K285" i="12"/>
  <c r="B285" i="13" s="1"/>
  <c r="K286" i="12" l="1"/>
  <c r="B286" i="13" s="1"/>
  <c r="C287" i="12"/>
  <c r="K287" i="12" l="1"/>
  <c r="B287" i="13" s="1"/>
  <c r="C288" i="12"/>
  <c r="K288" i="12" l="1"/>
  <c r="B288" i="13" s="1"/>
  <c r="C289" i="12"/>
  <c r="K289" i="12" l="1"/>
  <c r="C290" i="12"/>
  <c r="B289" i="13" l="1"/>
  <c r="L156" i="11"/>
  <c r="C291" i="12"/>
  <c r="K290" i="12"/>
  <c r="B290" i="13" s="1"/>
  <c r="C292" i="12" l="1"/>
  <c r="K291" i="12"/>
  <c r="B291" i="13" s="1"/>
  <c r="C293" i="12" l="1"/>
  <c r="K292" i="12"/>
  <c r="B292" i="13" s="1"/>
  <c r="K293" i="12" l="1"/>
  <c r="B293" i="13" s="1"/>
  <c r="C294" i="12"/>
  <c r="K294" i="12" l="1"/>
  <c r="B294" i="13" s="1"/>
  <c r="C295" i="12"/>
  <c r="C296" i="12" l="1"/>
  <c r="K295" i="12"/>
  <c r="B295" i="13" s="1"/>
  <c r="K296" i="12" l="1"/>
  <c r="C297" i="12"/>
  <c r="B296" i="13" l="1"/>
  <c r="L159" i="11"/>
  <c r="K297" i="12"/>
  <c r="B297" i="13" s="1"/>
  <c r="C298" i="12"/>
  <c r="K298" i="12" l="1"/>
  <c r="L162" i="11" s="1"/>
  <c r="C299" i="12"/>
  <c r="B298" i="13" l="1"/>
  <c r="L54" i="11"/>
  <c r="K299" i="12"/>
  <c r="C300" i="12"/>
  <c r="B299" i="13" l="1"/>
  <c r="L165" i="11"/>
  <c r="K300" i="12"/>
  <c r="B300" i="13" s="1"/>
  <c r="C301" i="12"/>
  <c r="C302" i="12" l="1"/>
  <c r="K301" i="12"/>
  <c r="B301" i="13" s="1"/>
  <c r="K302" i="12" l="1"/>
  <c r="B302" i="13" s="1"/>
  <c r="C303" i="12"/>
  <c r="K303" i="12" l="1"/>
  <c r="B303" i="13" s="1"/>
  <c r="C304" i="12"/>
  <c r="K304" i="12" l="1"/>
  <c r="B304" i="13" s="1"/>
  <c r="C305" i="12"/>
  <c r="K305" i="12" l="1"/>
  <c r="B305" i="13" s="1"/>
  <c r="C306" i="12"/>
  <c r="K306" i="12" l="1"/>
  <c r="C307" i="12"/>
  <c r="B306" i="13" l="1"/>
  <c r="L168" i="11"/>
  <c r="C308" i="12"/>
  <c r="K307" i="12"/>
  <c r="B307" i="13" s="1"/>
  <c r="C309" i="12" l="1"/>
  <c r="K308" i="12"/>
  <c r="B308" i="13" s="1"/>
  <c r="K309" i="12" l="1"/>
  <c r="L171" i="11" s="1"/>
  <c r="C310" i="12"/>
  <c r="K310" i="12" l="1"/>
  <c r="C311" i="12"/>
  <c r="B309" i="13"/>
  <c r="L57" i="11"/>
  <c r="B310" i="13" l="1"/>
  <c r="L174" i="11"/>
  <c r="K311" i="12"/>
  <c r="B311" i="13" s="1"/>
  <c r="C312" i="12"/>
  <c r="K312" i="12" l="1"/>
  <c r="B312" i="13" s="1"/>
  <c r="C313" i="12"/>
  <c r="K313" i="12" l="1"/>
  <c r="B313" i="13" s="1"/>
  <c r="C314" i="12"/>
  <c r="K314" i="12" l="1"/>
  <c r="B314" i="13" s="1"/>
  <c r="C315" i="12"/>
  <c r="K315" i="12" l="1"/>
  <c r="B315" i="13" s="1"/>
  <c r="C316" i="12"/>
  <c r="K316" i="12" l="1"/>
  <c r="B316" i="13" s="1"/>
  <c r="C317" i="12"/>
  <c r="K317" i="12" l="1"/>
  <c r="B317" i="13" s="1"/>
  <c r="C318" i="12"/>
  <c r="K318" i="12" l="1"/>
  <c r="B318" i="13" s="1"/>
  <c r="C319" i="12"/>
  <c r="C320" i="12" l="1"/>
  <c r="K319" i="12"/>
  <c r="B319" i="13" s="1"/>
  <c r="C321" i="12" l="1"/>
  <c r="K320" i="12"/>
  <c r="B320" i="13" s="1"/>
  <c r="K321" i="12" l="1"/>
  <c r="B321" i="13" s="1"/>
  <c r="C322" i="12"/>
  <c r="K322" i="12" l="1"/>
  <c r="B322" i="13" s="1"/>
  <c r="C323" i="12"/>
  <c r="C324" i="12" l="1"/>
  <c r="K323" i="12"/>
  <c r="B323" i="13" s="1"/>
  <c r="C325" i="12" l="1"/>
  <c r="K324" i="12"/>
  <c r="B324" i="13" s="1"/>
  <c r="K325" i="12" l="1"/>
  <c r="B325" i="13" s="1"/>
  <c r="C326" i="12"/>
  <c r="K326" i="12" l="1"/>
  <c r="B326" i="13" s="1"/>
  <c r="C327" i="12"/>
  <c r="C328" i="12" l="1"/>
  <c r="K327" i="12"/>
  <c r="B327" i="13" s="1"/>
  <c r="C329" i="12" l="1"/>
  <c r="K328" i="12"/>
  <c r="B328" i="13" s="1"/>
  <c r="K329" i="12" l="1"/>
  <c r="B329" i="13" s="1"/>
  <c r="C330" i="12"/>
  <c r="K330" i="12" l="1"/>
  <c r="B330" i="13" s="1"/>
  <c r="C331" i="12"/>
  <c r="C332" i="12" l="1"/>
  <c r="K331" i="12"/>
  <c r="B331" i="13" s="1"/>
  <c r="C333" i="12" l="1"/>
  <c r="K332" i="12"/>
  <c r="B332" i="13" s="1"/>
  <c r="K333" i="12" l="1"/>
  <c r="B333" i="13" s="1"/>
  <c r="C334" i="12"/>
  <c r="C335" i="12" l="1"/>
  <c r="K334" i="12"/>
  <c r="B334" i="13" s="1"/>
  <c r="C336" i="12" l="1"/>
  <c r="K335" i="12"/>
  <c r="B335" i="13" s="1"/>
  <c r="K336" i="12" l="1"/>
  <c r="B336" i="13" s="1"/>
  <c r="C337" i="12"/>
  <c r="C338" i="12" l="1"/>
  <c r="K337" i="12"/>
  <c r="B337" i="13" s="1"/>
  <c r="C339" i="12" l="1"/>
  <c r="K338" i="12"/>
  <c r="B338" i="13" s="1"/>
  <c r="K339" i="12" l="1"/>
  <c r="B339" i="13" s="1"/>
  <c r="C340" i="12"/>
  <c r="K340" i="12" l="1"/>
  <c r="C341" i="12"/>
  <c r="B340" i="13" l="1"/>
  <c r="L177" i="11"/>
  <c r="K341" i="12"/>
  <c r="B341" i="13" s="1"/>
  <c r="C342" i="12"/>
  <c r="K342" i="12" l="1"/>
  <c r="B342" i="13" s="1"/>
  <c r="C343" i="12"/>
  <c r="C344" i="12" l="1"/>
  <c r="K343" i="12"/>
  <c r="L180" i="11" s="1"/>
  <c r="B343" i="13" l="1"/>
  <c r="C345" i="12"/>
  <c r="K344" i="12"/>
  <c r="B344" i="13" s="1"/>
  <c r="K345" i="12" l="1"/>
  <c r="B345" i="13" s="1"/>
  <c r="C346" i="12"/>
  <c r="C347" i="12" l="1"/>
  <c r="K346" i="12"/>
  <c r="B346" i="13" s="1"/>
  <c r="K347" i="12" l="1"/>
  <c r="B347" i="13" s="1"/>
  <c r="C348" i="12"/>
  <c r="K348" i="12" l="1"/>
  <c r="B348" i="13" s="1"/>
  <c r="C349" i="12"/>
  <c r="K349" i="12" l="1"/>
  <c r="B349" i="13" s="1"/>
  <c r="C350" i="12"/>
  <c r="K350" i="12" l="1"/>
  <c r="B350" i="13" s="1"/>
  <c r="C351" i="12"/>
  <c r="C352" i="12" l="1"/>
  <c r="K351" i="12"/>
  <c r="B351" i="13" s="1"/>
  <c r="K352" i="12" l="1"/>
  <c r="B352" i="13" s="1"/>
  <c r="C353" i="12"/>
  <c r="K353" i="12" l="1"/>
  <c r="B353" i="13" s="1"/>
  <c r="C354" i="12"/>
  <c r="K354" i="12" l="1"/>
  <c r="B354" i="13" s="1"/>
  <c r="C355" i="12"/>
  <c r="K355" i="12" l="1"/>
  <c r="B355" i="13" s="1"/>
  <c r="C356" i="12"/>
  <c r="K356" i="12" l="1"/>
  <c r="B356" i="13" s="1"/>
  <c r="C357" i="12"/>
  <c r="K357" i="12" l="1"/>
  <c r="B357" i="13" s="1"/>
  <c r="C358" i="12"/>
  <c r="K358" i="12" l="1"/>
  <c r="B358" i="13" s="1"/>
  <c r="C359" i="12"/>
  <c r="K359" i="12" l="1"/>
  <c r="B359" i="13" s="1"/>
  <c r="C360" i="12"/>
  <c r="K360" i="12" l="1"/>
  <c r="B360" i="13" s="1"/>
  <c r="C361" i="12"/>
  <c r="C362" i="12" l="1"/>
  <c r="K361" i="12"/>
  <c r="B361" i="13" s="1"/>
  <c r="K362" i="12" l="1"/>
  <c r="B362" i="13" s="1"/>
  <c r="C363" i="12"/>
  <c r="K363" i="12" l="1"/>
  <c r="B363" i="13" s="1"/>
  <c r="C364" i="12"/>
  <c r="K364" i="12" l="1"/>
  <c r="B364" i="13" s="1"/>
  <c r="C365" i="12"/>
  <c r="K365" i="12" l="1"/>
  <c r="B365" i="13" s="1"/>
  <c r="C366" i="12"/>
  <c r="K366" i="12" l="1"/>
  <c r="B366" i="13" s="1"/>
  <c r="C367" i="12"/>
  <c r="C368" i="12" s="1"/>
  <c r="K368" i="12" s="1"/>
  <c r="B368" i="13" s="1"/>
  <c r="K367" i="12" l="1"/>
  <c r="B367" i="13" s="1"/>
  <c r="C369" i="12"/>
  <c r="C370" i="12" l="1"/>
  <c r="K369" i="12"/>
  <c r="B369" i="13" s="1"/>
  <c r="C371" i="12" l="1"/>
  <c r="K370" i="12"/>
  <c r="B370" i="13" s="1"/>
  <c r="K371" i="12" l="1"/>
  <c r="B371" i="13" s="1"/>
  <c r="C372" i="12"/>
  <c r="C373" i="12" l="1"/>
  <c r="K372" i="12"/>
  <c r="B372" i="13" s="1"/>
  <c r="K373" i="12" l="1"/>
  <c r="B373" i="13" s="1"/>
  <c r="C374" i="12"/>
  <c r="C375" i="12" l="1"/>
  <c r="K374" i="12"/>
  <c r="B374" i="13" s="1"/>
  <c r="K375" i="12" l="1"/>
  <c r="B375" i="13" s="1"/>
  <c r="C376" i="12"/>
  <c r="C377" i="12" s="1"/>
  <c r="K377" i="12" l="1"/>
  <c r="B377" i="13" s="1"/>
  <c r="K376" i="12"/>
  <c r="B376" i="13" s="1"/>
  <c r="C378" i="12" l="1"/>
  <c r="K378" i="12" s="1"/>
  <c r="L60" i="11" l="1"/>
  <c r="L183" i="11"/>
  <c r="C379" i="12"/>
  <c r="K379" i="12" s="1"/>
  <c r="B379" i="13" s="1"/>
  <c r="B378" i="13"/>
  <c r="C380" i="12" l="1"/>
  <c r="K380" i="12" s="1"/>
  <c r="B380" i="13" s="1"/>
  <c r="C381" i="12" l="1"/>
  <c r="C382" i="12" s="1"/>
  <c r="K381" i="12" l="1"/>
  <c r="B381" i="13" s="1"/>
  <c r="K382" i="12"/>
  <c r="B382" i="13" s="1"/>
  <c r="C383" i="12"/>
  <c r="K383" i="12" l="1"/>
  <c r="B383" i="13" s="1"/>
  <c r="C384" i="12"/>
  <c r="C385" i="12" l="1"/>
  <c r="K384" i="12"/>
  <c r="B384" i="13" s="1"/>
  <c r="C386" i="12" l="1"/>
  <c r="K385" i="12"/>
  <c r="B385" i="13" s="1"/>
  <c r="K386" i="12" l="1"/>
  <c r="B386" i="13" s="1"/>
  <c r="C387" i="12"/>
  <c r="K387" i="12" l="1"/>
  <c r="B387" i="13" s="1"/>
  <c r="C388" i="12"/>
  <c r="C389" i="12" l="1"/>
  <c r="K388" i="12"/>
  <c r="B388" i="13" s="1"/>
  <c r="C390" i="12" l="1"/>
  <c r="K389" i="12"/>
  <c r="B389" i="13" s="1"/>
  <c r="C391" i="12" l="1"/>
  <c r="K390" i="12"/>
  <c r="B390" i="13" s="1"/>
  <c r="K391" i="12" l="1"/>
  <c r="B391" i="13" s="1"/>
  <c r="C392" i="12"/>
  <c r="C393" i="12" s="1"/>
  <c r="K393" i="12" s="1"/>
  <c r="B393" i="13" l="1"/>
  <c r="L189" i="11"/>
  <c r="K392" i="12"/>
  <c r="C394" i="12"/>
  <c r="L63" i="11" l="1"/>
  <c r="L186" i="11"/>
  <c r="K394" i="12"/>
  <c r="B394" i="13" s="1"/>
  <c r="C395" i="12"/>
  <c r="C396" i="12" s="1"/>
  <c r="K396" i="12" s="1"/>
  <c r="B392" i="13"/>
  <c r="B396" i="13" l="1"/>
  <c r="L192" i="11"/>
  <c r="K395" i="12"/>
  <c r="B395" i="13" s="1"/>
  <c r="C397" i="12"/>
  <c r="K397" i="12" l="1"/>
  <c r="B397" i="13" s="1"/>
  <c r="C398" i="12"/>
  <c r="C399" i="12" s="1"/>
  <c r="K399" i="12" s="1"/>
  <c r="B399" i="13" l="1"/>
  <c r="L195" i="11"/>
  <c r="K398" i="12"/>
  <c r="B398" i="13" s="1"/>
  <c r="C400" i="12"/>
  <c r="C401" i="12" l="1"/>
  <c r="K400" i="12"/>
  <c r="B400" i="13" s="1"/>
  <c r="K401" i="12" l="1"/>
  <c r="B401" i="13" s="1"/>
  <c r="C402" i="12"/>
  <c r="K402" i="12" l="1"/>
  <c r="B402" i="13" s="1"/>
  <c r="C403" i="12"/>
  <c r="K403" i="12" l="1"/>
  <c r="B403" i="13" s="1"/>
  <c r="C404" i="12"/>
  <c r="K404" i="12" l="1"/>
  <c r="B404" i="13" s="1"/>
  <c r="C405" i="12"/>
  <c r="C406" i="12" s="1"/>
  <c r="K406" i="12" l="1"/>
  <c r="B406" i="13" s="1"/>
  <c r="C407" i="12"/>
  <c r="K405" i="12"/>
  <c r="B405" i="13" s="1"/>
  <c r="K407" i="12" l="1"/>
  <c r="B407" i="13" s="1"/>
  <c r="C408" i="12"/>
  <c r="K408" i="12" s="1"/>
  <c r="B408" i="13" l="1"/>
  <c r="L198" i="11"/>
  <c r="C409" i="12"/>
  <c r="K409" i="12" s="1"/>
  <c r="B409" i="13" s="1"/>
  <c r="C410" i="12" l="1"/>
  <c r="K410" i="12" s="1"/>
  <c r="B410" i="13" s="1"/>
  <c r="C411" i="12" l="1"/>
  <c r="K411" i="12" l="1"/>
  <c r="B411" i="13" s="1"/>
  <c r="C412" i="12"/>
  <c r="K412" i="12" l="1"/>
  <c r="B412" i="13" s="1"/>
  <c r="C413" i="12"/>
  <c r="C414" i="12" l="1"/>
  <c r="K413" i="12"/>
  <c r="B413" i="13" s="1"/>
  <c r="K414" i="12" l="1"/>
  <c r="C415" i="12"/>
  <c r="B414" i="13" l="1"/>
  <c r="L201" i="11"/>
  <c r="C416" i="12"/>
  <c r="K415" i="12"/>
  <c r="B415" i="13" s="1"/>
  <c r="K416" i="12" l="1"/>
  <c r="B416" i="13" s="1"/>
  <c r="C417" i="12"/>
  <c r="K417" i="12" l="1"/>
  <c r="B417" i="13" s="1"/>
  <c r="C418" i="12"/>
  <c r="K418" i="12" l="1"/>
  <c r="L204" i="11" s="1"/>
  <c r="C419" i="12"/>
  <c r="C420" i="12" l="1"/>
  <c r="K419" i="12"/>
  <c r="L66" i="11"/>
  <c r="B418" i="13"/>
  <c r="B419" i="13" l="1"/>
  <c r="L207" i="11"/>
  <c r="K420" i="12"/>
  <c r="B420" i="13" s="1"/>
  <c r="C421" i="12"/>
  <c r="K421" i="12" l="1"/>
  <c r="B421" i="13" s="1"/>
  <c r="C422" i="12"/>
  <c r="K422" i="12" l="1"/>
  <c r="B422" i="13" s="1"/>
  <c r="C423" i="12"/>
  <c r="K423" i="12" l="1"/>
  <c r="B423" i="13" s="1"/>
  <c r="C424" i="12"/>
  <c r="C425" i="12" l="1"/>
  <c r="K424" i="12"/>
  <c r="B424" i="13" l="1"/>
  <c r="L210" i="11"/>
  <c r="C426" i="12"/>
  <c r="K425" i="12"/>
  <c r="B425" i="13" s="1"/>
  <c r="C427" i="12" l="1"/>
  <c r="K426" i="12"/>
  <c r="B426" i="13" s="1"/>
  <c r="K427" i="12" l="1"/>
  <c r="B427" i="13" s="1"/>
  <c r="C428" i="12"/>
  <c r="C429" i="12" l="1"/>
  <c r="K428" i="12"/>
  <c r="B428" i="13" s="1"/>
  <c r="K429" i="12" l="1"/>
  <c r="B429" i="13" s="1"/>
  <c r="C430" i="12"/>
  <c r="K430" i="12" l="1"/>
  <c r="B430" i="13" s="1"/>
  <c r="C431" i="12"/>
  <c r="K431" i="12" l="1"/>
  <c r="B431" i="13" s="1"/>
  <c r="C432" i="12"/>
  <c r="C433" i="12" l="1"/>
  <c r="K432" i="12"/>
  <c r="B432" i="13" s="1"/>
  <c r="C434" i="12" l="1"/>
  <c r="K433" i="12"/>
  <c r="B433" i="13" s="1"/>
  <c r="C435" i="12" l="1"/>
  <c r="K434" i="12"/>
  <c r="B434" i="13" s="1"/>
  <c r="K435" i="12" l="1"/>
  <c r="B435" i="13" s="1"/>
  <c r="C436" i="12"/>
  <c r="K436" i="12" l="1"/>
  <c r="B436" i="13" s="1"/>
  <c r="C437" i="12"/>
  <c r="C438" i="12" l="1"/>
  <c r="K437" i="12"/>
  <c r="B437" i="13" s="1"/>
  <c r="C439" i="12" l="1"/>
  <c r="K438" i="12"/>
  <c r="B438" i="13" s="1"/>
  <c r="C440" i="12" l="1"/>
  <c r="K439" i="12"/>
  <c r="B439" i="13" s="1"/>
  <c r="K440" i="12" l="1"/>
  <c r="C441" i="12"/>
  <c r="B440" i="13" l="1"/>
  <c r="L213" i="11"/>
  <c r="K441" i="12"/>
  <c r="B441" i="13" s="1"/>
  <c r="C442" i="12"/>
  <c r="K442" i="12" l="1"/>
  <c r="B442" i="13" s="1"/>
  <c r="C443" i="12"/>
  <c r="K443" i="12" l="1"/>
  <c r="B443" i="13" s="1"/>
  <c r="C444" i="12"/>
  <c r="C445" i="12" l="1"/>
  <c r="K444" i="12"/>
  <c r="B444" i="13" s="1"/>
  <c r="K445" i="12" l="1"/>
  <c r="B445" i="13" s="1"/>
  <c r="C446" i="12"/>
  <c r="C447" i="12" l="1"/>
  <c r="K446" i="12"/>
  <c r="B446" i="13" s="1"/>
  <c r="K447" i="12" l="1"/>
  <c r="B447" i="13" s="1"/>
  <c r="C448" i="12"/>
  <c r="K448" i="12" l="1"/>
  <c r="B448" i="13" s="1"/>
  <c r="C449" i="12"/>
  <c r="K449" i="12" l="1"/>
  <c r="B449" i="13" s="1"/>
  <c r="C450" i="12"/>
  <c r="C451" i="12" l="1"/>
  <c r="K450" i="12"/>
  <c r="B450" i="13" l="1"/>
  <c r="L216" i="11"/>
  <c r="C452" i="12"/>
  <c r="K451" i="12"/>
  <c r="B451" i="13" s="1"/>
  <c r="C453" i="12" l="1"/>
  <c r="K452" i="12"/>
  <c r="B452" i="13" s="1"/>
  <c r="C454" i="12" l="1"/>
  <c r="K453" i="12"/>
  <c r="B453" i="13" s="1"/>
  <c r="C455" i="12" l="1"/>
  <c r="K454" i="12"/>
  <c r="B454" i="13" s="1"/>
  <c r="K455" i="12" l="1"/>
  <c r="B455" i="13" s="1"/>
  <c r="C456" i="12"/>
  <c r="K456" i="12" l="1"/>
  <c r="B456" i="13" s="1"/>
  <c r="C457" i="12"/>
  <c r="C458" i="12" l="1"/>
  <c r="K457" i="12"/>
  <c r="B457" i="13" s="1"/>
  <c r="K458" i="12" l="1"/>
  <c r="B458" i="13" s="1"/>
  <c r="C459" i="12"/>
  <c r="C460" i="12" l="1"/>
  <c r="K459" i="12"/>
  <c r="B459" i="13" s="1"/>
  <c r="C461" i="12" l="1"/>
  <c r="K460" i="12"/>
  <c r="B460" i="13" l="1"/>
  <c r="L219" i="11"/>
  <c r="C462" i="12"/>
  <c r="K461" i="12"/>
  <c r="B461" i="13" s="1"/>
  <c r="K462" i="12" l="1"/>
  <c r="B462" i="13" s="1"/>
  <c r="C463" i="12"/>
  <c r="K463" i="12" l="1"/>
  <c r="C464" i="12"/>
  <c r="B463" i="13" l="1"/>
  <c r="L222" i="11"/>
  <c r="K464" i="12"/>
  <c r="B464" i="13" s="1"/>
  <c r="C465" i="12"/>
  <c r="K465" i="12" l="1"/>
  <c r="B465" i="13" s="1"/>
  <c r="C466" i="12"/>
  <c r="K466" i="12" l="1"/>
  <c r="B466" i="13" s="1"/>
  <c r="C467" i="12"/>
  <c r="C468" i="12" l="1"/>
  <c r="K467" i="12"/>
  <c r="B467" i="13" s="1"/>
  <c r="C469" i="12" l="1"/>
  <c r="K468" i="12"/>
  <c r="B468" i="13" s="1"/>
  <c r="K469" i="12" l="1"/>
  <c r="B469" i="13" s="1"/>
  <c r="C470" i="12"/>
  <c r="C471" i="12" l="1"/>
  <c r="K470" i="12"/>
  <c r="B470" i="13" s="1"/>
  <c r="K471" i="12" l="1"/>
  <c r="B471" i="13" s="1"/>
  <c r="C472" i="12"/>
  <c r="K472" i="12" l="1"/>
  <c r="B472" i="13" s="1"/>
  <c r="C473" i="12"/>
  <c r="C474" i="12" l="1"/>
  <c r="K473" i="12"/>
  <c r="B473" i="13" s="1"/>
  <c r="C475" i="12" l="1"/>
  <c r="K474" i="12"/>
  <c r="B474" i="13" s="1"/>
  <c r="K475" i="12" l="1"/>
  <c r="B475" i="13" s="1"/>
  <c r="C476" i="12" l="1"/>
  <c r="K476" i="12" l="1"/>
  <c r="B476" i="13" s="1"/>
  <c r="C477" i="12"/>
  <c r="K477" i="12" l="1"/>
  <c r="B477" i="13" s="1"/>
  <c r="C478" i="12"/>
  <c r="L69" i="11"/>
  <c r="C479" i="12" l="1"/>
  <c r="K478" i="12"/>
  <c r="B478" i="13" l="1"/>
  <c r="L225" i="11"/>
  <c r="K479" i="12"/>
  <c r="C480" i="12"/>
  <c r="B479" i="13" l="1"/>
  <c r="L228" i="11"/>
  <c r="K480" i="12"/>
  <c r="B480" i="13" s="1"/>
  <c r="C481" i="12"/>
  <c r="C482" i="12" l="1"/>
  <c r="K481" i="12"/>
  <c r="B481" i="13" s="1"/>
  <c r="K482" i="12" l="1"/>
  <c r="B482" i="13" s="1"/>
  <c r="C483" i="12"/>
  <c r="K483" i="12" l="1"/>
  <c r="B483" i="13" s="1"/>
  <c r="C484" i="12"/>
  <c r="C485" i="12" l="1"/>
  <c r="K484" i="12"/>
  <c r="B484" i="13" s="1"/>
  <c r="C486" i="12" l="1"/>
  <c r="K485" i="12"/>
  <c r="B485" i="13" l="1"/>
  <c r="L231" i="11"/>
  <c r="K486" i="12"/>
  <c r="B486" i="13" s="1"/>
  <c r="C487" i="12"/>
  <c r="C488" i="12" l="1"/>
  <c r="K487" i="12"/>
  <c r="B487" i="13" s="1"/>
  <c r="C489" i="12" l="1"/>
  <c r="K488" i="12"/>
  <c r="B488" i="13" s="1"/>
  <c r="K489" i="12" l="1"/>
  <c r="B489" i="13" s="1"/>
  <c r="C490" i="12"/>
  <c r="L72" i="11"/>
  <c r="C491" i="12" l="1"/>
  <c r="K490" i="12"/>
  <c r="B490" i="13" l="1"/>
  <c r="L234" i="11"/>
  <c r="C492" i="12"/>
  <c r="K491" i="12"/>
  <c r="B491" i="13" l="1"/>
  <c r="L237" i="11"/>
  <c r="C493" i="12"/>
  <c r="K492" i="12"/>
  <c r="B492" i="13" s="1"/>
  <c r="C494" i="12" l="1"/>
  <c r="K493" i="12"/>
  <c r="B493" i="13" s="1"/>
  <c r="C495" i="12" l="1"/>
  <c r="K494" i="12"/>
  <c r="B494" i="13" s="1"/>
  <c r="K495" i="12" l="1"/>
  <c r="B495" i="13" s="1"/>
  <c r="C496" i="12"/>
  <c r="K496" i="12" l="1"/>
  <c r="B496" i="13" s="1"/>
  <c r="C497" i="12"/>
  <c r="C498" i="12" l="1"/>
  <c r="K497" i="12"/>
  <c r="B497" i="13" s="1"/>
  <c r="C499" i="12" l="1"/>
  <c r="K498" i="12"/>
  <c r="B498" i="13" s="1"/>
  <c r="K499" i="12" l="1"/>
  <c r="C500" i="12"/>
  <c r="B499" i="13" l="1"/>
  <c r="L240" i="11"/>
  <c r="C501" i="12"/>
  <c r="K500" i="12"/>
  <c r="B500" i="13" s="1"/>
  <c r="K501" i="12" l="1"/>
  <c r="B501" i="13" s="1"/>
  <c r="C502" i="12"/>
  <c r="K502" i="12" l="1"/>
  <c r="C503" i="12"/>
  <c r="B502" i="13" l="1"/>
  <c r="L243" i="11"/>
  <c r="K503" i="12"/>
  <c r="B503" i="13" s="1"/>
  <c r="C504" i="12"/>
  <c r="C505" i="12" l="1"/>
  <c r="K504" i="12"/>
  <c r="B504" i="13" s="1"/>
  <c r="C506" i="12" l="1"/>
  <c r="K505" i="12"/>
  <c r="B505" i="13" s="1"/>
  <c r="C507" i="12" l="1"/>
  <c r="K506" i="12"/>
  <c r="B506" i="13" l="1"/>
  <c r="L246" i="11"/>
  <c r="K507" i="12"/>
  <c r="B507" i="13" s="1"/>
  <c r="C508" i="12"/>
  <c r="K508" i="12" l="1"/>
  <c r="B508" i="13" s="1"/>
  <c r="C509" i="12"/>
  <c r="C510" i="12" l="1"/>
  <c r="K509" i="12"/>
  <c r="B509" i="13" s="1"/>
  <c r="K510" i="12" l="1"/>
  <c r="B510" i="13" s="1"/>
  <c r="C511" i="12"/>
  <c r="K511" i="12" l="1"/>
  <c r="B511" i="13" s="1"/>
  <c r="C512" i="12"/>
  <c r="K512" i="12" l="1"/>
  <c r="B512" i="13" s="1"/>
  <c r="C513" i="12"/>
  <c r="K513" i="12" l="1"/>
  <c r="C514" i="12"/>
  <c r="B513" i="13" l="1"/>
  <c r="L249" i="11"/>
  <c r="C515" i="12"/>
  <c r="K514" i="12"/>
  <c r="B514" i="13" s="1"/>
  <c r="C516" i="12" l="1"/>
  <c r="K515" i="12"/>
  <c r="B515" i="13" s="1"/>
  <c r="L75" i="11"/>
  <c r="C517" i="12" l="1"/>
  <c r="K516" i="12"/>
  <c r="B516" i="13" l="1"/>
  <c r="L252" i="11"/>
  <c r="K517" i="12"/>
  <c r="B517" i="13" s="1"/>
  <c r="C518" i="12"/>
  <c r="K518" i="12" l="1"/>
  <c r="B518" i="13" s="1"/>
  <c r="C519" i="12"/>
  <c r="L78" i="11"/>
  <c r="C520" i="12" l="1"/>
  <c r="K519" i="12"/>
  <c r="I516" i="12"/>
  <c r="B519" i="13" l="1"/>
  <c r="L255" i="11"/>
  <c r="C521" i="12"/>
  <c r="K520" i="12"/>
  <c r="B520" i="13" s="1"/>
  <c r="C522" i="12" l="1"/>
  <c r="K521" i="12"/>
  <c r="B521" i="13" s="1"/>
  <c r="K522" i="12" l="1"/>
  <c r="B522" i="13" s="1"/>
  <c r="C523" i="12"/>
  <c r="K523" i="12" l="1"/>
  <c r="B523" i="13" s="1"/>
  <c r="C524" i="12"/>
  <c r="C525" i="12" l="1"/>
  <c r="K524" i="12"/>
  <c r="B524" i="13" s="1"/>
  <c r="C526" i="12" l="1"/>
  <c r="K525" i="12"/>
  <c r="B525" i="13" s="1"/>
  <c r="C527" i="12" l="1"/>
  <c r="K526" i="12"/>
  <c r="B526" i="13" s="1"/>
  <c r="K527" i="12" l="1"/>
  <c r="B527" i="13" s="1"/>
  <c r="C528" i="12"/>
  <c r="C529" i="12" l="1"/>
  <c r="K528" i="12"/>
  <c r="B528" i="13" s="1"/>
  <c r="K529" i="12" l="1"/>
  <c r="B529" i="13" s="1"/>
  <c r="C530" i="12"/>
  <c r="C531" i="12" l="1"/>
  <c r="K530" i="12"/>
  <c r="B530" i="13" s="1"/>
  <c r="C532" i="12" l="1"/>
  <c r="K531" i="12"/>
  <c r="B531" i="13" s="1"/>
  <c r="C533" i="12" l="1"/>
  <c r="K532" i="12"/>
  <c r="B532" i="13" s="1"/>
  <c r="C534" i="12" l="1"/>
  <c r="K533" i="12"/>
  <c r="B533" i="13" s="1"/>
  <c r="K534" i="12" l="1"/>
  <c r="B534" i="13" s="1"/>
  <c r="C535" i="12"/>
  <c r="L81" i="11"/>
  <c r="C536" i="12" l="1"/>
  <c r="K535" i="12"/>
  <c r="B535" i="13" l="1"/>
  <c r="L258" i="11"/>
  <c r="C537" i="12"/>
  <c r="K536" i="12"/>
  <c r="B536" i="13" s="1"/>
  <c r="K537" i="12" l="1"/>
  <c r="B537" i="13" s="1"/>
  <c r="C538" i="12"/>
  <c r="C539" i="12" l="1"/>
  <c r="K538" i="12"/>
  <c r="B538" i="13" s="1"/>
  <c r="C540" i="12" l="1"/>
  <c r="K539" i="12"/>
  <c r="B539" i="13" s="1"/>
  <c r="C541" i="12" l="1"/>
  <c r="K540" i="12"/>
  <c r="B540" i="13" s="1"/>
  <c r="C542" i="12" l="1"/>
  <c r="K541" i="12"/>
  <c r="B541" i="13" s="1"/>
  <c r="C543" i="12" l="1"/>
  <c r="K542" i="12"/>
  <c r="B542" i="13" s="1"/>
  <c r="K543" i="12" l="1"/>
  <c r="B543" i="13" s="1"/>
  <c r="C544" i="12"/>
  <c r="C545" i="12" l="1"/>
  <c r="K545" i="12" s="1"/>
  <c r="K544" i="12"/>
  <c r="B544" i="13" s="1"/>
  <c r="L84" i="11"/>
  <c r="B545" i="13" l="1"/>
  <c r="L261" i="11"/>
  <c r="C546" i="12"/>
  <c r="K546" i="12" s="1"/>
  <c r="I108" i="12"/>
  <c r="H108" i="12"/>
  <c r="B546" i="13" l="1"/>
  <c r="L264" i="11"/>
  <c r="C547" i="12"/>
  <c r="C548" i="12" s="1"/>
  <c r="B108" i="12"/>
  <c r="K547" i="12" l="1"/>
  <c r="B547" i="13" s="1"/>
  <c r="K548" i="12"/>
  <c r="B548" i="13" s="1"/>
  <c r="C549" i="12"/>
  <c r="C550" i="12" l="1"/>
  <c r="K549" i="12"/>
  <c r="B549" i="13" s="1"/>
  <c r="H31" i="12"/>
  <c r="B31" i="12" s="1"/>
  <c r="H92" i="12"/>
  <c r="I92" i="12"/>
  <c r="I206" i="12"/>
  <c r="I228" i="12"/>
  <c r="I245" i="12"/>
  <c r="I298" i="12"/>
  <c r="I309" i="12"/>
  <c r="I343" i="12"/>
  <c r="I378" i="12"/>
  <c r="I392" i="12"/>
  <c r="I418" i="12"/>
  <c r="I478" i="12"/>
  <c r="I490" i="12"/>
  <c r="I519" i="12"/>
  <c r="K550" i="12" l="1"/>
  <c r="B550" i="13" s="1"/>
  <c r="C551" i="12"/>
  <c r="B92" i="12"/>
  <c r="K551" i="12" l="1"/>
  <c r="B551" i="13" s="1"/>
  <c r="C552" i="12"/>
  <c r="H128" i="12"/>
  <c r="I128" i="12"/>
  <c r="K552" i="12" l="1"/>
  <c r="C553" i="12"/>
  <c r="B128" i="12"/>
  <c r="B552" i="13" l="1"/>
  <c r="L267" i="11"/>
  <c r="C554" i="12"/>
  <c r="K553" i="12"/>
  <c r="B553" i="13" s="1"/>
  <c r="D23" i="13"/>
  <c r="D22" i="13"/>
  <c r="D21" i="13"/>
  <c r="D20" i="13"/>
  <c r="D476" i="13"/>
  <c r="D475" i="13"/>
  <c r="D146" i="13"/>
  <c r="D132" i="13"/>
  <c r="D297" i="13"/>
  <c r="C555" i="12" l="1"/>
  <c r="K554" i="12"/>
  <c r="B554" i="13" s="1"/>
  <c r="C146" i="13"/>
  <c r="C132" i="13"/>
  <c r="C297" i="13"/>
  <c r="K555" i="12" l="1"/>
  <c r="C556" i="12"/>
  <c r="S297" i="12"/>
  <c r="T297" i="12" s="1"/>
  <c r="B555" i="13" l="1"/>
  <c r="L270" i="11"/>
  <c r="K556" i="12"/>
  <c r="B556" i="13" s="1"/>
  <c r="C557" i="12"/>
  <c r="T296" i="12"/>
  <c r="U296" i="12" l="1"/>
  <c r="K161" i="11"/>
  <c r="N159" i="11" s="1"/>
  <c r="C558" i="12"/>
  <c r="K557" i="12"/>
  <c r="B557" i="13" s="1"/>
  <c r="P161" i="11" l="1"/>
  <c r="Q161" i="11"/>
  <c r="AC161" i="11"/>
  <c r="R161" i="11"/>
  <c r="S161" i="11"/>
  <c r="T161" i="11"/>
  <c r="U161" i="11"/>
  <c r="V161" i="11"/>
  <c r="W161" i="11"/>
  <c r="C559" i="12"/>
  <c r="K558" i="12"/>
  <c r="B558" i="13" s="1"/>
  <c r="C560" i="12" l="1"/>
  <c r="K559" i="12"/>
  <c r="B559" i="13" s="1"/>
  <c r="C561" i="12" l="1"/>
  <c r="K560" i="12"/>
  <c r="B560" i="13" s="1"/>
  <c r="X498" i="12"/>
  <c r="K561" i="12" l="1"/>
  <c r="B561" i="13" s="1"/>
  <c r="C562" i="12"/>
  <c r="D536" i="13"/>
  <c r="D538" i="13"/>
  <c r="D539" i="13"/>
  <c r="D544" i="13"/>
  <c r="D542" i="13"/>
  <c r="D543" i="13"/>
  <c r="C536" i="13"/>
  <c r="C538" i="13"/>
  <c r="C539" i="13"/>
  <c r="C544" i="13"/>
  <c r="C542" i="13"/>
  <c r="C543" i="13"/>
  <c r="D524" i="13"/>
  <c r="D534" i="13"/>
  <c r="D533" i="13"/>
  <c r="D526" i="13"/>
  <c r="C524" i="13"/>
  <c r="C534" i="13"/>
  <c r="C533" i="13"/>
  <c r="C526" i="13"/>
  <c r="D512" i="13"/>
  <c r="D511" i="13"/>
  <c r="C512" i="13"/>
  <c r="C505" i="13"/>
  <c r="C495" i="13"/>
  <c r="C498" i="13"/>
  <c r="C496" i="13"/>
  <c r="C494" i="13"/>
  <c r="C493" i="13"/>
  <c r="C474" i="13"/>
  <c r="C472" i="13"/>
  <c r="C473" i="13"/>
  <c r="C461" i="13"/>
  <c r="C446" i="13"/>
  <c r="C416" i="13"/>
  <c r="D403" i="13"/>
  <c r="D407" i="13"/>
  <c r="D405" i="13"/>
  <c r="D404" i="13"/>
  <c r="C403" i="13"/>
  <c r="C407" i="13"/>
  <c r="C405" i="13"/>
  <c r="C404" i="13"/>
  <c r="C379" i="13"/>
  <c r="D377" i="13"/>
  <c r="D348" i="13"/>
  <c r="C377" i="13"/>
  <c r="C366" i="13"/>
  <c r="C348" i="13"/>
  <c r="C362" i="13"/>
  <c r="C359" i="13"/>
  <c r="C349" i="13"/>
  <c r="C363" i="13"/>
  <c r="C354" i="13"/>
  <c r="C360" i="13"/>
  <c r="C370" i="13"/>
  <c r="C325" i="13"/>
  <c r="C323" i="13"/>
  <c r="C331" i="13"/>
  <c r="C336" i="13"/>
  <c r="C286" i="13"/>
  <c r="C262" i="13"/>
  <c r="C263" i="13"/>
  <c r="C233" i="13"/>
  <c r="D223" i="13"/>
  <c r="D225" i="13"/>
  <c r="D224" i="13"/>
  <c r="C223" i="13"/>
  <c r="C225" i="13"/>
  <c r="C224" i="13"/>
  <c r="C213" i="13"/>
  <c r="C21" i="13"/>
  <c r="C20" i="13"/>
  <c r="C22" i="13"/>
  <c r="C23" i="13"/>
  <c r="K562" i="12" l="1"/>
  <c r="B562" i="13" s="1"/>
  <c r="C563" i="12"/>
  <c r="S542" i="12"/>
  <c r="T542" i="12" s="1"/>
  <c r="S544" i="12"/>
  <c r="D541" i="13"/>
  <c r="D540" i="13"/>
  <c r="S536" i="12"/>
  <c r="T536" i="12" s="1"/>
  <c r="S533" i="12"/>
  <c r="T533" i="12" s="1"/>
  <c r="S524" i="12"/>
  <c r="T524" i="12" s="1"/>
  <c r="S526" i="12"/>
  <c r="T526" i="12" s="1"/>
  <c r="S534" i="12"/>
  <c r="T534" i="12" s="1"/>
  <c r="S512" i="12"/>
  <c r="T512" i="12" s="1"/>
  <c r="C511" i="13"/>
  <c r="S493" i="12"/>
  <c r="T493" i="12" s="1"/>
  <c r="S496" i="12"/>
  <c r="T496" i="12" s="1"/>
  <c r="S498" i="12"/>
  <c r="T498" i="12" s="1"/>
  <c r="U498" i="12" s="1"/>
  <c r="S495" i="12"/>
  <c r="T495" i="12" s="1"/>
  <c r="S494" i="12"/>
  <c r="T494" i="12" s="1"/>
  <c r="S470" i="12"/>
  <c r="T470" i="12" s="1"/>
  <c r="S405" i="12"/>
  <c r="T405" i="12" s="1"/>
  <c r="S407" i="12"/>
  <c r="T407" i="12" s="1"/>
  <c r="S404" i="12"/>
  <c r="T404" i="12" s="1"/>
  <c r="C199" i="13"/>
  <c r="C197" i="13"/>
  <c r="C196" i="13"/>
  <c r="C198" i="13"/>
  <c r="C200" i="13"/>
  <c r="S286" i="12"/>
  <c r="T286" i="12" s="1"/>
  <c r="D157" i="13"/>
  <c r="S164" i="12"/>
  <c r="T164" i="12" s="1"/>
  <c r="S168" i="12"/>
  <c r="T168" i="12" s="1"/>
  <c r="S185" i="12"/>
  <c r="T185" i="12" s="1"/>
  <c r="D213" i="13"/>
  <c r="S188" i="12"/>
  <c r="T188" i="12" s="1"/>
  <c r="D164" i="13"/>
  <c r="S362" i="12"/>
  <c r="T362" i="12" s="1"/>
  <c r="D446" i="13"/>
  <c r="D185" i="13"/>
  <c r="S213" i="12"/>
  <c r="T213" i="12" s="1"/>
  <c r="S461" i="12"/>
  <c r="T461" i="12" s="1"/>
  <c r="D188" i="13"/>
  <c r="D141" i="13"/>
  <c r="D362" i="13"/>
  <c r="S446" i="12"/>
  <c r="T446" i="12" s="1"/>
  <c r="D176" i="13"/>
  <c r="D461" i="13"/>
  <c r="D286" i="13"/>
  <c r="S157" i="12"/>
  <c r="T157" i="12" s="1"/>
  <c r="S141" i="12"/>
  <c r="T141" i="12" s="1"/>
  <c r="S176" i="12"/>
  <c r="T176" i="12" s="1"/>
  <c r="D363" i="13"/>
  <c r="D416" i="13"/>
  <c r="D472" i="13"/>
  <c r="D371" i="13"/>
  <c r="D162" i="13"/>
  <c r="S436" i="12"/>
  <c r="T436" i="12" s="1"/>
  <c r="D231" i="13"/>
  <c r="D137" i="13"/>
  <c r="S152" i="12"/>
  <c r="T152" i="12" s="1"/>
  <c r="C372" i="13"/>
  <c r="S262" i="12"/>
  <c r="T262" i="12" s="1"/>
  <c r="D323" i="13"/>
  <c r="D375" i="13"/>
  <c r="D325" i="13"/>
  <c r="S177" i="12"/>
  <c r="T177" i="12" s="1"/>
  <c r="D196" i="13"/>
  <c r="S138" i="12"/>
  <c r="T138" i="12" s="1"/>
  <c r="S383" i="12"/>
  <c r="T383" i="12" s="1"/>
  <c r="S173" i="12"/>
  <c r="T173" i="12" s="1"/>
  <c r="S202" i="12"/>
  <c r="T202" i="12" s="1"/>
  <c r="D197" i="13"/>
  <c r="S170" i="12"/>
  <c r="T170" i="12" s="1"/>
  <c r="T169" i="12" s="1"/>
  <c r="S174" i="12"/>
  <c r="T174" i="12" s="1"/>
  <c r="S214" i="12"/>
  <c r="T214" i="12" s="1"/>
  <c r="S416" i="12"/>
  <c r="T416" i="12" s="1"/>
  <c r="S370" i="12"/>
  <c r="T370" i="12" s="1"/>
  <c r="S162" i="12"/>
  <c r="T162" i="12" s="1"/>
  <c r="D436" i="13"/>
  <c r="S331" i="12"/>
  <c r="T331" i="12" s="1"/>
  <c r="D372" i="13"/>
  <c r="S323" i="12"/>
  <c r="T323" i="12" s="1"/>
  <c r="S375" i="12"/>
  <c r="T375" i="12" s="1"/>
  <c r="S359" i="12"/>
  <c r="T359" i="12" s="1"/>
  <c r="S196" i="12"/>
  <c r="T196" i="12" s="1"/>
  <c r="D208" i="13"/>
  <c r="D138" i="13"/>
  <c r="D173" i="13"/>
  <c r="D160" i="13"/>
  <c r="S197" i="12"/>
  <c r="T197" i="12" s="1"/>
  <c r="D234" i="13"/>
  <c r="D161" i="13"/>
  <c r="C214" i="13"/>
  <c r="C470" i="13"/>
  <c r="D370" i="13"/>
  <c r="S349" i="12"/>
  <c r="T349" i="12" s="1"/>
  <c r="S371" i="12"/>
  <c r="T371" i="12" s="1"/>
  <c r="S231" i="12"/>
  <c r="T231" i="12" s="1"/>
  <c r="D331" i="13"/>
  <c r="D474" i="13"/>
  <c r="S511" i="12"/>
  <c r="T511" i="12" s="1"/>
  <c r="S372" i="12"/>
  <c r="T372" i="12" s="1"/>
  <c r="S354" i="12"/>
  <c r="T354" i="12" s="1"/>
  <c r="C375" i="13"/>
  <c r="S175" i="12"/>
  <c r="T175" i="12" s="1"/>
  <c r="D200" i="13"/>
  <c r="D199" i="13"/>
  <c r="S208" i="12"/>
  <c r="T208" i="12" s="1"/>
  <c r="C383" i="13"/>
  <c r="D202" i="13"/>
  <c r="S160" i="12"/>
  <c r="T160" i="12" s="1"/>
  <c r="S155" i="12"/>
  <c r="T155" i="12" s="1"/>
  <c r="D198" i="13"/>
  <c r="D438" i="13"/>
  <c r="S172" i="12"/>
  <c r="T172" i="12" s="1"/>
  <c r="S363" i="12"/>
  <c r="T363" i="12" s="1"/>
  <c r="D214" i="13"/>
  <c r="D470" i="13"/>
  <c r="S472" i="12"/>
  <c r="T472" i="12" s="1"/>
  <c r="D349" i="13"/>
  <c r="C371" i="13"/>
  <c r="S137" i="12"/>
  <c r="T137" i="12" s="1"/>
  <c r="S474" i="12"/>
  <c r="T474" i="12" s="1"/>
  <c r="D152" i="13"/>
  <c r="D262" i="13"/>
  <c r="D354" i="13"/>
  <c r="S325" i="12"/>
  <c r="T325" i="12" s="1"/>
  <c r="S200" i="12"/>
  <c r="T200" i="12" s="1"/>
  <c r="D177" i="13"/>
  <c r="S199" i="12"/>
  <c r="T199" i="12" s="1"/>
  <c r="C208" i="13"/>
  <c r="D383" i="13"/>
  <c r="C202" i="13"/>
  <c r="D155" i="13"/>
  <c r="S198" i="12"/>
  <c r="T198" i="12" s="1"/>
  <c r="S438" i="12"/>
  <c r="T438" i="12" s="1"/>
  <c r="D172" i="13"/>
  <c r="S234" i="12"/>
  <c r="T234" i="12" s="1"/>
  <c r="S136" i="12"/>
  <c r="T136" i="12" s="1"/>
  <c r="S140" i="12"/>
  <c r="T140" i="12" s="1"/>
  <c r="S167" i="12"/>
  <c r="T167" i="12" s="1"/>
  <c r="S366" i="12"/>
  <c r="T366" i="12" s="1"/>
  <c r="S473" i="12"/>
  <c r="T473" i="12" s="1"/>
  <c r="S183" i="12"/>
  <c r="T183" i="12" s="1"/>
  <c r="S233" i="12"/>
  <c r="T233" i="12" s="1"/>
  <c r="D391" i="13"/>
  <c r="S374" i="12"/>
  <c r="T374" i="12" s="1"/>
  <c r="D149" i="13"/>
  <c r="S382" i="12"/>
  <c r="T382" i="12" s="1"/>
  <c r="S165" i="12"/>
  <c r="T165" i="12" s="1"/>
  <c r="S187" i="12"/>
  <c r="T187" i="12" s="1"/>
  <c r="D142" i="13"/>
  <c r="D360" i="13"/>
  <c r="D336" i="13"/>
  <c r="D218" i="13"/>
  <c r="S159" i="12"/>
  <c r="T159" i="12" s="1"/>
  <c r="D263" i="13"/>
  <c r="D151" i="13"/>
  <c r="D182" i="13"/>
  <c r="D439" i="13"/>
  <c r="C504" i="13"/>
  <c r="D140" i="13"/>
  <c r="D366" i="13"/>
  <c r="D183" i="13"/>
  <c r="D233" i="13"/>
  <c r="C391" i="13"/>
  <c r="S148" i="12"/>
  <c r="T148" i="12" s="1"/>
  <c r="S149" i="12"/>
  <c r="T149" i="12" s="1"/>
  <c r="C382" i="13"/>
  <c r="D187" i="13"/>
  <c r="S360" i="12"/>
  <c r="T360" i="12" s="1"/>
  <c r="C376" i="13"/>
  <c r="S263" i="12"/>
  <c r="T263" i="12" s="1"/>
  <c r="S151" i="12"/>
  <c r="T151" i="12" s="1"/>
  <c r="S439" i="12"/>
  <c r="T439" i="12" s="1"/>
  <c r="S504" i="12"/>
  <c r="T504" i="12" s="1"/>
  <c r="D178" i="13"/>
  <c r="S161" i="12"/>
  <c r="T161" i="12" s="1"/>
  <c r="D163" i="13"/>
  <c r="S154" i="12"/>
  <c r="T154" i="12" s="1"/>
  <c r="S505" i="12"/>
  <c r="T505" i="12" s="1"/>
  <c r="D156" i="13"/>
  <c r="D139" i="13"/>
  <c r="S391" i="12"/>
  <c r="T391" i="12" s="1"/>
  <c r="D374" i="13"/>
  <c r="S158" i="12"/>
  <c r="T158" i="12" s="1"/>
  <c r="D150" i="13"/>
  <c r="S166" i="12"/>
  <c r="T166" i="12" s="1"/>
  <c r="C218" i="13"/>
  <c r="D376" i="13"/>
  <c r="S184" i="12"/>
  <c r="T184" i="12" s="1"/>
  <c r="S437" i="12"/>
  <c r="T437" i="12" s="1"/>
  <c r="D504" i="13"/>
  <c r="S178" i="12"/>
  <c r="T178" i="12" s="1"/>
  <c r="S163" i="12"/>
  <c r="T163" i="12" s="1"/>
  <c r="D167" i="13"/>
  <c r="S180" i="12"/>
  <c r="T180" i="12" s="1"/>
  <c r="D473" i="13"/>
  <c r="S156" i="12"/>
  <c r="T156" i="12" s="1"/>
  <c r="S139" i="12"/>
  <c r="T139" i="12" s="1"/>
  <c r="C374" i="13"/>
  <c r="D158" i="13"/>
  <c r="S150" i="12"/>
  <c r="T150" i="12" s="1"/>
  <c r="D166" i="13"/>
  <c r="D382" i="13"/>
  <c r="D165" i="13"/>
  <c r="S142" i="12"/>
  <c r="T142" i="12" s="1"/>
  <c r="S336" i="12"/>
  <c r="T336" i="12" s="1"/>
  <c r="S218" i="12"/>
  <c r="T218" i="12" s="1"/>
  <c r="S376" i="12"/>
  <c r="T376" i="12" s="1"/>
  <c r="D159" i="13"/>
  <c r="D184" i="13"/>
  <c r="S182" i="12"/>
  <c r="T182" i="12" s="1"/>
  <c r="D437" i="13"/>
  <c r="C231" i="13"/>
  <c r="D180" i="13"/>
  <c r="C234" i="13"/>
  <c r="D154" i="13"/>
  <c r="D379" i="13"/>
  <c r="D359" i="13"/>
  <c r="D175" i="13"/>
  <c r="D174" i="13"/>
  <c r="D148" i="13"/>
  <c r="D168" i="13"/>
  <c r="D136" i="13"/>
  <c r="D505" i="13"/>
  <c r="U169" i="12" l="1"/>
  <c r="K107" i="11"/>
  <c r="N105" i="11" s="1"/>
  <c r="K563" i="12"/>
  <c r="B563" i="13" s="1"/>
  <c r="C564" i="12"/>
  <c r="T171" i="12"/>
  <c r="T135" i="12"/>
  <c r="T153" i="12"/>
  <c r="T147" i="12"/>
  <c r="U135" i="12" l="1"/>
  <c r="K95" i="11"/>
  <c r="N93" i="11" s="1"/>
  <c r="U147" i="12"/>
  <c r="K101" i="11"/>
  <c r="N99" i="11" s="1"/>
  <c r="U153" i="12"/>
  <c r="K104" i="11"/>
  <c r="N102" i="11" s="1"/>
  <c r="P107" i="11"/>
  <c r="AC107" i="11"/>
  <c r="Q107" i="11"/>
  <c r="S107" i="11"/>
  <c r="R107" i="11"/>
  <c r="T107" i="11"/>
  <c r="U107" i="11"/>
  <c r="V107" i="11"/>
  <c r="W107" i="11"/>
  <c r="U171" i="12"/>
  <c r="K110" i="11"/>
  <c r="N108" i="11" s="1"/>
  <c r="C565" i="12"/>
  <c r="K564" i="12"/>
  <c r="B564" i="13" s="1"/>
  <c r="P101" i="11" l="1"/>
  <c r="AC101" i="11"/>
  <c r="R101" i="11"/>
  <c r="Q101" i="11"/>
  <c r="S101" i="11"/>
  <c r="T101" i="11"/>
  <c r="U101" i="11"/>
  <c r="V101" i="11"/>
  <c r="W101" i="11"/>
  <c r="P104" i="11"/>
  <c r="AC104" i="11"/>
  <c r="Q104" i="11"/>
  <c r="R104" i="11"/>
  <c r="S104" i="11"/>
  <c r="T104" i="11"/>
  <c r="U104" i="11"/>
  <c r="V104" i="11"/>
  <c r="W104" i="11"/>
  <c r="AC95" i="11"/>
  <c r="P95" i="11"/>
  <c r="R95" i="11"/>
  <c r="Q95" i="11"/>
  <c r="S95" i="11"/>
  <c r="T95" i="11"/>
  <c r="U95" i="11"/>
  <c r="V95" i="11"/>
  <c r="W95" i="11"/>
  <c r="AC110" i="11"/>
  <c r="Q110" i="11"/>
  <c r="P110" i="11"/>
  <c r="S110" i="11"/>
  <c r="T110" i="11"/>
  <c r="R110" i="11"/>
  <c r="U110" i="11"/>
  <c r="V110" i="11"/>
  <c r="W110" i="11"/>
  <c r="K565" i="12"/>
  <c r="B565" i="13" s="1"/>
  <c r="C566" i="12"/>
  <c r="K566" i="12" l="1"/>
  <c r="B566" i="13" s="1"/>
  <c r="C567" i="12"/>
  <c r="D477" i="13"/>
  <c r="C477" i="13"/>
  <c r="C471" i="13"/>
  <c r="D471" i="13"/>
  <c r="C475" i="13"/>
  <c r="C476" i="13"/>
  <c r="X17" i="12"/>
  <c r="X18" i="12"/>
  <c r="X406" i="12"/>
  <c r="X225" i="12"/>
  <c r="X344" i="12"/>
  <c r="X346" i="12"/>
  <c r="X90" i="12"/>
  <c r="X360" i="12"/>
  <c r="X255" i="12"/>
  <c r="X288" i="12"/>
  <c r="X160" i="12"/>
  <c r="X230" i="12"/>
  <c r="X455" i="12"/>
  <c r="X530" i="12"/>
  <c r="X16" i="12"/>
  <c r="X64" i="12"/>
  <c r="X497" i="12"/>
  <c r="X165" i="12"/>
  <c r="X328" i="12"/>
  <c r="X184" i="12"/>
  <c r="X22" i="12"/>
  <c r="X300" i="12"/>
  <c r="X390" i="12"/>
  <c r="X101" i="12"/>
  <c r="X157" i="12"/>
  <c r="X369" i="12"/>
  <c r="X493" i="12"/>
  <c r="X195" i="12"/>
  <c r="X137" i="12"/>
  <c r="X250" i="12"/>
  <c r="X260" i="12"/>
  <c r="X358" i="12"/>
  <c r="X323" i="12"/>
  <c r="X209" i="12"/>
  <c r="X495" i="12"/>
  <c r="X23" i="12"/>
  <c r="X508" i="12"/>
  <c r="X183" i="12"/>
  <c r="X59" i="12"/>
  <c r="X37" i="12"/>
  <c r="X55" i="12"/>
  <c r="X473" i="12"/>
  <c r="X232" i="12"/>
  <c r="X526" i="12"/>
  <c r="X107" i="12"/>
  <c r="X441" i="12"/>
  <c r="X110" i="12"/>
  <c r="X158" i="12"/>
  <c r="X208" i="12"/>
  <c r="X512" i="12"/>
  <c r="X355" i="12"/>
  <c r="X366" i="12"/>
  <c r="X111" i="12"/>
  <c r="X167" i="12"/>
  <c r="X439" i="12"/>
  <c r="X337" i="12"/>
  <c r="X36" i="12"/>
  <c r="X429" i="12"/>
  <c r="X65" i="12"/>
  <c r="X217" i="12"/>
  <c r="X457" i="12"/>
  <c r="X282" i="12"/>
  <c r="X353" i="12"/>
  <c r="X272" i="12"/>
  <c r="X261" i="12"/>
  <c r="X471" i="12"/>
  <c r="X311" i="12"/>
  <c r="X304" i="12"/>
  <c r="X492" i="12"/>
  <c r="X449" i="12"/>
  <c r="X205" i="12"/>
  <c r="X164" i="12"/>
  <c r="X227" i="12"/>
  <c r="X156" i="12"/>
  <c r="X541" i="12"/>
  <c r="X442" i="12"/>
  <c r="X20" i="12"/>
  <c r="X198" i="12"/>
  <c r="X470" i="12"/>
  <c r="X187" i="12"/>
  <c r="X420" i="12"/>
  <c r="X444" i="12"/>
  <c r="X182" i="12"/>
  <c r="X432" i="12"/>
  <c r="X388" i="12"/>
  <c r="X474" i="12"/>
  <c r="X511" i="12"/>
  <c r="X28" i="12"/>
  <c r="X464" i="12"/>
  <c r="X504" i="12"/>
  <c r="X347" i="12"/>
  <c r="X446" i="12"/>
  <c r="X313" i="12"/>
  <c r="X163" i="12"/>
  <c r="X364" i="12"/>
  <c r="X89" i="12"/>
  <c r="X536" i="12"/>
  <c r="X405" i="12"/>
  <c r="X538" i="12"/>
  <c r="X162" i="12"/>
  <c r="X140" i="12"/>
  <c r="X467" i="12"/>
  <c r="X154" i="12"/>
  <c r="X277" i="12"/>
  <c r="X73" i="12"/>
  <c r="X56" i="12"/>
  <c r="X133" i="12"/>
  <c r="X273" i="12"/>
  <c r="X124" i="12"/>
  <c r="X437" i="12"/>
  <c r="X144" i="12"/>
  <c r="X212" i="12"/>
  <c r="X274" i="12"/>
  <c r="X427" i="12"/>
  <c r="X354" i="12"/>
  <c r="X356" i="12"/>
  <c r="X176" i="12"/>
  <c r="X197" i="12"/>
  <c r="X430" i="12"/>
  <c r="X348" i="12"/>
  <c r="X447" i="12"/>
  <c r="X145" i="12"/>
  <c r="X214" i="12"/>
  <c r="X204" i="12"/>
  <c r="X386" i="12"/>
  <c r="X82" i="12"/>
  <c r="X60" i="12"/>
  <c r="X507" i="12"/>
  <c r="X270" i="12"/>
  <c r="X252" i="12"/>
  <c r="X381" i="12"/>
  <c r="X136" i="12"/>
  <c r="X241" i="12"/>
  <c r="X237" i="12"/>
  <c r="X481" i="12"/>
  <c r="X177" i="12"/>
  <c r="X342" i="12"/>
  <c r="X161" i="12"/>
  <c r="X302" i="12"/>
  <c r="X50" i="12"/>
  <c r="X155" i="12"/>
  <c r="X338" i="12"/>
  <c r="X365" i="12"/>
  <c r="X196" i="12"/>
  <c r="X443" i="12"/>
  <c r="X400" i="12"/>
  <c r="X459" i="12"/>
  <c r="X125" i="12"/>
  <c r="X501" i="12"/>
  <c r="X219" i="12"/>
  <c r="X534" i="12"/>
  <c r="X350" i="12"/>
  <c r="X235" i="12"/>
  <c r="X54" i="12"/>
  <c r="X84" i="12"/>
  <c r="X159" i="12"/>
  <c r="X448" i="12"/>
  <c r="X221" i="12"/>
  <c r="X602" i="12"/>
  <c r="X192" i="12"/>
  <c r="X317" i="12"/>
  <c r="X315" i="12"/>
  <c r="X295" i="12"/>
  <c r="X226" i="12"/>
  <c r="X325" i="12"/>
  <c r="X41" i="12"/>
  <c r="X294" i="12"/>
  <c r="X398" i="12"/>
  <c r="X88" i="12"/>
  <c r="X331" i="12"/>
  <c r="X248" i="12"/>
  <c r="X297" i="12"/>
  <c r="X201" i="12"/>
  <c r="X38" i="12"/>
  <c r="X322" i="12"/>
  <c r="X66" i="12"/>
  <c r="X47" i="12"/>
  <c r="X257" i="12"/>
  <c r="X375" i="12"/>
  <c r="X514" i="12"/>
  <c r="X152" i="12"/>
  <c r="X275" i="12"/>
  <c r="X520" i="12"/>
  <c r="X357" i="12"/>
  <c r="X397" i="12"/>
  <c r="X83" i="12"/>
  <c r="X475" i="12"/>
  <c r="X367" i="12"/>
  <c r="X462" i="12"/>
  <c r="X488" i="12"/>
  <c r="X451" i="12"/>
  <c r="X528" i="12"/>
  <c r="X105" i="12"/>
  <c r="X117" i="12"/>
  <c r="X193" i="12"/>
  <c r="X329" i="12"/>
  <c r="X523" i="12"/>
  <c r="X115" i="12"/>
  <c r="X188" i="12"/>
  <c r="X482" i="12"/>
  <c r="X29" i="12"/>
  <c r="X34" i="12"/>
  <c r="X43" i="12"/>
  <c r="X510" i="12"/>
  <c r="X411" i="12"/>
  <c r="X503" i="12"/>
  <c r="X202" i="12"/>
  <c r="X266" i="12"/>
  <c r="X259" i="12"/>
  <c r="X223" i="12"/>
  <c r="X180" i="12"/>
  <c r="X391" i="12"/>
  <c r="X469" i="12"/>
  <c r="X539" i="12"/>
  <c r="X72" i="12"/>
  <c r="X292" i="12"/>
  <c r="X318" i="12"/>
  <c r="X141" i="12"/>
  <c r="X291" i="12"/>
  <c r="X401" i="12"/>
  <c r="X21" i="12"/>
  <c r="X370" i="12"/>
  <c r="X234" i="12"/>
  <c r="X314" i="12"/>
  <c r="X431" i="12"/>
  <c r="X363" i="12"/>
  <c r="X70" i="12"/>
  <c r="X81" i="12"/>
  <c r="X30" i="12"/>
  <c r="X48" i="12"/>
  <c r="X231" i="12"/>
  <c r="X258" i="12"/>
  <c r="X142" i="12"/>
  <c r="X222" i="12"/>
  <c r="X170" i="12"/>
  <c r="X374" i="12"/>
  <c r="X321" i="12"/>
  <c r="X529" i="12"/>
  <c r="X247" i="12"/>
  <c r="X332" i="12"/>
  <c r="X335" i="12"/>
  <c r="X75" i="12"/>
  <c r="X166" i="12"/>
  <c r="X417" i="12"/>
  <c r="X178" i="12"/>
  <c r="X412" i="12"/>
  <c r="X307" i="12"/>
  <c r="X287" i="12"/>
  <c r="X410" i="12"/>
  <c r="X422" i="12"/>
  <c r="X433" i="12"/>
  <c r="X76" i="12"/>
  <c r="X537" i="12"/>
  <c r="X527" i="12"/>
  <c r="X423" i="12"/>
  <c r="X409" i="12"/>
  <c r="X425" i="12"/>
  <c r="X216" i="12"/>
  <c r="X45" i="12"/>
  <c r="X416" i="12"/>
  <c r="X351" i="12"/>
  <c r="X402" i="12"/>
  <c r="X185" i="12"/>
  <c r="X238" i="12"/>
  <c r="X484" i="12"/>
  <c r="X316" i="12"/>
  <c r="X14" i="12"/>
  <c r="X465" i="12"/>
  <c r="X53" i="12"/>
  <c r="X69" i="12"/>
  <c r="X373" i="12"/>
  <c r="X263" i="12"/>
  <c r="X382" i="12"/>
  <c r="X32" i="12"/>
  <c r="X51" i="12"/>
  <c r="X123" i="12"/>
  <c r="X91" i="12"/>
  <c r="X458" i="12"/>
  <c r="X276" i="12"/>
  <c r="X279" i="12"/>
  <c r="X544" i="12"/>
  <c r="X286" i="12"/>
  <c r="X542" i="12"/>
  <c r="X521" i="12"/>
  <c r="X515" i="12"/>
  <c r="X453" i="12"/>
  <c r="X377" i="12"/>
  <c r="X127" i="12"/>
  <c r="X489" i="12"/>
  <c r="X251" i="12"/>
  <c r="X505" i="12"/>
  <c r="X52" i="12"/>
  <c r="X341" i="12"/>
  <c r="X434" i="12"/>
  <c r="X333" i="12"/>
  <c r="X480" i="12"/>
  <c r="X249" i="12"/>
  <c r="X518" i="12"/>
  <c r="X146" i="12"/>
  <c r="X466" i="12"/>
  <c r="X403" i="12"/>
  <c r="X368" i="12"/>
  <c r="X476" i="12"/>
  <c r="X543" i="12"/>
  <c r="X320" i="12"/>
  <c r="X359" i="12"/>
  <c r="X113" i="12"/>
  <c r="X394" i="12"/>
  <c r="X151" i="12"/>
  <c r="X532" i="12"/>
  <c r="X27" i="12"/>
  <c r="X224" i="12"/>
  <c r="X244" i="12"/>
  <c r="X233" i="12"/>
  <c r="X540" i="12"/>
  <c r="X218" i="12"/>
  <c r="X33" i="12"/>
  <c r="X349" i="12"/>
  <c r="X334" i="12"/>
  <c r="X413" i="12"/>
  <c r="X138" i="12"/>
  <c r="X126" i="12"/>
  <c r="X305" i="12"/>
  <c r="X362" i="12"/>
  <c r="X67" i="12"/>
  <c r="X200" i="12"/>
  <c r="X428" i="12"/>
  <c r="X149" i="12"/>
  <c r="X26" i="12"/>
  <c r="X601" i="12"/>
  <c r="X454" i="12"/>
  <c r="X339" i="12"/>
  <c r="X271" i="12"/>
  <c r="X118" i="12"/>
  <c r="X262" i="12"/>
  <c r="X77" i="12"/>
  <c r="X103" i="12"/>
  <c r="X395" i="12"/>
  <c r="X280" i="12"/>
  <c r="X15" i="12"/>
  <c r="X256" i="12"/>
  <c r="X326" i="12"/>
  <c r="X477" i="12"/>
  <c r="X486" i="12"/>
  <c r="X97" i="12"/>
  <c r="X93" i="12"/>
  <c r="X268" i="12"/>
  <c r="X85" i="12"/>
  <c r="X148" i="12"/>
  <c r="X384" i="12"/>
  <c r="X62" i="12"/>
  <c r="X173" i="12"/>
  <c r="X284" i="12"/>
  <c r="X376" i="12"/>
  <c r="X496" i="12"/>
  <c r="X96" i="12"/>
  <c r="X312" i="12"/>
  <c r="X379" i="12"/>
  <c r="X87" i="12"/>
  <c r="X131" i="12"/>
  <c r="X132" i="12"/>
  <c r="X301" i="12"/>
  <c r="X531" i="12"/>
  <c r="X336" i="12"/>
  <c r="X181" i="12"/>
  <c r="X324" i="12"/>
  <c r="X436" i="12"/>
  <c r="X285" i="12"/>
  <c r="X438" i="12"/>
  <c r="X102" i="12"/>
  <c r="X199" i="12"/>
  <c r="X308" i="12"/>
  <c r="X172" i="12"/>
  <c r="X19" i="12"/>
  <c r="X533" i="12"/>
  <c r="X254" i="12"/>
  <c r="X426" i="12"/>
  <c r="X421" i="12"/>
  <c r="X290" i="12"/>
  <c r="X100" i="12"/>
  <c r="X121" i="12"/>
  <c r="X213" i="12"/>
  <c r="X404" i="12"/>
  <c r="X380" i="12"/>
  <c r="X385" i="12"/>
  <c r="X487" i="12"/>
  <c r="X509" i="12"/>
  <c r="X116" i="12"/>
  <c r="X175" i="12"/>
  <c r="X472" i="12"/>
  <c r="X211" i="12"/>
  <c r="X267" i="12"/>
  <c r="X71" i="12"/>
  <c r="X150" i="12"/>
  <c r="X46" i="12"/>
  <c r="X283" i="12"/>
  <c r="X281" i="12"/>
  <c r="X383" i="12"/>
  <c r="X500" i="12"/>
  <c r="X129" i="12"/>
  <c r="X293" i="12"/>
  <c r="X456" i="12"/>
  <c r="X174" i="12"/>
  <c r="X57" i="12"/>
  <c r="X44" i="12"/>
  <c r="X319" i="12"/>
  <c r="X243" i="12"/>
  <c r="X387" i="12"/>
  <c r="X61" i="12"/>
  <c r="X278" i="12"/>
  <c r="X345" i="12"/>
  <c r="X461" i="12"/>
  <c r="X303" i="12"/>
  <c r="X494" i="12"/>
  <c r="X372" i="12"/>
  <c r="X468" i="12"/>
  <c r="X78" i="12"/>
  <c r="X407" i="12"/>
  <c r="X415" i="12"/>
  <c r="X330" i="12"/>
  <c r="X269" i="12"/>
  <c r="X63" i="12"/>
  <c r="X389" i="12"/>
  <c r="X517" i="12"/>
  <c r="X42" i="12"/>
  <c r="X522" i="12"/>
  <c r="X525" i="12"/>
  <c r="X139" i="12"/>
  <c r="X452" i="12"/>
  <c r="X253" i="12"/>
  <c r="X95" i="12"/>
  <c r="X104" i="12"/>
  <c r="X210" i="12"/>
  <c r="X327" i="12"/>
  <c r="X112" i="12"/>
  <c r="X215" i="12"/>
  <c r="X265" i="12"/>
  <c r="X361" i="12"/>
  <c r="X445" i="12"/>
  <c r="X194" i="12"/>
  <c r="X371" i="12"/>
  <c r="X483" i="12"/>
  <c r="X168" i="12"/>
  <c r="X191" i="12"/>
  <c r="X98" i="12"/>
  <c r="X352" i="12"/>
  <c r="X524" i="12"/>
  <c r="X435" i="12"/>
  <c r="X264" i="12"/>
  <c r="K567" i="12" l="1"/>
  <c r="B567" i="13" s="1"/>
  <c r="C568" i="12"/>
  <c r="U524" i="12"/>
  <c r="U168" i="12"/>
  <c r="U371" i="12"/>
  <c r="D253" i="13"/>
  <c r="U139" i="12"/>
  <c r="U517" i="12"/>
  <c r="U407" i="12"/>
  <c r="U372" i="12"/>
  <c r="U494" i="12"/>
  <c r="U461" i="12"/>
  <c r="U174" i="12"/>
  <c r="U383" i="12"/>
  <c r="U150" i="12"/>
  <c r="U472" i="12"/>
  <c r="U175" i="12"/>
  <c r="U404" i="12"/>
  <c r="U213" i="12"/>
  <c r="U533" i="12"/>
  <c r="U172" i="12"/>
  <c r="U199" i="12"/>
  <c r="U438" i="12"/>
  <c r="U436" i="12"/>
  <c r="U336" i="12"/>
  <c r="S132" i="12"/>
  <c r="T132" i="12" s="1"/>
  <c r="U132" i="12" s="1"/>
  <c r="S379" i="12"/>
  <c r="T379" i="12" s="1"/>
  <c r="U379" i="12" s="1"/>
  <c r="U496" i="12"/>
  <c r="U376" i="12"/>
  <c r="U173" i="12"/>
  <c r="U148" i="12"/>
  <c r="S477" i="12"/>
  <c r="T477" i="12" s="1"/>
  <c r="U477" i="12" s="1"/>
  <c r="U262" i="12"/>
  <c r="U149" i="12"/>
  <c r="U200" i="12"/>
  <c r="U362" i="12"/>
  <c r="U138" i="12"/>
  <c r="U349" i="12"/>
  <c r="U218" i="12"/>
  <c r="U233" i="12"/>
  <c r="S224" i="12"/>
  <c r="T224" i="12" s="1"/>
  <c r="U224" i="12" s="1"/>
  <c r="U151" i="12"/>
  <c r="U359" i="12"/>
  <c r="S543" i="12"/>
  <c r="T543" i="12" s="1"/>
  <c r="U543" i="12" s="1"/>
  <c r="S476" i="12"/>
  <c r="T476" i="12" s="1"/>
  <c r="S403" i="12"/>
  <c r="T403" i="12" s="1"/>
  <c r="U403" i="12" s="1"/>
  <c r="S146" i="12"/>
  <c r="T146" i="12" s="1"/>
  <c r="U146" i="12" s="1"/>
  <c r="U518" i="12"/>
  <c r="U505" i="12"/>
  <c r="U377" i="12"/>
  <c r="U542" i="12"/>
  <c r="U286" i="12"/>
  <c r="U382" i="12"/>
  <c r="U263" i="12"/>
  <c r="U185" i="12"/>
  <c r="U416" i="12"/>
  <c r="U537" i="12"/>
  <c r="U178" i="12"/>
  <c r="U166" i="12"/>
  <c r="U374" i="12"/>
  <c r="D170" i="13"/>
  <c r="U142" i="12"/>
  <c r="U231" i="12"/>
  <c r="U363" i="12"/>
  <c r="U234" i="12"/>
  <c r="U370" i="12"/>
  <c r="S21" i="12"/>
  <c r="T21" i="12" s="1"/>
  <c r="U21" i="12" s="1"/>
  <c r="U141" i="12"/>
  <c r="U539" i="12"/>
  <c r="U391" i="12"/>
  <c r="U180" i="12"/>
  <c r="S223" i="12"/>
  <c r="T223" i="12" s="1"/>
  <c r="U223" i="12" s="1"/>
  <c r="U202" i="12"/>
  <c r="U188" i="12"/>
  <c r="S475" i="12"/>
  <c r="T475" i="12" s="1"/>
  <c r="U152" i="12"/>
  <c r="U375" i="12"/>
  <c r="U297" i="12"/>
  <c r="U331" i="12"/>
  <c r="U325" i="12"/>
  <c r="U159" i="12"/>
  <c r="U534" i="12"/>
  <c r="U196" i="12"/>
  <c r="U155" i="12"/>
  <c r="U161" i="12"/>
  <c r="U177" i="12"/>
  <c r="U136" i="12"/>
  <c r="U507" i="12"/>
  <c r="U214" i="12"/>
  <c r="U348" i="12"/>
  <c r="U197" i="12"/>
  <c r="U176" i="12"/>
  <c r="U354" i="12"/>
  <c r="U437" i="12"/>
  <c r="U154" i="12"/>
  <c r="U140" i="12"/>
  <c r="U162" i="12"/>
  <c r="U538" i="12"/>
  <c r="U405" i="12"/>
  <c r="U536" i="12"/>
  <c r="U163" i="12"/>
  <c r="U446" i="12"/>
  <c r="U504" i="12"/>
  <c r="U511" i="12"/>
  <c r="U474" i="12"/>
  <c r="U182" i="12"/>
  <c r="U187" i="12"/>
  <c r="U470" i="12"/>
  <c r="U198" i="12"/>
  <c r="S20" i="12"/>
  <c r="T20" i="12" s="1"/>
  <c r="U20" i="12" s="1"/>
  <c r="U156" i="12"/>
  <c r="U164" i="12"/>
  <c r="S471" i="12"/>
  <c r="T471" i="12" s="1"/>
  <c r="U471" i="12" s="1"/>
  <c r="U439" i="12"/>
  <c r="U167" i="12"/>
  <c r="U366" i="12"/>
  <c r="U512" i="12"/>
  <c r="U208" i="12"/>
  <c r="U158" i="12"/>
  <c r="U526" i="12"/>
  <c r="U473" i="12"/>
  <c r="U183" i="12"/>
  <c r="U23" i="12"/>
  <c r="U495" i="12"/>
  <c r="U323" i="12"/>
  <c r="U137" i="12"/>
  <c r="U493" i="12"/>
  <c r="U157" i="12"/>
  <c r="S22" i="12"/>
  <c r="T22" i="12" s="1"/>
  <c r="U22" i="12" s="1"/>
  <c r="U184" i="12"/>
  <c r="U165" i="12"/>
  <c r="U160" i="12"/>
  <c r="U360" i="12"/>
  <c r="S225" i="12"/>
  <c r="T225" i="12" s="1"/>
  <c r="U225" i="12" s="1"/>
  <c r="U18" i="12"/>
  <c r="U476" i="12"/>
  <c r="C253" i="13"/>
  <c r="S253" i="12"/>
  <c r="T253" i="12" s="1"/>
  <c r="U253" i="12" s="1"/>
  <c r="U475" i="12"/>
  <c r="U170" i="12"/>
  <c r="C569" i="12" l="1"/>
  <c r="K568" i="12"/>
  <c r="B568" i="13" s="1"/>
  <c r="C17" i="13"/>
  <c r="D406" i="13"/>
  <c r="C344" i="13"/>
  <c r="S90" i="12"/>
  <c r="T90" i="12" s="1"/>
  <c r="U90" i="12" s="1"/>
  <c r="C255" i="13"/>
  <c r="C288" i="13"/>
  <c r="D230" i="13"/>
  <c r="C455" i="13"/>
  <c r="S16" i="12"/>
  <c r="T16" i="12" s="1"/>
  <c r="U16" i="12" s="1"/>
  <c r="C64" i="13"/>
  <c r="S300" i="12"/>
  <c r="T300" i="12" s="1"/>
  <c r="D101" i="13"/>
  <c r="S369" i="12"/>
  <c r="T369" i="12" s="1"/>
  <c r="U369" i="12" s="1"/>
  <c r="S195" i="12"/>
  <c r="T195" i="12" s="1"/>
  <c r="U195" i="12" s="1"/>
  <c r="S250" i="12"/>
  <c r="T250" i="12" s="1"/>
  <c r="U250" i="12" s="1"/>
  <c r="C260" i="13"/>
  <c r="S358" i="12"/>
  <c r="T358" i="12" s="1"/>
  <c r="U358" i="12" s="1"/>
  <c r="C209" i="13"/>
  <c r="C508" i="13"/>
  <c r="S59" i="12"/>
  <c r="T59" i="12" s="1"/>
  <c r="S37" i="12"/>
  <c r="T37" i="12" s="1"/>
  <c r="U37" i="12" s="1"/>
  <c r="C441" i="13"/>
  <c r="C110" i="13"/>
  <c r="C337" i="13"/>
  <c r="D429" i="13"/>
  <c r="C65" i="13"/>
  <c r="C217" i="13"/>
  <c r="C282" i="13"/>
  <c r="S353" i="12"/>
  <c r="T353" i="12" s="1"/>
  <c r="S272" i="12"/>
  <c r="T272" i="12" s="1"/>
  <c r="U272" i="12" s="1"/>
  <c r="D304" i="13"/>
  <c r="C492" i="13"/>
  <c r="D205" i="13"/>
  <c r="S227" i="12"/>
  <c r="T227" i="12" s="1"/>
  <c r="U227" i="12" s="1"/>
  <c r="C541" i="13"/>
  <c r="S442" i="12"/>
  <c r="T442" i="12" s="1"/>
  <c r="S444" i="12"/>
  <c r="T444" i="12" s="1"/>
  <c r="U444" i="12" s="1"/>
  <c r="C432" i="13"/>
  <c r="C388" i="13"/>
  <c r="S28" i="12"/>
  <c r="T28" i="12" s="1"/>
  <c r="U28" i="12" s="1"/>
  <c r="C464" i="13"/>
  <c r="D347" i="13"/>
  <c r="C313" i="13"/>
  <c r="C364" i="13"/>
  <c r="C89" i="13"/>
  <c r="S467" i="12"/>
  <c r="T467" i="12" s="1"/>
  <c r="U467" i="12" s="1"/>
  <c r="D277" i="13"/>
  <c r="S56" i="12"/>
  <c r="T56" i="12" s="1"/>
  <c r="U56" i="12" s="1"/>
  <c r="S133" i="12"/>
  <c r="T133" i="12" s="1"/>
  <c r="C273" i="13"/>
  <c r="D212" i="13"/>
  <c r="C274" i="13"/>
  <c r="S427" i="12"/>
  <c r="T427" i="12" s="1"/>
  <c r="U427" i="12" s="1"/>
  <c r="D356" i="13"/>
  <c r="C430" i="13"/>
  <c r="D447" i="13"/>
  <c r="S145" i="12"/>
  <c r="T145" i="12" s="1"/>
  <c r="U145" i="12" s="1"/>
  <c r="D204" i="13"/>
  <c r="C82" i="13"/>
  <c r="C60" i="13"/>
  <c r="C270" i="13"/>
  <c r="D252" i="13"/>
  <c r="C237" i="13"/>
  <c r="S481" i="12"/>
  <c r="T481" i="12" s="1"/>
  <c r="D342" i="13"/>
  <c r="D302" i="13"/>
  <c r="D50" i="13"/>
  <c r="C338" i="13"/>
  <c r="C400" i="13"/>
  <c r="C459" i="13"/>
  <c r="C125" i="13"/>
  <c r="S219" i="12"/>
  <c r="T219" i="12" s="1"/>
  <c r="U219" i="12" s="1"/>
  <c r="S350" i="12"/>
  <c r="T350" i="12" s="1"/>
  <c r="U350" i="12" s="1"/>
  <c r="S235" i="12"/>
  <c r="T235" i="12" s="1"/>
  <c r="U235" i="12" s="1"/>
  <c r="S54" i="12"/>
  <c r="T54" i="12" s="1"/>
  <c r="C221" i="13"/>
  <c r="S602" i="12"/>
  <c r="T602" i="12" s="1"/>
  <c r="C192" i="13"/>
  <c r="D315" i="13"/>
  <c r="D295" i="13"/>
  <c r="S226" i="12"/>
  <c r="T226" i="12" s="1"/>
  <c r="U226" i="12" s="1"/>
  <c r="S41" i="12"/>
  <c r="T41" i="12" s="1"/>
  <c r="U41" i="12" s="1"/>
  <c r="D398" i="13"/>
  <c r="S88" i="12"/>
  <c r="T88" i="12" s="1"/>
  <c r="C248" i="13"/>
  <c r="C201" i="13"/>
  <c r="D38" i="13"/>
  <c r="D66" i="13"/>
  <c r="D47" i="13"/>
  <c r="S257" i="12"/>
  <c r="T257" i="12" s="1"/>
  <c r="U257" i="12" s="1"/>
  <c r="S514" i="12"/>
  <c r="T514" i="12" s="1"/>
  <c r="D275" i="13"/>
  <c r="S357" i="12"/>
  <c r="T357" i="12" s="1"/>
  <c r="U357" i="12" s="1"/>
  <c r="D397" i="13"/>
  <c r="D83" i="13"/>
  <c r="S367" i="12"/>
  <c r="T367" i="12" s="1"/>
  <c r="U367" i="12" s="1"/>
  <c r="S488" i="12"/>
  <c r="T488" i="12" s="1"/>
  <c r="U488" i="12" s="1"/>
  <c r="C451" i="13"/>
  <c r="D528" i="13"/>
  <c r="S117" i="12"/>
  <c r="T117" i="12" s="1"/>
  <c r="U117" i="12" s="1"/>
  <c r="D193" i="13"/>
  <c r="C329" i="13"/>
  <c r="C115" i="13"/>
  <c r="C482" i="13"/>
  <c r="D29" i="13"/>
  <c r="D34" i="13"/>
  <c r="S510" i="12"/>
  <c r="T510" i="12" s="1"/>
  <c r="U510" i="12" s="1"/>
  <c r="S411" i="12"/>
  <c r="T411" i="12" s="1"/>
  <c r="U411" i="12" s="1"/>
  <c r="S503" i="12"/>
  <c r="T503" i="12" s="1"/>
  <c r="T502" i="12" s="1"/>
  <c r="C346" i="13"/>
  <c r="D90" i="13"/>
  <c r="D255" i="13"/>
  <c r="D288" i="13"/>
  <c r="C230" i="13"/>
  <c r="C530" i="13"/>
  <c r="C16" i="13"/>
  <c r="D64" i="13"/>
  <c r="D328" i="13"/>
  <c r="S390" i="12"/>
  <c r="T390" i="12" s="1"/>
  <c r="U390" i="12" s="1"/>
  <c r="C101" i="13"/>
  <c r="C369" i="13"/>
  <c r="D195" i="13"/>
  <c r="C250" i="13"/>
  <c r="D260" i="13"/>
  <c r="S508" i="12"/>
  <c r="T508" i="12" s="1"/>
  <c r="D59" i="13"/>
  <c r="D55" i="13"/>
  <c r="S232" i="12"/>
  <c r="T232" i="12" s="1"/>
  <c r="U232" i="12" s="1"/>
  <c r="D107" i="13"/>
  <c r="S441" i="12"/>
  <c r="T441" i="12" s="1"/>
  <c r="U441" i="12" s="1"/>
  <c r="S110" i="12"/>
  <c r="T110" i="12" s="1"/>
  <c r="U110" i="12" s="1"/>
  <c r="D355" i="13"/>
  <c r="C111" i="13"/>
  <c r="S36" i="12"/>
  <c r="T36" i="12" s="1"/>
  <c r="S429" i="12"/>
  <c r="T429" i="12" s="1"/>
  <c r="U429" i="12" s="1"/>
  <c r="S65" i="12"/>
  <c r="T65" i="12" s="1"/>
  <c r="U65" i="12" s="1"/>
  <c r="S457" i="12"/>
  <c r="T457" i="12" s="1"/>
  <c r="U457" i="12" s="1"/>
  <c r="S282" i="12"/>
  <c r="T282" i="12" s="1"/>
  <c r="U282" i="12" s="1"/>
  <c r="D353" i="13"/>
  <c r="C261" i="13"/>
  <c r="D311" i="13"/>
  <c r="C304" i="13"/>
  <c r="S449" i="12"/>
  <c r="T449" i="12" s="1"/>
  <c r="S205" i="12"/>
  <c r="T205" i="12" s="1"/>
  <c r="U205" i="12" s="1"/>
  <c r="D227" i="13"/>
  <c r="S541" i="12"/>
  <c r="T541" i="12" s="1"/>
  <c r="U541" i="12" s="1"/>
  <c r="S420" i="12"/>
  <c r="T420" i="12" s="1"/>
  <c r="D444" i="13"/>
  <c r="D432" i="13"/>
  <c r="D388" i="13"/>
  <c r="C28" i="13"/>
  <c r="S464" i="12"/>
  <c r="T464" i="12" s="1"/>
  <c r="C347" i="13"/>
  <c r="D313" i="13"/>
  <c r="D364" i="13"/>
  <c r="S73" i="12"/>
  <c r="T73" i="12" s="1"/>
  <c r="U73" i="12" s="1"/>
  <c r="D56" i="13"/>
  <c r="D133" i="13"/>
  <c r="C124" i="13"/>
  <c r="D144" i="13"/>
  <c r="C212" i="13"/>
  <c r="S274" i="12"/>
  <c r="T274" i="12" s="1"/>
  <c r="U274" i="12" s="1"/>
  <c r="D430" i="13"/>
  <c r="S447" i="12"/>
  <c r="T447" i="12" s="1"/>
  <c r="D386" i="13"/>
  <c r="S82" i="12"/>
  <c r="T82" i="12" s="1"/>
  <c r="U82" i="12" s="1"/>
  <c r="S60" i="12"/>
  <c r="T60" i="12" s="1"/>
  <c r="U60" i="12" s="1"/>
  <c r="S270" i="12"/>
  <c r="T270" i="12" s="1"/>
  <c r="U270" i="12" s="1"/>
  <c r="D381" i="13"/>
  <c r="S241" i="12"/>
  <c r="T241" i="12" s="1"/>
  <c r="U241" i="12" s="1"/>
  <c r="S237" i="12"/>
  <c r="T237" i="12" s="1"/>
  <c r="U237" i="12" s="1"/>
  <c r="D481" i="13"/>
  <c r="C342" i="13"/>
  <c r="C302" i="13"/>
  <c r="S365" i="12"/>
  <c r="T365" i="12" s="1"/>
  <c r="U365" i="12" s="1"/>
  <c r="D443" i="13"/>
  <c r="D400" i="13"/>
  <c r="D459" i="13"/>
  <c r="C501" i="13"/>
  <c r="D219" i="13"/>
  <c r="D350" i="13"/>
  <c r="C235" i="13"/>
  <c r="C84" i="13"/>
  <c r="C448" i="13"/>
  <c r="S221" i="12"/>
  <c r="T221" i="12" s="1"/>
  <c r="D602" i="13"/>
  <c r="D317" i="13"/>
  <c r="C315" i="13"/>
  <c r="S295" i="12"/>
  <c r="T295" i="12" s="1"/>
  <c r="C294" i="13"/>
  <c r="C398" i="13"/>
  <c r="D88" i="13"/>
  <c r="S248" i="12"/>
  <c r="T248" i="12" s="1"/>
  <c r="U248" i="12" s="1"/>
  <c r="S201" i="12"/>
  <c r="T201" i="12" s="1"/>
  <c r="U201" i="12" s="1"/>
  <c r="S322" i="12"/>
  <c r="T322" i="12" s="1"/>
  <c r="S66" i="12"/>
  <c r="T66" i="12" s="1"/>
  <c r="U66" i="12" s="1"/>
  <c r="C47" i="13"/>
  <c r="C520" i="13"/>
  <c r="D357" i="13"/>
  <c r="S397" i="12"/>
  <c r="T397" i="12" s="1"/>
  <c r="S462" i="12"/>
  <c r="T462" i="12" s="1"/>
  <c r="T460" i="12" s="1"/>
  <c r="D488" i="13"/>
  <c r="D451" i="13"/>
  <c r="C105" i="13"/>
  <c r="C117" i="13"/>
  <c r="C193" i="13"/>
  <c r="D523" i="13"/>
  <c r="D115" i="13"/>
  <c r="S482" i="12"/>
  <c r="T482" i="12" s="1"/>
  <c r="U482" i="12" s="1"/>
  <c r="C29" i="13"/>
  <c r="C43" i="13"/>
  <c r="D510" i="13"/>
  <c r="C411" i="13"/>
  <c r="D17" i="13"/>
  <c r="C406" i="13"/>
  <c r="D344" i="13"/>
  <c r="S346" i="12"/>
  <c r="T346" i="12" s="1"/>
  <c r="C90" i="13"/>
  <c r="S255" i="12"/>
  <c r="T255" i="12" s="1"/>
  <c r="U255" i="12" s="1"/>
  <c r="D455" i="13"/>
  <c r="S530" i="12"/>
  <c r="T530" i="12" s="1"/>
  <c r="U530" i="12" s="1"/>
  <c r="D16" i="13"/>
  <c r="C497" i="13"/>
  <c r="C328" i="13"/>
  <c r="D300" i="13"/>
  <c r="C390" i="13"/>
  <c r="S101" i="12"/>
  <c r="T101" i="12" s="1"/>
  <c r="U101" i="12" s="1"/>
  <c r="D369" i="13"/>
  <c r="C195" i="13"/>
  <c r="D250" i="13"/>
  <c r="C358" i="13"/>
  <c r="S209" i="12"/>
  <c r="T209" i="12" s="1"/>
  <c r="U209" i="12" s="1"/>
  <c r="C37" i="13"/>
  <c r="S55" i="12"/>
  <c r="T55" i="12" s="1"/>
  <c r="U55" i="12" s="1"/>
  <c r="C232" i="13"/>
  <c r="S107" i="12"/>
  <c r="T107" i="12" s="1"/>
  <c r="T106" i="12" s="1"/>
  <c r="U106" i="12" s="1"/>
  <c r="D441" i="13"/>
  <c r="C355" i="13"/>
  <c r="S111" i="12"/>
  <c r="T111" i="12" s="1"/>
  <c r="U111" i="12" s="1"/>
  <c r="D337" i="13"/>
  <c r="D36" i="13"/>
  <c r="C429" i="13"/>
  <c r="D217" i="13"/>
  <c r="C457" i="13"/>
  <c r="D282" i="13"/>
  <c r="C272" i="13"/>
  <c r="D261" i="13"/>
  <c r="S311" i="12"/>
  <c r="T311" i="12" s="1"/>
  <c r="S304" i="12"/>
  <c r="T304" i="12" s="1"/>
  <c r="U304" i="12" s="1"/>
  <c r="D449" i="13"/>
  <c r="C205" i="13"/>
  <c r="C227" i="13"/>
  <c r="D442" i="13"/>
  <c r="U420" i="12"/>
  <c r="C420" i="13"/>
  <c r="C444" i="13"/>
  <c r="S432" i="12"/>
  <c r="T432" i="12" s="1"/>
  <c r="U432" i="12" s="1"/>
  <c r="D28" i="13"/>
  <c r="D89" i="13"/>
  <c r="C467" i="13"/>
  <c r="S277" i="12"/>
  <c r="T277" i="12" s="1"/>
  <c r="C73" i="13"/>
  <c r="C56" i="13"/>
  <c r="S273" i="12"/>
  <c r="T273" i="12" s="1"/>
  <c r="U273" i="12" s="1"/>
  <c r="S124" i="12"/>
  <c r="T124" i="12" s="1"/>
  <c r="U124" i="12" s="1"/>
  <c r="S144" i="12"/>
  <c r="T144" i="12" s="1"/>
  <c r="S212" i="12"/>
  <c r="T212" i="12" s="1"/>
  <c r="U212" i="12" s="1"/>
  <c r="C427" i="13"/>
  <c r="S356" i="12"/>
  <c r="T356" i="12" s="1"/>
  <c r="C145" i="13"/>
  <c r="S204" i="12"/>
  <c r="T204" i="12" s="1"/>
  <c r="S386" i="12"/>
  <c r="T386" i="12" s="1"/>
  <c r="D82" i="13"/>
  <c r="S252" i="12"/>
  <c r="T252" i="12" s="1"/>
  <c r="U252" i="12" s="1"/>
  <c r="C381" i="13"/>
  <c r="C241" i="13"/>
  <c r="D237" i="13"/>
  <c r="C50" i="13"/>
  <c r="D338" i="13"/>
  <c r="C365" i="13"/>
  <c r="C443" i="13"/>
  <c r="S400" i="12"/>
  <c r="T400" i="12" s="1"/>
  <c r="U400" i="12" s="1"/>
  <c r="D125" i="13"/>
  <c r="S501" i="12"/>
  <c r="T501" i="12" s="1"/>
  <c r="U501" i="12" s="1"/>
  <c r="C219" i="13"/>
  <c r="C350" i="13"/>
  <c r="D54" i="13"/>
  <c r="S84" i="12"/>
  <c r="T84" i="12" s="1"/>
  <c r="U84" i="12" s="1"/>
  <c r="D448" i="13"/>
  <c r="D221" i="13"/>
  <c r="D192" i="13"/>
  <c r="S317" i="12"/>
  <c r="T317" i="12" s="1"/>
  <c r="S315" i="12"/>
  <c r="T315" i="12" s="1"/>
  <c r="U315" i="12" s="1"/>
  <c r="C226" i="13"/>
  <c r="C41" i="13"/>
  <c r="S294" i="12"/>
  <c r="T294" i="12" s="1"/>
  <c r="U294" i="12" s="1"/>
  <c r="S398" i="12"/>
  <c r="T398" i="12" s="1"/>
  <c r="U398" i="12" s="1"/>
  <c r="C38" i="13"/>
  <c r="D322" i="13"/>
  <c r="C66" i="13"/>
  <c r="C257" i="13"/>
  <c r="D514" i="13"/>
  <c r="S275" i="12"/>
  <c r="T275" i="12" s="1"/>
  <c r="D520" i="13"/>
  <c r="C357" i="13"/>
  <c r="S83" i="12"/>
  <c r="T83" i="12" s="1"/>
  <c r="U83" i="12" s="1"/>
  <c r="C367" i="13"/>
  <c r="D462" i="13"/>
  <c r="C488" i="13"/>
  <c r="S528" i="12"/>
  <c r="T528" i="12" s="1"/>
  <c r="U528" i="12" s="1"/>
  <c r="D105" i="13"/>
  <c r="D117" i="13"/>
  <c r="S329" i="12"/>
  <c r="T329" i="12" s="1"/>
  <c r="U329" i="12" s="1"/>
  <c r="C523" i="13"/>
  <c r="S115" i="12"/>
  <c r="T115" i="12" s="1"/>
  <c r="D482" i="13"/>
  <c r="S34" i="12"/>
  <c r="T34" i="12" s="1"/>
  <c r="U34" i="12" s="1"/>
  <c r="D43" i="13"/>
  <c r="C510" i="13"/>
  <c r="C503" i="13"/>
  <c r="S266" i="12"/>
  <c r="T266" i="12" s="1"/>
  <c r="U266" i="12" s="1"/>
  <c r="S17" i="12"/>
  <c r="T17" i="12" s="1"/>
  <c r="U17" i="12" s="1"/>
  <c r="S406" i="12"/>
  <c r="T406" i="12" s="1"/>
  <c r="U406" i="12" s="1"/>
  <c r="S344" i="12"/>
  <c r="T344" i="12" s="1"/>
  <c r="D346" i="13"/>
  <c r="S288" i="12"/>
  <c r="T288" i="12" s="1"/>
  <c r="U288" i="12" s="1"/>
  <c r="S230" i="12"/>
  <c r="T230" i="12" s="1"/>
  <c r="U230" i="12" s="1"/>
  <c r="S455" i="12"/>
  <c r="T455" i="12" s="1"/>
  <c r="U455" i="12" s="1"/>
  <c r="D530" i="13"/>
  <c r="S64" i="12"/>
  <c r="T64" i="12" s="1"/>
  <c r="U64" i="12" s="1"/>
  <c r="S497" i="12"/>
  <c r="T497" i="12" s="1"/>
  <c r="U497" i="12" s="1"/>
  <c r="S328" i="12"/>
  <c r="T328" i="12" s="1"/>
  <c r="U328" i="12" s="1"/>
  <c r="C300" i="13"/>
  <c r="D390" i="13"/>
  <c r="S260" i="12"/>
  <c r="T260" i="12" s="1"/>
  <c r="U260" i="12" s="1"/>
  <c r="D358" i="13"/>
  <c r="D209" i="13"/>
  <c r="D508" i="13"/>
  <c r="C59" i="13"/>
  <c r="D37" i="13"/>
  <c r="C55" i="13"/>
  <c r="D232" i="13"/>
  <c r="C107" i="13"/>
  <c r="D110" i="13"/>
  <c r="S355" i="12"/>
  <c r="T355" i="12" s="1"/>
  <c r="U355" i="12" s="1"/>
  <c r="D111" i="13"/>
  <c r="S337" i="12"/>
  <c r="T337" i="12" s="1"/>
  <c r="U337" i="12" s="1"/>
  <c r="C36" i="13"/>
  <c r="D65" i="13"/>
  <c r="S217" i="12"/>
  <c r="T217" i="12" s="1"/>
  <c r="U217" i="12" s="1"/>
  <c r="D457" i="13"/>
  <c r="C353" i="13"/>
  <c r="D272" i="13"/>
  <c r="S261" i="12"/>
  <c r="T261" i="12" s="1"/>
  <c r="U261" i="12" s="1"/>
  <c r="C311" i="13"/>
  <c r="S492" i="12"/>
  <c r="T492" i="12" s="1"/>
  <c r="U492" i="12" s="1"/>
  <c r="C449" i="13"/>
  <c r="C442" i="13"/>
  <c r="D420" i="13"/>
  <c r="S388" i="12"/>
  <c r="T388" i="12" s="1"/>
  <c r="D464" i="13"/>
  <c r="S347" i="12"/>
  <c r="T347" i="12" s="1"/>
  <c r="U347" i="12" s="1"/>
  <c r="S313" i="12"/>
  <c r="T313" i="12" s="1"/>
  <c r="U313" i="12" s="1"/>
  <c r="S364" i="12"/>
  <c r="T364" i="12" s="1"/>
  <c r="U364" i="12" s="1"/>
  <c r="S89" i="12"/>
  <c r="T89" i="12" s="1"/>
  <c r="U89" i="12" s="1"/>
  <c r="D467" i="13"/>
  <c r="C277" i="13"/>
  <c r="D73" i="13"/>
  <c r="C133" i="13"/>
  <c r="D273" i="13"/>
  <c r="D124" i="13"/>
  <c r="C144" i="13"/>
  <c r="D274" i="13"/>
  <c r="D427" i="13"/>
  <c r="C356" i="13"/>
  <c r="S430" i="12"/>
  <c r="T430" i="12" s="1"/>
  <c r="U430" i="12" s="1"/>
  <c r="C447" i="13"/>
  <c r="D145" i="13"/>
  <c r="C204" i="13"/>
  <c r="C386" i="13"/>
  <c r="D60" i="13"/>
  <c r="D270" i="13"/>
  <c r="C252" i="13"/>
  <c r="S381" i="12"/>
  <c r="T381" i="12" s="1"/>
  <c r="U381" i="12" s="1"/>
  <c r="D241" i="13"/>
  <c r="C481" i="13"/>
  <c r="S342" i="12"/>
  <c r="T342" i="12" s="1"/>
  <c r="U342" i="12" s="1"/>
  <c r="S302" i="12"/>
  <c r="T302" i="12" s="1"/>
  <c r="U302" i="12" s="1"/>
  <c r="S50" i="12"/>
  <c r="T50" i="12" s="1"/>
  <c r="U50" i="12" s="1"/>
  <c r="S338" i="12"/>
  <c r="T338" i="12" s="1"/>
  <c r="U338" i="12" s="1"/>
  <c r="D365" i="13"/>
  <c r="S443" i="12"/>
  <c r="T443" i="12" s="1"/>
  <c r="U443" i="12" s="1"/>
  <c r="S459" i="12"/>
  <c r="T459" i="12" s="1"/>
  <c r="U459" i="12" s="1"/>
  <c r="S125" i="12"/>
  <c r="T125" i="12" s="1"/>
  <c r="U125" i="12" s="1"/>
  <c r="D501" i="13"/>
  <c r="D235" i="13"/>
  <c r="C54" i="13"/>
  <c r="D84" i="13"/>
  <c r="S448" i="12"/>
  <c r="T448" i="12" s="1"/>
  <c r="U448" i="12" s="1"/>
  <c r="C602" i="13"/>
  <c r="S192" i="12"/>
  <c r="T192" i="12" s="1"/>
  <c r="U192" i="12" s="1"/>
  <c r="C317" i="13"/>
  <c r="C295" i="13"/>
  <c r="D226" i="13"/>
  <c r="D41" i="13"/>
  <c r="D294" i="13"/>
  <c r="C88" i="13"/>
  <c r="D248" i="13"/>
  <c r="D201" i="13"/>
  <c r="S38" i="12"/>
  <c r="T38" i="12" s="1"/>
  <c r="U38" i="12" s="1"/>
  <c r="C322" i="13"/>
  <c r="S47" i="12"/>
  <c r="T47" i="12" s="1"/>
  <c r="U47" i="12" s="1"/>
  <c r="D257" i="13"/>
  <c r="C514" i="13"/>
  <c r="C275" i="13"/>
  <c r="S520" i="12"/>
  <c r="T520" i="12" s="1"/>
  <c r="U520" i="12" s="1"/>
  <c r="C397" i="13"/>
  <c r="C83" i="13"/>
  <c r="D367" i="13"/>
  <c r="S451" i="12"/>
  <c r="T451" i="12" s="1"/>
  <c r="U451" i="12" s="1"/>
  <c r="C528" i="13"/>
  <c r="S105" i="12"/>
  <c r="T105" i="12" s="1"/>
  <c r="U105" i="12" s="1"/>
  <c r="S193" i="12"/>
  <c r="T193" i="12" s="1"/>
  <c r="U193" i="12" s="1"/>
  <c r="D329" i="13"/>
  <c r="S523" i="12"/>
  <c r="T523" i="12" s="1"/>
  <c r="U523" i="12" s="1"/>
  <c r="S29" i="12"/>
  <c r="T29" i="12" s="1"/>
  <c r="U29" i="12" s="1"/>
  <c r="C34" i="13"/>
  <c r="S43" i="12"/>
  <c r="T43" i="12" s="1"/>
  <c r="U43" i="12" s="1"/>
  <c r="D411" i="13"/>
  <c r="D503" i="13"/>
  <c r="C266" i="13"/>
  <c r="S259" i="12"/>
  <c r="T259" i="12" s="1"/>
  <c r="U259" i="12" s="1"/>
  <c r="S469" i="12"/>
  <c r="T469" i="12" s="1"/>
  <c r="U469" i="12" s="1"/>
  <c r="S72" i="12"/>
  <c r="T72" i="12" s="1"/>
  <c r="U72" i="12" s="1"/>
  <c r="C292" i="13"/>
  <c r="C318" i="13"/>
  <c r="C291" i="13"/>
  <c r="C314" i="13"/>
  <c r="D431" i="13"/>
  <c r="D70" i="13"/>
  <c r="S30" i="12"/>
  <c r="T30" i="12" s="1"/>
  <c r="U30" i="12" s="1"/>
  <c r="C48" i="13"/>
  <c r="C258" i="13"/>
  <c r="D222" i="13"/>
  <c r="D529" i="13"/>
  <c r="D247" i="13"/>
  <c r="D332" i="13"/>
  <c r="D75" i="13"/>
  <c r="D417" i="13"/>
  <c r="S412" i="12"/>
  <c r="T412" i="12" s="1"/>
  <c r="U412" i="12" s="1"/>
  <c r="S307" i="12"/>
  <c r="T307" i="12" s="1"/>
  <c r="D287" i="13"/>
  <c r="D422" i="13"/>
  <c r="S433" i="12"/>
  <c r="T433" i="12" s="1"/>
  <c r="U433" i="12" s="1"/>
  <c r="D76" i="13"/>
  <c r="D527" i="13"/>
  <c r="S409" i="12"/>
  <c r="T409" i="12" s="1"/>
  <c r="U409" i="12" s="1"/>
  <c r="D425" i="13"/>
  <c r="C216" i="13"/>
  <c r="D402" i="13"/>
  <c r="C238" i="13"/>
  <c r="D484" i="13"/>
  <c r="S316" i="12"/>
  <c r="T316" i="12" s="1"/>
  <c r="U316" i="12" s="1"/>
  <c r="D465" i="13"/>
  <c r="D53" i="13"/>
  <c r="S69" i="12"/>
  <c r="T69" i="12" s="1"/>
  <c r="U69" i="12" s="1"/>
  <c r="C32" i="13"/>
  <c r="C123" i="13"/>
  <c r="C91" i="13"/>
  <c r="S458" i="12"/>
  <c r="T458" i="12" s="1"/>
  <c r="U458" i="12" s="1"/>
  <c r="S279" i="12"/>
  <c r="T279" i="12" s="1"/>
  <c r="U279" i="12" s="1"/>
  <c r="C521" i="13"/>
  <c r="C453" i="13"/>
  <c r="C127" i="13"/>
  <c r="S489" i="12"/>
  <c r="T489" i="12" s="1"/>
  <c r="U489" i="12" s="1"/>
  <c r="D251" i="13"/>
  <c r="D52" i="13"/>
  <c r="D434" i="13"/>
  <c r="S333" i="12"/>
  <c r="T333" i="12" s="1"/>
  <c r="U333" i="12" s="1"/>
  <c r="S480" i="12"/>
  <c r="T480" i="12" s="1"/>
  <c r="U480" i="12" s="1"/>
  <c r="S466" i="12"/>
  <c r="T466" i="12" s="1"/>
  <c r="U466" i="12" s="1"/>
  <c r="C368" i="13"/>
  <c r="D320" i="13"/>
  <c r="D113" i="13"/>
  <c r="D394" i="13"/>
  <c r="C532" i="13"/>
  <c r="D33" i="13"/>
  <c r="C334" i="13"/>
  <c r="D413" i="13"/>
  <c r="D126" i="13"/>
  <c r="S305" i="12"/>
  <c r="T305" i="12" s="1"/>
  <c r="U305" i="12" s="1"/>
  <c r="C67" i="13"/>
  <c r="C428" i="13"/>
  <c r="D26" i="13"/>
  <c r="S454" i="12"/>
  <c r="T454" i="12" s="1"/>
  <c r="U454" i="12" s="1"/>
  <c r="C339" i="13"/>
  <c r="S271" i="12"/>
  <c r="T271" i="12" s="1"/>
  <c r="U271" i="12" s="1"/>
  <c r="C103" i="13"/>
  <c r="D395" i="13"/>
  <c r="C280" i="13"/>
  <c r="D256" i="13"/>
  <c r="S326" i="12"/>
  <c r="T326" i="12" s="1"/>
  <c r="U326" i="12" s="1"/>
  <c r="D486" i="13"/>
  <c r="C97" i="13"/>
  <c r="C268" i="13"/>
  <c r="C85" i="13"/>
  <c r="D384" i="13"/>
  <c r="C62" i="13"/>
  <c r="D284" i="13"/>
  <c r="C96" i="13"/>
  <c r="D312" i="13"/>
  <c r="S87" i="12"/>
  <c r="T87" i="12" s="1"/>
  <c r="S531" i="12"/>
  <c r="T531" i="12" s="1"/>
  <c r="U531" i="12" s="1"/>
  <c r="S181" i="12"/>
  <c r="T181" i="12" s="1"/>
  <c r="U181" i="12" s="1"/>
  <c r="D324" i="13"/>
  <c r="C285" i="13"/>
  <c r="D102" i="13"/>
  <c r="D308" i="13"/>
  <c r="S19" i="12"/>
  <c r="T19" i="12" s="1"/>
  <c r="U19" i="12" s="1"/>
  <c r="D254" i="13"/>
  <c r="C426" i="13"/>
  <c r="C290" i="13"/>
  <c r="D100" i="13"/>
  <c r="C121" i="13"/>
  <c r="S380" i="12"/>
  <c r="T380" i="12" s="1"/>
  <c r="U380" i="12" s="1"/>
  <c r="D385" i="13"/>
  <c r="D509" i="13"/>
  <c r="D116" i="13"/>
  <c r="S211" i="12"/>
  <c r="T211" i="12" s="1"/>
  <c r="U211" i="12" s="1"/>
  <c r="D267" i="13"/>
  <c r="D71" i="13"/>
  <c r="D46" i="13"/>
  <c r="S281" i="12"/>
  <c r="T281" i="12" s="1"/>
  <c r="U281" i="12" s="1"/>
  <c r="C500" i="13"/>
  <c r="D129" i="13"/>
  <c r="C293" i="13"/>
  <c r="C44" i="13"/>
  <c r="S319" i="12"/>
  <c r="T319" i="12" s="1"/>
  <c r="U319" i="12" s="1"/>
  <c r="D243" i="13"/>
  <c r="S61" i="12"/>
  <c r="T61" i="12" s="1"/>
  <c r="U61" i="12" s="1"/>
  <c r="D278" i="13"/>
  <c r="S345" i="12"/>
  <c r="T345" i="12" s="1"/>
  <c r="U345" i="12" s="1"/>
  <c r="C303" i="13"/>
  <c r="D468" i="13"/>
  <c r="S78" i="12"/>
  <c r="T78" i="12" s="1"/>
  <c r="U78" i="12" s="1"/>
  <c r="D415" i="13"/>
  <c r="S269" i="12"/>
  <c r="T269" i="12" s="1"/>
  <c r="U269" i="12" s="1"/>
  <c r="S63" i="12"/>
  <c r="T63" i="12" s="1"/>
  <c r="U63" i="12" s="1"/>
  <c r="S389" i="12"/>
  <c r="T389" i="12" s="1"/>
  <c r="U389" i="12" s="1"/>
  <c r="S42" i="12"/>
  <c r="T42" i="12" s="1"/>
  <c r="U42" i="12" s="1"/>
  <c r="S525" i="12"/>
  <c r="T525" i="12" s="1"/>
  <c r="U525" i="12" s="1"/>
  <c r="D452" i="13"/>
  <c r="S104" i="12"/>
  <c r="T104" i="12" s="1"/>
  <c r="U104" i="12" s="1"/>
  <c r="D210" i="13"/>
  <c r="C327" i="13"/>
  <c r="C215" i="13"/>
  <c r="S265" i="12"/>
  <c r="T265" i="12" s="1"/>
  <c r="U265" i="12" s="1"/>
  <c r="C361" i="13"/>
  <c r="D194" i="13"/>
  <c r="S483" i="12"/>
  <c r="T483" i="12" s="1"/>
  <c r="U483" i="12" s="1"/>
  <c r="D191" i="13"/>
  <c r="D98" i="13"/>
  <c r="C352" i="13"/>
  <c r="S435" i="12"/>
  <c r="T435" i="12" s="1"/>
  <c r="U435" i="12" s="1"/>
  <c r="D266" i="13"/>
  <c r="C469" i="13"/>
  <c r="D72" i="13"/>
  <c r="D292" i="13"/>
  <c r="D401" i="13"/>
  <c r="S314" i="12"/>
  <c r="T314" i="12" s="1"/>
  <c r="U314" i="12" s="1"/>
  <c r="D81" i="13"/>
  <c r="C30" i="13"/>
  <c r="S48" i="12"/>
  <c r="T48" i="12" s="1"/>
  <c r="U48" i="12" s="1"/>
  <c r="D258" i="13"/>
  <c r="C222" i="13"/>
  <c r="S321" i="12"/>
  <c r="T321" i="12" s="1"/>
  <c r="U321" i="12" s="1"/>
  <c r="S529" i="12"/>
  <c r="T529" i="12" s="1"/>
  <c r="U529" i="12" s="1"/>
  <c r="C247" i="13"/>
  <c r="D335" i="13"/>
  <c r="C75" i="13"/>
  <c r="C417" i="13"/>
  <c r="C412" i="13"/>
  <c r="D307" i="13"/>
  <c r="D410" i="13"/>
  <c r="S422" i="12"/>
  <c r="T422" i="12" s="1"/>
  <c r="U422" i="12" s="1"/>
  <c r="D433" i="13"/>
  <c r="S423" i="12"/>
  <c r="T423" i="12" s="1"/>
  <c r="U423" i="12" s="1"/>
  <c r="C409" i="13"/>
  <c r="C425" i="13"/>
  <c r="D45" i="13"/>
  <c r="D351" i="13"/>
  <c r="S402" i="12"/>
  <c r="T402" i="12" s="1"/>
  <c r="U402" i="12" s="1"/>
  <c r="S238" i="12"/>
  <c r="T238" i="12" s="1"/>
  <c r="U238" i="12" s="1"/>
  <c r="C484" i="13"/>
  <c r="S14" i="12"/>
  <c r="T14" i="12" s="1"/>
  <c r="U14" i="12" s="1"/>
  <c r="C465" i="13"/>
  <c r="C53" i="13"/>
  <c r="S373" i="12"/>
  <c r="T373" i="12" s="1"/>
  <c r="U373" i="12" s="1"/>
  <c r="C51" i="13"/>
  <c r="S123" i="12"/>
  <c r="T123" i="12" s="1"/>
  <c r="U123" i="12" s="1"/>
  <c r="S91" i="12"/>
  <c r="T91" i="12" s="1"/>
  <c r="U91" i="12" s="1"/>
  <c r="C276" i="13"/>
  <c r="C279" i="13"/>
  <c r="C515" i="13"/>
  <c r="D453" i="13"/>
  <c r="D127" i="13"/>
  <c r="D489" i="13"/>
  <c r="C341" i="13"/>
  <c r="C434" i="13"/>
  <c r="D333" i="13"/>
  <c r="S249" i="12"/>
  <c r="T249" i="12" s="1"/>
  <c r="U249" i="12" s="1"/>
  <c r="S320" i="12"/>
  <c r="T320" i="12" s="1"/>
  <c r="U320" i="12" s="1"/>
  <c r="C113" i="13"/>
  <c r="C27" i="13"/>
  <c r="S244" i="12"/>
  <c r="T244" i="12" s="1"/>
  <c r="U244" i="12" s="1"/>
  <c r="C540" i="13"/>
  <c r="S33" i="12"/>
  <c r="T33" i="12" s="1"/>
  <c r="U33" i="12" s="1"/>
  <c r="D334" i="13"/>
  <c r="S413" i="12"/>
  <c r="T413" i="12" s="1"/>
  <c r="U413" i="12" s="1"/>
  <c r="C126" i="13"/>
  <c r="C601" i="13"/>
  <c r="C454" i="13"/>
  <c r="S339" i="12"/>
  <c r="T339" i="12" s="1"/>
  <c r="C118" i="13"/>
  <c r="C77" i="13"/>
  <c r="D103" i="13"/>
  <c r="S395" i="12"/>
  <c r="T395" i="12" s="1"/>
  <c r="U395" i="12" s="1"/>
  <c r="S15" i="12"/>
  <c r="T15" i="12" s="1"/>
  <c r="U15" i="12" s="1"/>
  <c r="C256" i="13"/>
  <c r="C326" i="13"/>
  <c r="C486" i="13"/>
  <c r="D93" i="13"/>
  <c r="S268" i="12"/>
  <c r="T268" i="12" s="1"/>
  <c r="U268" i="12" s="1"/>
  <c r="D85" i="13"/>
  <c r="S384" i="12"/>
  <c r="T384" i="12" s="1"/>
  <c r="U384" i="12" s="1"/>
  <c r="D96" i="13"/>
  <c r="D131" i="13"/>
  <c r="S301" i="12"/>
  <c r="T301" i="12" s="1"/>
  <c r="U301" i="12" s="1"/>
  <c r="D531" i="13"/>
  <c r="C181" i="13"/>
  <c r="S324" i="12"/>
  <c r="T324" i="12" s="1"/>
  <c r="U324" i="12" s="1"/>
  <c r="D285" i="13"/>
  <c r="S102" i="12"/>
  <c r="T102" i="12" s="1"/>
  <c r="U102" i="12" s="1"/>
  <c r="S308" i="12"/>
  <c r="T308" i="12" s="1"/>
  <c r="U308" i="12" s="1"/>
  <c r="C19" i="13"/>
  <c r="C254" i="13"/>
  <c r="D421" i="13"/>
  <c r="D290" i="13"/>
  <c r="C100" i="13"/>
  <c r="C380" i="13"/>
  <c r="C487" i="13"/>
  <c r="S509" i="12"/>
  <c r="T509" i="12" s="1"/>
  <c r="U509" i="12" s="1"/>
  <c r="C116" i="13"/>
  <c r="C211" i="13"/>
  <c r="C267" i="13"/>
  <c r="D283" i="13"/>
  <c r="C281" i="13"/>
  <c r="D500" i="13"/>
  <c r="C129" i="13"/>
  <c r="D456" i="13"/>
  <c r="S57" i="12"/>
  <c r="T57" i="12" s="1"/>
  <c r="U57" i="12" s="1"/>
  <c r="S44" i="12"/>
  <c r="T44" i="12" s="1"/>
  <c r="U44" i="12" s="1"/>
  <c r="D319" i="13"/>
  <c r="S387" i="12"/>
  <c r="T387" i="12" s="1"/>
  <c r="U387" i="12" s="1"/>
  <c r="C61" i="13"/>
  <c r="S278" i="12"/>
  <c r="T278" i="12" s="1"/>
  <c r="U278" i="12" s="1"/>
  <c r="S468" i="12"/>
  <c r="T468" i="12" s="1"/>
  <c r="U468" i="12" s="1"/>
  <c r="S330" i="12"/>
  <c r="T330" i="12" s="1"/>
  <c r="U330" i="12" s="1"/>
  <c r="D269" i="13"/>
  <c r="D63" i="13"/>
  <c r="S522" i="12"/>
  <c r="T522" i="12" s="1"/>
  <c r="U522" i="12" s="1"/>
  <c r="C525" i="13"/>
  <c r="C452" i="13"/>
  <c r="D95" i="13"/>
  <c r="C104" i="13"/>
  <c r="C210" i="13"/>
  <c r="D112" i="13"/>
  <c r="S215" i="12"/>
  <c r="T215" i="12" s="1"/>
  <c r="U215" i="12" s="1"/>
  <c r="C265" i="13"/>
  <c r="S445" i="12"/>
  <c r="T445" i="12" s="1"/>
  <c r="U445" i="12" s="1"/>
  <c r="S194" i="12"/>
  <c r="T194" i="12" s="1"/>
  <c r="U194" i="12" s="1"/>
  <c r="C483" i="13"/>
  <c r="C191" i="13"/>
  <c r="C98" i="13"/>
  <c r="S264" i="12"/>
  <c r="T264" i="12" s="1"/>
  <c r="U264" i="12" s="1"/>
  <c r="D259" i="13"/>
  <c r="D469" i="13"/>
  <c r="C72" i="13"/>
  <c r="S318" i="12"/>
  <c r="T318" i="12" s="1"/>
  <c r="U318" i="12" s="1"/>
  <c r="D291" i="13"/>
  <c r="S401" i="12"/>
  <c r="T401" i="12" s="1"/>
  <c r="U401" i="12" s="1"/>
  <c r="S431" i="12"/>
  <c r="T431" i="12" s="1"/>
  <c r="U431" i="12" s="1"/>
  <c r="S70" i="12"/>
  <c r="T70" i="12" s="1"/>
  <c r="U70" i="12" s="1"/>
  <c r="S81" i="12"/>
  <c r="T81" i="12" s="1"/>
  <c r="U81" i="12" s="1"/>
  <c r="D30" i="13"/>
  <c r="D321" i="13"/>
  <c r="C529" i="13"/>
  <c r="S332" i="12"/>
  <c r="T332" i="12" s="1"/>
  <c r="U332" i="12" s="1"/>
  <c r="S335" i="12"/>
  <c r="T335" i="12" s="1"/>
  <c r="U335" i="12" s="1"/>
  <c r="S75" i="12"/>
  <c r="T75" i="12" s="1"/>
  <c r="S417" i="12"/>
  <c r="T417" i="12" s="1"/>
  <c r="U417" i="12" s="1"/>
  <c r="D412" i="13"/>
  <c r="C287" i="13"/>
  <c r="C410" i="13"/>
  <c r="C422" i="13"/>
  <c r="S76" i="12"/>
  <c r="T76" i="12" s="1"/>
  <c r="U76" i="12" s="1"/>
  <c r="C527" i="13"/>
  <c r="D423" i="13"/>
  <c r="D409" i="13"/>
  <c r="D216" i="13"/>
  <c r="C45" i="13"/>
  <c r="C351" i="13"/>
  <c r="C402" i="13"/>
  <c r="D238" i="13"/>
  <c r="C316" i="13"/>
  <c r="D14" i="13"/>
  <c r="S465" i="12"/>
  <c r="T465" i="12" s="1"/>
  <c r="U465" i="12" s="1"/>
  <c r="C69" i="13"/>
  <c r="D373" i="13"/>
  <c r="D32" i="13"/>
  <c r="D51" i="13"/>
  <c r="D123" i="13"/>
  <c r="C458" i="13"/>
  <c r="D276" i="13"/>
  <c r="D279" i="13"/>
  <c r="S521" i="12"/>
  <c r="T521" i="12" s="1"/>
  <c r="U521" i="12" s="1"/>
  <c r="D515" i="13"/>
  <c r="S453" i="12"/>
  <c r="T453" i="12" s="1"/>
  <c r="U453" i="12" s="1"/>
  <c r="S127" i="12"/>
  <c r="T127" i="12" s="1"/>
  <c r="U127" i="12" s="1"/>
  <c r="C251" i="13"/>
  <c r="C52" i="13"/>
  <c r="D341" i="13"/>
  <c r="S434" i="12"/>
  <c r="T434" i="12" s="1"/>
  <c r="U434" i="12" s="1"/>
  <c r="D480" i="13"/>
  <c r="D249" i="13"/>
  <c r="D466" i="13"/>
  <c r="D368" i="13"/>
  <c r="C394" i="13"/>
  <c r="D532" i="13"/>
  <c r="D27" i="13"/>
  <c r="D244" i="13"/>
  <c r="S540" i="12"/>
  <c r="T540" i="12" s="1"/>
  <c r="U540" i="12" s="1"/>
  <c r="C33" i="13"/>
  <c r="S334" i="12"/>
  <c r="T334" i="12" s="1"/>
  <c r="U334" i="12" s="1"/>
  <c r="D305" i="13"/>
  <c r="D67" i="13"/>
  <c r="S428" i="12"/>
  <c r="T428" i="12" s="1"/>
  <c r="U428" i="12" s="1"/>
  <c r="C26" i="13"/>
  <c r="D601" i="13"/>
  <c r="D454" i="13"/>
  <c r="D271" i="13"/>
  <c r="D118" i="13"/>
  <c r="S77" i="12"/>
  <c r="T77" i="12" s="1"/>
  <c r="U77" i="12" s="1"/>
  <c r="S103" i="12"/>
  <c r="T103" i="12" s="1"/>
  <c r="U103" i="12" s="1"/>
  <c r="D280" i="13"/>
  <c r="D15" i="13"/>
  <c r="S256" i="12"/>
  <c r="T256" i="12" s="1"/>
  <c r="U256" i="12" s="1"/>
  <c r="S97" i="12"/>
  <c r="T97" i="12" s="1"/>
  <c r="U97" i="12" s="1"/>
  <c r="C93" i="13"/>
  <c r="D268" i="13"/>
  <c r="D62" i="13"/>
  <c r="S284" i="12"/>
  <c r="T284" i="12" s="1"/>
  <c r="U284" i="12" s="1"/>
  <c r="S312" i="12"/>
  <c r="T312" i="12" s="1"/>
  <c r="U312" i="12" s="1"/>
  <c r="D87" i="13"/>
  <c r="S131" i="12"/>
  <c r="T131" i="12" s="1"/>
  <c r="U131" i="12" s="1"/>
  <c r="D301" i="13"/>
  <c r="C531" i="13"/>
  <c r="D181" i="13"/>
  <c r="D426" i="13"/>
  <c r="C421" i="13"/>
  <c r="S290" i="12"/>
  <c r="T290" i="12" s="1"/>
  <c r="S121" i="12"/>
  <c r="T121" i="12" s="1"/>
  <c r="T120" i="12" s="1"/>
  <c r="U120" i="12" s="1"/>
  <c r="C385" i="13"/>
  <c r="S487" i="12"/>
  <c r="T487" i="12" s="1"/>
  <c r="U487" i="12" s="1"/>
  <c r="C509" i="13"/>
  <c r="D211" i="13"/>
  <c r="S71" i="12"/>
  <c r="T71" i="12" s="1"/>
  <c r="U71" i="12" s="1"/>
  <c r="C46" i="13"/>
  <c r="S283" i="12"/>
  <c r="T283" i="12" s="1"/>
  <c r="U283" i="12" s="1"/>
  <c r="D281" i="13"/>
  <c r="S500" i="12"/>
  <c r="T500" i="12" s="1"/>
  <c r="T499" i="12" s="1"/>
  <c r="S293" i="12"/>
  <c r="T293" i="12" s="1"/>
  <c r="U293" i="12" s="1"/>
  <c r="C456" i="13"/>
  <c r="D57" i="13"/>
  <c r="D44" i="13"/>
  <c r="S243" i="12"/>
  <c r="T243" i="12" s="1"/>
  <c r="U243" i="12" s="1"/>
  <c r="D387" i="13"/>
  <c r="D61" i="13"/>
  <c r="D345" i="13"/>
  <c r="D303" i="13"/>
  <c r="C78" i="13"/>
  <c r="S415" i="12"/>
  <c r="T415" i="12" s="1"/>
  <c r="C330" i="13"/>
  <c r="C269" i="13"/>
  <c r="C389" i="13"/>
  <c r="C42" i="13"/>
  <c r="D522" i="13"/>
  <c r="D525" i="13"/>
  <c r="S452" i="12"/>
  <c r="T452" i="12" s="1"/>
  <c r="U452" i="12" s="1"/>
  <c r="C95" i="13"/>
  <c r="D104" i="13"/>
  <c r="D327" i="13"/>
  <c r="C112" i="13"/>
  <c r="D215" i="13"/>
  <c r="D361" i="13"/>
  <c r="D445" i="13"/>
  <c r="C194" i="13"/>
  <c r="D483" i="13"/>
  <c r="S191" i="12"/>
  <c r="T191" i="12" s="1"/>
  <c r="U191" i="12" s="1"/>
  <c r="D352" i="13"/>
  <c r="C435" i="13"/>
  <c r="D264" i="13"/>
  <c r="C259" i="13"/>
  <c r="S292" i="12"/>
  <c r="T292" i="12" s="1"/>
  <c r="U292" i="12" s="1"/>
  <c r="D318" i="13"/>
  <c r="S291" i="12"/>
  <c r="T291" i="12" s="1"/>
  <c r="U291" i="12" s="1"/>
  <c r="C401" i="13"/>
  <c r="D314" i="13"/>
  <c r="C431" i="13"/>
  <c r="C70" i="13"/>
  <c r="C81" i="13"/>
  <c r="D48" i="13"/>
  <c r="S258" i="12"/>
  <c r="T258" i="12" s="1"/>
  <c r="U258" i="12" s="1"/>
  <c r="S222" i="12"/>
  <c r="T222" i="12" s="1"/>
  <c r="U222" i="12" s="1"/>
  <c r="C321" i="13"/>
  <c r="S247" i="12"/>
  <c r="T247" i="12" s="1"/>
  <c r="U247" i="12" s="1"/>
  <c r="C332" i="13"/>
  <c r="C335" i="13"/>
  <c r="C307" i="13"/>
  <c r="S287" i="12"/>
  <c r="T287" i="12" s="1"/>
  <c r="U287" i="12" s="1"/>
  <c r="S410" i="12"/>
  <c r="T410" i="12" s="1"/>
  <c r="U410" i="12" s="1"/>
  <c r="C433" i="13"/>
  <c r="C76" i="13"/>
  <c r="S527" i="12"/>
  <c r="T527" i="12" s="1"/>
  <c r="U527" i="12" s="1"/>
  <c r="C423" i="13"/>
  <c r="S425" i="12"/>
  <c r="T425" i="12" s="1"/>
  <c r="U425" i="12" s="1"/>
  <c r="S216" i="12"/>
  <c r="T216" i="12" s="1"/>
  <c r="U216" i="12" s="1"/>
  <c r="S45" i="12"/>
  <c r="T45" i="12" s="1"/>
  <c r="U45" i="12" s="1"/>
  <c r="S351" i="12"/>
  <c r="T351" i="12" s="1"/>
  <c r="U351" i="12" s="1"/>
  <c r="S484" i="12"/>
  <c r="T484" i="12" s="1"/>
  <c r="U484" i="12" s="1"/>
  <c r="D316" i="13"/>
  <c r="C14" i="13"/>
  <c r="S53" i="12"/>
  <c r="T53" i="12" s="1"/>
  <c r="U53" i="12" s="1"/>
  <c r="D69" i="13"/>
  <c r="C373" i="13"/>
  <c r="S32" i="12"/>
  <c r="T32" i="12" s="1"/>
  <c r="U32" i="12" s="1"/>
  <c r="S51" i="12"/>
  <c r="T51" i="12" s="1"/>
  <c r="U51" i="12" s="1"/>
  <c r="D91" i="13"/>
  <c r="D458" i="13"/>
  <c r="S276" i="12"/>
  <c r="T276" i="12" s="1"/>
  <c r="U276" i="12" s="1"/>
  <c r="D521" i="13"/>
  <c r="S515" i="12"/>
  <c r="T515" i="12" s="1"/>
  <c r="U515" i="12" s="1"/>
  <c r="C489" i="13"/>
  <c r="S251" i="12"/>
  <c r="T251" i="12" s="1"/>
  <c r="U251" i="12" s="1"/>
  <c r="S52" i="12"/>
  <c r="T52" i="12" s="1"/>
  <c r="U52" i="12" s="1"/>
  <c r="S341" i="12"/>
  <c r="T341" i="12" s="1"/>
  <c r="U341" i="12" s="1"/>
  <c r="C333" i="13"/>
  <c r="C480" i="13"/>
  <c r="C249" i="13"/>
  <c r="C466" i="13"/>
  <c r="S368" i="12"/>
  <c r="T368" i="12" s="1"/>
  <c r="U368" i="12" s="1"/>
  <c r="C320" i="13"/>
  <c r="S113" i="12"/>
  <c r="T113" i="12" s="1"/>
  <c r="U113" i="12" s="1"/>
  <c r="S394" i="12"/>
  <c r="T394" i="12" s="1"/>
  <c r="U394" i="12" s="1"/>
  <c r="S532" i="12"/>
  <c r="T532" i="12" s="1"/>
  <c r="U532" i="12" s="1"/>
  <c r="S27" i="12"/>
  <c r="T27" i="12" s="1"/>
  <c r="U27" i="12" s="1"/>
  <c r="C244" i="13"/>
  <c r="C413" i="13"/>
  <c r="S126" i="12"/>
  <c r="T126" i="12" s="1"/>
  <c r="U126" i="12" s="1"/>
  <c r="C305" i="13"/>
  <c r="S67" i="12"/>
  <c r="T67" i="12" s="1"/>
  <c r="U67" i="12" s="1"/>
  <c r="D428" i="13"/>
  <c r="S26" i="12"/>
  <c r="T26" i="12" s="1"/>
  <c r="U26" i="12" s="1"/>
  <c r="S601" i="12"/>
  <c r="T601" i="12" s="1"/>
  <c r="U601" i="12" s="1"/>
  <c r="D339" i="13"/>
  <c r="C271" i="13"/>
  <c r="S118" i="12"/>
  <c r="T118" i="12" s="1"/>
  <c r="U118" i="12" s="1"/>
  <c r="D77" i="13"/>
  <c r="C395" i="13"/>
  <c r="S280" i="12"/>
  <c r="T280" i="12" s="1"/>
  <c r="U280" i="12" s="1"/>
  <c r="C15" i="13"/>
  <c r="D326" i="13"/>
  <c r="S486" i="12"/>
  <c r="T486" i="12" s="1"/>
  <c r="U486" i="12" s="1"/>
  <c r="D97" i="13"/>
  <c r="S93" i="12"/>
  <c r="T93" i="12" s="1"/>
  <c r="T92" i="12" s="1"/>
  <c r="U92" i="12" s="1"/>
  <c r="S85" i="12"/>
  <c r="T85" i="12" s="1"/>
  <c r="U85" i="12" s="1"/>
  <c r="C384" i="13"/>
  <c r="S62" i="12"/>
  <c r="T62" i="12" s="1"/>
  <c r="U62" i="12" s="1"/>
  <c r="C284" i="13"/>
  <c r="S96" i="12"/>
  <c r="T96" i="12" s="1"/>
  <c r="U96" i="12" s="1"/>
  <c r="C312" i="13"/>
  <c r="C87" i="13"/>
  <c r="C131" i="13"/>
  <c r="C301" i="13"/>
  <c r="C324" i="13"/>
  <c r="S285" i="12"/>
  <c r="T285" i="12" s="1"/>
  <c r="U285" i="12" s="1"/>
  <c r="C102" i="13"/>
  <c r="C308" i="13"/>
  <c r="D19" i="13"/>
  <c r="S254" i="12"/>
  <c r="T254" i="12" s="1"/>
  <c r="U254" i="12" s="1"/>
  <c r="S426" i="12"/>
  <c r="T426" i="12" s="1"/>
  <c r="U426" i="12" s="1"/>
  <c r="S421" i="12"/>
  <c r="T421" i="12" s="1"/>
  <c r="U421" i="12" s="1"/>
  <c r="S100" i="12"/>
  <c r="T100" i="12" s="1"/>
  <c r="U100" i="12" s="1"/>
  <c r="D121" i="13"/>
  <c r="D380" i="13"/>
  <c r="S385" i="12"/>
  <c r="T385" i="12" s="1"/>
  <c r="U385" i="12" s="1"/>
  <c r="D487" i="13"/>
  <c r="S116" i="12"/>
  <c r="T116" i="12" s="1"/>
  <c r="U116" i="12" s="1"/>
  <c r="S267" i="12"/>
  <c r="T267" i="12" s="1"/>
  <c r="U267" i="12" s="1"/>
  <c r="C71" i="13"/>
  <c r="S46" i="12"/>
  <c r="T46" i="12" s="1"/>
  <c r="U46" i="12" s="1"/>
  <c r="C283" i="13"/>
  <c r="S129" i="12"/>
  <c r="T129" i="12" s="1"/>
  <c r="T128" i="12" s="1"/>
  <c r="U128" i="12" s="1"/>
  <c r="D293" i="13"/>
  <c r="S456" i="12"/>
  <c r="T456" i="12" s="1"/>
  <c r="U456" i="12" s="1"/>
  <c r="C57" i="13"/>
  <c r="C319" i="13"/>
  <c r="C243" i="13"/>
  <c r="C387" i="13"/>
  <c r="C278" i="13"/>
  <c r="C345" i="13"/>
  <c r="S303" i="12"/>
  <c r="T303" i="12" s="1"/>
  <c r="U303" i="12" s="1"/>
  <c r="C468" i="13"/>
  <c r="D78" i="13"/>
  <c r="C415" i="13"/>
  <c r="D330" i="13"/>
  <c r="C63" i="13"/>
  <c r="D389" i="13"/>
  <c r="D42" i="13"/>
  <c r="C522" i="13"/>
  <c r="S95" i="12"/>
  <c r="T95" i="12" s="1"/>
  <c r="U95" i="12" s="1"/>
  <c r="S210" i="12"/>
  <c r="T210" i="12" s="1"/>
  <c r="U210" i="12" s="1"/>
  <c r="S327" i="12"/>
  <c r="T327" i="12" s="1"/>
  <c r="U327" i="12" s="1"/>
  <c r="S112" i="12"/>
  <c r="T112" i="12" s="1"/>
  <c r="U112" i="12" s="1"/>
  <c r="D265" i="13"/>
  <c r="S361" i="12"/>
  <c r="T361" i="12" s="1"/>
  <c r="U361" i="12" s="1"/>
  <c r="C445" i="13"/>
  <c r="S98" i="12"/>
  <c r="T98" i="12" s="1"/>
  <c r="U98" i="12" s="1"/>
  <c r="S352" i="12"/>
  <c r="T352" i="12" s="1"/>
  <c r="U352" i="12" s="1"/>
  <c r="D435" i="13"/>
  <c r="C264" i="13"/>
  <c r="U295" i="12"/>
  <c r="U277" i="12"/>
  <c r="U107" i="12"/>
  <c r="U133" i="12"/>
  <c r="U275" i="12"/>
  <c r="U54" i="12"/>
  <c r="U388" i="12"/>
  <c r="U339" i="12"/>
  <c r="C462" i="13"/>
  <c r="U449" i="12"/>
  <c r="U353" i="12"/>
  <c r="U386" i="12"/>
  <c r="U322" i="12"/>
  <c r="U317" i="12"/>
  <c r="U602" i="12"/>
  <c r="U88" i="12"/>
  <c r="U442" i="12"/>
  <c r="U356" i="12"/>
  <c r="U447" i="12"/>
  <c r="U481" i="12"/>
  <c r="U346" i="12"/>
  <c r="U87" i="12"/>
  <c r="T491" i="12"/>
  <c r="U397" i="12"/>
  <c r="U514" i="12"/>
  <c r="T203" i="12"/>
  <c r="U115" i="12"/>
  <c r="U290" i="12"/>
  <c r="U508" i="12"/>
  <c r="U464" i="12"/>
  <c r="U300" i="12"/>
  <c r="U344" i="12"/>
  <c r="U311" i="12"/>
  <c r="U503" i="12"/>
  <c r="U221" i="12"/>
  <c r="U59" i="12"/>
  <c r="U204" i="12"/>
  <c r="U307" i="12"/>
  <c r="T143" i="12" l="1"/>
  <c r="U143" i="12" s="1"/>
  <c r="U203" i="12"/>
  <c r="K125" i="11"/>
  <c r="N123" i="11" s="1"/>
  <c r="U491" i="12"/>
  <c r="K239" i="11"/>
  <c r="N237" i="11" s="1"/>
  <c r="U499" i="12"/>
  <c r="K242" i="11"/>
  <c r="N240" i="11" s="1"/>
  <c r="U460" i="12"/>
  <c r="K221" i="11"/>
  <c r="N219" i="11" s="1"/>
  <c r="U502" i="12"/>
  <c r="K245" i="11"/>
  <c r="N243" i="11" s="1"/>
  <c r="T35" i="12"/>
  <c r="U35" i="12" s="1"/>
  <c r="U36" i="12"/>
  <c r="U144" i="12"/>
  <c r="T408" i="12"/>
  <c r="T240" i="12"/>
  <c r="U240" i="12" s="1"/>
  <c r="T239" i="12"/>
  <c r="T229" i="12"/>
  <c r="T463" i="12"/>
  <c r="T49" i="12"/>
  <c r="U49" i="12" s="1"/>
  <c r="T236" i="12"/>
  <c r="T31" i="12"/>
  <c r="U31" i="12" s="1"/>
  <c r="T68" i="12"/>
  <c r="U68" i="12" s="1"/>
  <c r="U500" i="12"/>
  <c r="T130" i="12"/>
  <c r="U130" i="12" s="1"/>
  <c r="T414" i="12"/>
  <c r="T122" i="12"/>
  <c r="U122" i="12" s="1"/>
  <c r="T74" i="12"/>
  <c r="U74" i="12" s="1"/>
  <c r="T86" i="12"/>
  <c r="U86" i="12" s="1"/>
  <c r="T506" i="12"/>
  <c r="U75" i="12"/>
  <c r="T399" i="12"/>
  <c r="U462" i="12"/>
  <c r="T440" i="12"/>
  <c r="T306" i="12"/>
  <c r="T220" i="12"/>
  <c r="U121" i="12"/>
  <c r="T479" i="12"/>
  <c r="T25" i="12"/>
  <c r="U25" i="12" s="1"/>
  <c r="T80" i="12"/>
  <c r="U80" i="12" s="1"/>
  <c r="T424" i="12"/>
  <c r="T109" i="12"/>
  <c r="U109" i="12" s="1"/>
  <c r="T513" i="12"/>
  <c r="U415" i="12"/>
  <c r="T289" i="12"/>
  <c r="T108" i="12"/>
  <c r="U108" i="12" s="1"/>
  <c r="T485" i="12"/>
  <c r="T242" i="12"/>
  <c r="U93" i="12"/>
  <c r="T114" i="12"/>
  <c r="U114" i="12" s="1"/>
  <c r="T450" i="12"/>
  <c r="T99" i="12"/>
  <c r="U99" i="12" s="1"/>
  <c r="T340" i="12"/>
  <c r="T393" i="12"/>
  <c r="T58" i="12"/>
  <c r="U58" i="12" s="1"/>
  <c r="T190" i="12"/>
  <c r="T299" i="12"/>
  <c r="T246" i="12"/>
  <c r="T207" i="12"/>
  <c r="T310" i="12"/>
  <c r="T94" i="12"/>
  <c r="U94" i="12" s="1"/>
  <c r="T419" i="12"/>
  <c r="K569" i="12"/>
  <c r="B569" i="13" s="1"/>
  <c r="C570" i="12"/>
  <c r="T40" i="12"/>
  <c r="U40" i="12" s="1"/>
  <c r="U129" i="12"/>
  <c r="T396" i="12"/>
  <c r="K98" i="11" l="1"/>
  <c r="N96" i="11" s="1"/>
  <c r="P98" i="11" s="1"/>
  <c r="U207" i="12"/>
  <c r="K131" i="11"/>
  <c r="N129" i="11" s="1"/>
  <c r="U513" i="12"/>
  <c r="K251" i="11"/>
  <c r="N249" i="11" s="1"/>
  <c r="P245" i="11"/>
  <c r="AC245" i="11"/>
  <c r="Q245" i="11"/>
  <c r="R245" i="11"/>
  <c r="S245" i="11"/>
  <c r="T245" i="11"/>
  <c r="U245" i="11"/>
  <c r="V245" i="11"/>
  <c r="W245" i="11"/>
  <c r="AC242" i="11"/>
  <c r="P242" i="11"/>
  <c r="Q242" i="11"/>
  <c r="R242" i="11"/>
  <c r="S242" i="11"/>
  <c r="T242" i="11"/>
  <c r="U242" i="11"/>
  <c r="V242" i="11"/>
  <c r="W242" i="11"/>
  <c r="P239" i="11"/>
  <c r="AC239" i="11"/>
  <c r="Q239" i="11"/>
  <c r="R239" i="11"/>
  <c r="S239" i="11"/>
  <c r="T239" i="11"/>
  <c r="U239" i="11"/>
  <c r="V239" i="11"/>
  <c r="W239" i="11"/>
  <c r="U396" i="12"/>
  <c r="K194" i="11"/>
  <c r="N192" i="11" s="1"/>
  <c r="U450" i="12"/>
  <c r="K218" i="11"/>
  <c r="N216" i="11" s="1"/>
  <c r="U306" i="12"/>
  <c r="K170" i="11"/>
  <c r="N168" i="11" s="1"/>
  <c r="U463" i="12"/>
  <c r="K224" i="11"/>
  <c r="N222" i="11" s="1"/>
  <c r="U408" i="12"/>
  <c r="K200" i="11"/>
  <c r="N198" i="11" s="1"/>
  <c r="U419" i="12"/>
  <c r="K209" i="11"/>
  <c r="N207" i="11" s="1"/>
  <c r="U246" i="12"/>
  <c r="K155" i="11"/>
  <c r="N153" i="11" s="1"/>
  <c r="U393" i="12"/>
  <c r="K191" i="11"/>
  <c r="N189" i="11" s="1"/>
  <c r="U479" i="12"/>
  <c r="K230" i="11"/>
  <c r="N228" i="11" s="1"/>
  <c r="U440" i="12"/>
  <c r="K215" i="11"/>
  <c r="N213" i="11" s="1"/>
  <c r="U506" i="12"/>
  <c r="K248" i="11"/>
  <c r="N246" i="11" s="1"/>
  <c r="U414" i="12"/>
  <c r="K203" i="11"/>
  <c r="N201" i="11" s="1"/>
  <c r="U229" i="12"/>
  <c r="K140" i="11"/>
  <c r="N138" i="11" s="1"/>
  <c r="U485" i="12"/>
  <c r="K233" i="11"/>
  <c r="N231" i="11" s="1"/>
  <c r="U340" i="12"/>
  <c r="K179" i="11"/>
  <c r="N177" i="11" s="1"/>
  <c r="U424" i="12"/>
  <c r="K212" i="11"/>
  <c r="N210" i="11" s="1"/>
  <c r="U236" i="12"/>
  <c r="K143" i="11"/>
  <c r="N141" i="11" s="1"/>
  <c r="U239" i="12"/>
  <c r="K146" i="11"/>
  <c r="N144" i="11" s="1"/>
  <c r="P221" i="11"/>
  <c r="AC221" i="11"/>
  <c r="R221" i="11"/>
  <c r="Q221" i="11"/>
  <c r="S221" i="11"/>
  <c r="T221" i="11"/>
  <c r="U221" i="11"/>
  <c r="V221" i="11"/>
  <c r="W221" i="11"/>
  <c r="AC98" i="11"/>
  <c r="AC125" i="11"/>
  <c r="P125" i="11"/>
  <c r="R125" i="11"/>
  <c r="Q125" i="11"/>
  <c r="S125" i="11"/>
  <c r="T125" i="11"/>
  <c r="U125" i="11"/>
  <c r="V125" i="11"/>
  <c r="W125" i="11"/>
  <c r="U299" i="12"/>
  <c r="K167" i="11"/>
  <c r="N165" i="11" s="1"/>
  <c r="U289" i="12"/>
  <c r="K158" i="11"/>
  <c r="N156" i="11" s="1"/>
  <c r="U310" i="12"/>
  <c r="K176" i="11"/>
  <c r="N174" i="11" s="1"/>
  <c r="U190" i="12"/>
  <c r="K122" i="11"/>
  <c r="N120" i="11" s="1"/>
  <c r="U242" i="12"/>
  <c r="K149" i="11"/>
  <c r="N147" i="11" s="1"/>
  <c r="U220" i="12"/>
  <c r="K134" i="11"/>
  <c r="N132" i="11" s="1"/>
  <c r="U399" i="12"/>
  <c r="K197" i="11"/>
  <c r="N195" i="11" s="1"/>
  <c r="C571" i="12"/>
  <c r="K570" i="12"/>
  <c r="B570" i="13" s="1"/>
  <c r="W98" i="11" l="1"/>
  <c r="U98" i="11"/>
  <c r="S98" i="11"/>
  <c r="R98" i="11"/>
  <c r="V98" i="11"/>
  <c r="Q98" i="11"/>
  <c r="T98" i="11"/>
  <c r="P143" i="11"/>
  <c r="AC143" i="11"/>
  <c r="Q143" i="11"/>
  <c r="R143" i="11"/>
  <c r="S143" i="11"/>
  <c r="T143" i="11"/>
  <c r="U143" i="11"/>
  <c r="V143" i="11"/>
  <c r="W143" i="11"/>
  <c r="AC140" i="11"/>
  <c r="P140" i="11"/>
  <c r="Q140" i="11"/>
  <c r="R140" i="11"/>
  <c r="S140" i="11"/>
  <c r="T140" i="11"/>
  <c r="U140" i="11"/>
  <c r="V140" i="11"/>
  <c r="W140" i="11"/>
  <c r="P230" i="11"/>
  <c r="AC230" i="11"/>
  <c r="Q230" i="11"/>
  <c r="S230" i="11"/>
  <c r="R230" i="11"/>
  <c r="T230" i="11"/>
  <c r="U230" i="11"/>
  <c r="V230" i="11"/>
  <c r="W230" i="11"/>
  <c r="AC197" i="11"/>
  <c r="P197" i="11"/>
  <c r="Q197" i="11"/>
  <c r="R197" i="11"/>
  <c r="S197" i="11"/>
  <c r="T197" i="11"/>
  <c r="U197" i="11"/>
  <c r="V197" i="11"/>
  <c r="W197" i="11"/>
  <c r="P149" i="11"/>
  <c r="AC149" i="11"/>
  <c r="R149" i="11"/>
  <c r="Q149" i="11"/>
  <c r="S149" i="11"/>
  <c r="T149" i="11"/>
  <c r="U149" i="11"/>
  <c r="V149" i="11"/>
  <c r="W149" i="11"/>
  <c r="AC176" i="11"/>
  <c r="Q176" i="11"/>
  <c r="P176" i="11"/>
  <c r="R176" i="11"/>
  <c r="T176" i="11"/>
  <c r="S176" i="11"/>
  <c r="U176" i="11"/>
  <c r="V176" i="11"/>
  <c r="W176" i="11"/>
  <c r="AC167" i="11"/>
  <c r="P167" i="11"/>
  <c r="Q167" i="11"/>
  <c r="R167" i="11"/>
  <c r="S167" i="11"/>
  <c r="T167" i="11"/>
  <c r="U167" i="11"/>
  <c r="V167" i="11"/>
  <c r="W167" i="11"/>
  <c r="P251" i="11"/>
  <c r="AC251" i="11"/>
  <c r="Q251" i="11"/>
  <c r="R251" i="11"/>
  <c r="S251" i="11"/>
  <c r="T251" i="11"/>
  <c r="U251" i="11"/>
  <c r="V251" i="11"/>
  <c r="W251" i="11"/>
  <c r="P146" i="11"/>
  <c r="Q146" i="11"/>
  <c r="AC146" i="11"/>
  <c r="R146" i="11"/>
  <c r="S146" i="11"/>
  <c r="T146" i="11"/>
  <c r="U146" i="11"/>
  <c r="V146" i="11"/>
  <c r="W146" i="11"/>
  <c r="P212" i="11"/>
  <c r="AC212" i="11"/>
  <c r="Q212" i="11"/>
  <c r="R212" i="11"/>
  <c r="S212" i="11"/>
  <c r="T212" i="11"/>
  <c r="U212" i="11"/>
  <c r="V212" i="11"/>
  <c r="W212" i="11"/>
  <c r="AC233" i="11"/>
  <c r="P233" i="11"/>
  <c r="Q233" i="11"/>
  <c r="R233" i="11"/>
  <c r="S233" i="11"/>
  <c r="T233" i="11"/>
  <c r="U233" i="11"/>
  <c r="V233" i="11"/>
  <c r="W233" i="11"/>
  <c r="P203" i="11"/>
  <c r="AC203" i="11"/>
  <c r="R203" i="11"/>
  <c r="Q203" i="11"/>
  <c r="S203" i="11"/>
  <c r="T203" i="11"/>
  <c r="U203" i="11"/>
  <c r="V203" i="11"/>
  <c r="W203" i="11"/>
  <c r="AC215" i="11"/>
  <c r="P215" i="11"/>
  <c r="Q215" i="11"/>
  <c r="R215" i="11"/>
  <c r="S215" i="11"/>
  <c r="T215" i="11"/>
  <c r="U215" i="11"/>
  <c r="V215" i="11"/>
  <c r="W215" i="11"/>
  <c r="AC191" i="11"/>
  <c r="R191" i="11"/>
  <c r="P191" i="11"/>
  <c r="Q191" i="11"/>
  <c r="S191" i="11"/>
  <c r="T191" i="11"/>
  <c r="U191" i="11"/>
  <c r="V191" i="11"/>
  <c r="W191" i="11"/>
  <c r="AC209" i="11"/>
  <c r="P209" i="11"/>
  <c r="Q209" i="11"/>
  <c r="R209" i="11"/>
  <c r="S209" i="11"/>
  <c r="T209" i="11"/>
  <c r="U209" i="11"/>
  <c r="V209" i="11"/>
  <c r="W209" i="11"/>
  <c r="P224" i="11"/>
  <c r="Q224" i="11"/>
  <c r="AC224" i="11"/>
  <c r="R224" i="11"/>
  <c r="S224" i="11"/>
  <c r="T224" i="11"/>
  <c r="U224" i="11"/>
  <c r="V224" i="11"/>
  <c r="W224" i="11"/>
  <c r="P218" i="11"/>
  <c r="Q218" i="11"/>
  <c r="AC218" i="11"/>
  <c r="R218" i="11"/>
  <c r="S218" i="11"/>
  <c r="T218" i="11"/>
  <c r="U218" i="11"/>
  <c r="V218" i="11"/>
  <c r="W218" i="11"/>
  <c r="P134" i="11"/>
  <c r="AC134" i="11"/>
  <c r="Q134" i="11"/>
  <c r="R134" i="11"/>
  <c r="S134" i="11"/>
  <c r="T134" i="11"/>
  <c r="U134" i="11"/>
  <c r="V134" i="11"/>
  <c r="W134" i="11"/>
  <c r="P122" i="11"/>
  <c r="AC122" i="11"/>
  <c r="Q122" i="11"/>
  <c r="R122" i="11"/>
  <c r="S122" i="11"/>
  <c r="T122" i="11"/>
  <c r="U122" i="11"/>
  <c r="V122" i="11"/>
  <c r="W122" i="11"/>
  <c r="P158" i="11"/>
  <c r="Q158" i="11"/>
  <c r="AC158" i="11"/>
  <c r="T158" i="11"/>
  <c r="S158" i="11"/>
  <c r="R158" i="11"/>
  <c r="U158" i="11"/>
  <c r="V158" i="11"/>
  <c r="W158" i="11"/>
  <c r="AC131" i="11"/>
  <c r="P131" i="11"/>
  <c r="Q131" i="11"/>
  <c r="R131" i="11"/>
  <c r="S131" i="11"/>
  <c r="T131" i="11"/>
  <c r="U131" i="11"/>
  <c r="V131" i="11"/>
  <c r="W131" i="11"/>
  <c r="AC179" i="11"/>
  <c r="P179" i="11"/>
  <c r="Q179" i="11"/>
  <c r="R179" i="11"/>
  <c r="S179" i="11"/>
  <c r="T179" i="11"/>
  <c r="U179" i="11"/>
  <c r="V179" i="11"/>
  <c r="W179" i="11"/>
  <c r="Q248" i="11"/>
  <c r="P248" i="11"/>
  <c r="AC248" i="11"/>
  <c r="S248" i="11"/>
  <c r="R248" i="11"/>
  <c r="T248" i="11"/>
  <c r="U248" i="11"/>
  <c r="V248" i="11"/>
  <c r="W248" i="11"/>
  <c r="AC155" i="11"/>
  <c r="P155" i="11"/>
  <c r="Q155" i="11"/>
  <c r="R155" i="11"/>
  <c r="S155" i="11"/>
  <c r="T155" i="11"/>
  <c r="U155" i="11"/>
  <c r="V155" i="11"/>
  <c r="W155" i="11"/>
  <c r="P200" i="11"/>
  <c r="AC200" i="11"/>
  <c r="Q200" i="11"/>
  <c r="R200" i="11"/>
  <c r="S200" i="11"/>
  <c r="T200" i="11"/>
  <c r="U200" i="11"/>
  <c r="V200" i="11"/>
  <c r="W200" i="11"/>
  <c r="AC170" i="11"/>
  <c r="Q170" i="11"/>
  <c r="P170" i="11"/>
  <c r="R170" i="11"/>
  <c r="S170" i="11"/>
  <c r="T170" i="11"/>
  <c r="U170" i="11"/>
  <c r="V170" i="11"/>
  <c r="W170" i="11"/>
  <c r="S194" i="11"/>
  <c r="R194" i="11"/>
  <c r="AC194" i="11"/>
  <c r="P194" i="11"/>
  <c r="Q194" i="11"/>
  <c r="T194" i="11"/>
  <c r="U194" i="11"/>
  <c r="V194" i="11"/>
  <c r="W194" i="11"/>
  <c r="K571" i="12"/>
  <c r="C572" i="12"/>
  <c r="B571" i="13" l="1"/>
  <c r="L273" i="11"/>
  <c r="C573" i="12"/>
  <c r="K572" i="12"/>
  <c r="B572" i="13" s="1"/>
  <c r="C574" i="12" l="1"/>
  <c r="K573" i="12"/>
  <c r="B573" i="13" s="1"/>
  <c r="K574" i="12" l="1"/>
  <c r="C575" i="12"/>
  <c r="B574" i="13" l="1"/>
  <c r="L276" i="11"/>
  <c r="C576" i="12"/>
  <c r="K575" i="12"/>
  <c r="B575" i="13" s="1"/>
  <c r="K576" i="12" l="1"/>
  <c r="B576" i="13" s="1"/>
  <c r="C577" i="12"/>
  <c r="C578" i="12" l="1"/>
  <c r="K577" i="12"/>
  <c r="B577" i="13" l="1"/>
  <c r="L279" i="11"/>
  <c r="K578" i="12"/>
  <c r="B578" i="13" s="1"/>
  <c r="C579" i="12"/>
  <c r="C580" i="12" s="1"/>
  <c r="C581" i="12" l="1"/>
  <c r="K580" i="12"/>
  <c r="B580" i="13" s="1"/>
  <c r="K579" i="12"/>
  <c r="B579" i="13" s="1"/>
  <c r="C582" i="12" l="1"/>
  <c r="K581" i="12"/>
  <c r="B581" i="13" l="1"/>
  <c r="L282" i="11"/>
  <c r="K582" i="12"/>
  <c r="B582" i="13" s="1"/>
  <c r="C583" i="12"/>
  <c r="L87" i="11"/>
  <c r="C584" i="12" l="1"/>
  <c r="K583" i="12"/>
  <c r="H555" i="12"/>
  <c r="I555" i="12"/>
  <c r="I544" i="12"/>
  <c r="B544" i="12" s="1"/>
  <c r="H544" i="12"/>
  <c r="I535" i="12"/>
  <c r="B583" i="13" l="1"/>
  <c r="L285" i="11"/>
  <c r="K584" i="12"/>
  <c r="B584" i="13" s="1"/>
  <c r="C585" i="12"/>
  <c r="B555" i="12"/>
  <c r="T555" i="12" s="1"/>
  <c r="U555" i="12" l="1"/>
  <c r="K272" i="11"/>
  <c r="N270" i="11" s="1"/>
  <c r="C586" i="12"/>
  <c r="K585" i="12"/>
  <c r="T544" i="12"/>
  <c r="T12" i="12"/>
  <c r="N14" i="11" s="1"/>
  <c r="P272" i="11" l="1"/>
  <c r="AC272" i="11"/>
  <c r="Q272" i="11"/>
  <c r="R272" i="11"/>
  <c r="S272" i="11"/>
  <c r="T272" i="11"/>
  <c r="U272" i="11"/>
  <c r="V272" i="11"/>
  <c r="W272" i="11"/>
  <c r="B585" i="13"/>
  <c r="L288" i="11"/>
  <c r="C587" i="12"/>
  <c r="K586" i="12"/>
  <c r="B586" i="13" s="1"/>
  <c r="U544" i="12"/>
  <c r="C588" i="12" l="1"/>
  <c r="K587" i="12"/>
  <c r="B587" i="13" s="1"/>
  <c r="C589" i="12" l="1"/>
  <c r="K588" i="12"/>
  <c r="B588" i="13" s="1"/>
  <c r="C590" i="12" l="1"/>
  <c r="K589" i="12"/>
  <c r="B589" i="13" s="1"/>
  <c r="C591" i="12" l="1"/>
  <c r="K590" i="12"/>
  <c r="B590" i="13" l="1"/>
  <c r="L291" i="11"/>
  <c r="C592" i="12"/>
  <c r="K591" i="12"/>
  <c r="B591" i="13" s="1"/>
  <c r="K592" i="12" l="1"/>
  <c r="B592" i="13" s="1"/>
  <c r="C593" i="12"/>
  <c r="K593" i="12" l="1"/>
  <c r="C594" i="12"/>
  <c r="B593" i="13" l="1"/>
  <c r="L294" i="11"/>
  <c r="C595" i="12"/>
  <c r="K594" i="12"/>
  <c r="B594" i="13" s="1"/>
  <c r="C596" i="12" l="1"/>
  <c r="K595" i="12"/>
  <c r="B595" i="13" l="1"/>
  <c r="L297" i="11"/>
  <c r="K596" i="12"/>
  <c r="B596" i="13" s="1"/>
  <c r="C597" i="12"/>
  <c r="K597" i="12" l="1"/>
  <c r="B597" i="13" s="1"/>
  <c r="C598" i="12"/>
  <c r="K598" i="12" l="1"/>
  <c r="B598" i="13" s="1"/>
  <c r="C599" i="12"/>
  <c r="K599" i="12" l="1"/>
  <c r="B599" i="13" s="1"/>
  <c r="C600" i="12"/>
  <c r="C601" i="12" l="1"/>
  <c r="K600" i="12"/>
  <c r="B600" i="13" l="1"/>
  <c r="L300" i="11"/>
  <c r="K601" i="12"/>
  <c r="B601" i="13" s="1"/>
  <c r="C602" i="12"/>
  <c r="H600" i="12" s="1"/>
  <c r="K602" i="12" l="1"/>
  <c r="B602" i="13" s="1"/>
  <c r="H179" i="12"/>
  <c r="B179" i="12" s="1"/>
  <c r="T179" i="12" s="1"/>
  <c r="K113" i="11" s="1"/>
  <c r="N111" i="11" s="1"/>
  <c r="H519" i="12"/>
  <c r="B519" i="12" s="1"/>
  <c r="T519" i="12" s="1"/>
  <c r="K257" i="11" s="1"/>
  <c r="N255" i="11" s="1"/>
  <c r="I545" i="12"/>
  <c r="H134" i="12"/>
  <c r="B134" i="12" s="1"/>
  <c r="T134" i="12" s="1"/>
  <c r="K92" i="11" s="1"/>
  <c r="N90" i="11" s="1"/>
  <c r="H535" i="12"/>
  <c r="B535" i="12" s="1"/>
  <c r="T535" i="12" s="1"/>
  <c r="K260" i="11" s="1"/>
  <c r="N258" i="11" s="1"/>
  <c r="H298" i="12"/>
  <c r="B298" i="12" s="1"/>
  <c r="T298" i="12" s="1"/>
  <c r="K164" i="11" s="1"/>
  <c r="N162" i="11" s="1"/>
  <c r="H392" i="12"/>
  <c r="B392" i="12" s="1"/>
  <c r="T392" i="12" s="1"/>
  <c r="K188" i="11" s="1"/>
  <c r="N186" i="11" s="1"/>
  <c r="H189" i="12"/>
  <c r="B189" i="12" s="1"/>
  <c r="T189" i="12" s="1"/>
  <c r="K119" i="11" s="1"/>
  <c r="N117" i="11" s="1"/>
  <c r="H478" i="12"/>
  <c r="B478" i="12" s="1"/>
  <c r="T478" i="12" s="1"/>
  <c r="K227" i="11" s="1"/>
  <c r="N225" i="11" s="1"/>
  <c r="H13" i="12"/>
  <c r="B13" i="12" s="1"/>
  <c r="H545" i="12"/>
  <c r="H516" i="12"/>
  <c r="B516" i="12" s="1"/>
  <c r="T516" i="12" s="1"/>
  <c r="K254" i="11" s="1"/>
  <c r="N252" i="11" s="1"/>
  <c r="H79" i="12"/>
  <c r="B79" i="12" s="1"/>
  <c r="T79" i="12" s="1"/>
  <c r="H343" i="12"/>
  <c r="B343" i="12" s="1"/>
  <c r="T343" i="12" s="1"/>
  <c r="K182" i="11" s="1"/>
  <c r="N180" i="11" s="1"/>
  <c r="H39" i="12"/>
  <c r="B39" i="12" s="1"/>
  <c r="T39" i="12" s="1"/>
  <c r="H378" i="12"/>
  <c r="B378" i="12" s="1"/>
  <c r="T378" i="12" s="1"/>
  <c r="K185" i="11" s="1"/>
  <c r="N183" i="11" s="1"/>
  <c r="H24" i="12"/>
  <c r="B24" i="12" s="1"/>
  <c r="T24" i="12" s="1"/>
  <c r="H228" i="12"/>
  <c r="B228" i="12" s="1"/>
  <c r="T228" i="12" s="1"/>
  <c r="K137" i="11" s="1"/>
  <c r="N135" i="11" s="1"/>
  <c r="H490" i="12"/>
  <c r="B490" i="12" s="1"/>
  <c r="T490" i="12" s="1"/>
  <c r="K236" i="11" s="1"/>
  <c r="N234" i="11" s="1"/>
  <c r="H186" i="12"/>
  <c r="B186" i="12" s="1"/>
  <c r="T186" i="12" s="1"/>
  <c r="K116" i="11" s="1"/>
  <c r="N114" i="11" s="1"/>
  <c r="H206" i="12"/>
  <c r="B206" i="12" s="1"/>
  <c r="T206" i="12" s="1"/>
  <c r="K128" i="11" s="1"/>
  <c r="N126" i="11" s="1"/>
  <c r="H245" i="12"/>
  <c r="B245" i="12" s="1"/>
  <c r="T245" i="12" s="1"/>
  <c r="K152" i="11" s="1"/>
  <c r="N150" i="11" s="1"/>
  <c r="H418" i="12"/>
  <c r="B418" i="12" s="1"/>
  <c r="T418" i="12" s="1"/>
  <c r="K206" i="11" s="1"/>
  <c r="N204" i="11" s="1"/>
  <c r="H119" i="12"/>
  <c r="B119" i="12" s="1"/>
  <c r="T119" i="12" s="1"/>
  <c r="H309" i="12"/>
  <c r="B309" i="12" s="1"/>
  <c r="T309" i="12" s="1"/>
  <c r="K173" i="11" s="1"/>
  <c r="N171" i="11" s="1"/>
  <c r="I600" i="12"/>
  <c r="B600" i="12" s="1"/>
  <c r="T600" i="12" s="1"/>
  <c r="P116" i="11" l="1"/>
  <c r="Q116" i="11"/>
  <c r="AC116" i="11"/>
  <c r="R116" i="11"/>
  <c r="S116" i="11"/>
  <c r="T116" i="11"/>
  <c r="U116" i="11"/>
  <c r="V116" i="11"/>
  <c r="W116" i="11"/>
  <c r="R206" i="11"/>
  <c r="R205" i="11" s="1"/>
  <c r="P206" i="11"/>
  <c r="P205" i="11" s="1"/>
  <c r="P204" i="11" s="1"/>
  <c r="W206" i="11"/>
  <c r="W205" i="11" s="1"/>
  <c r="S206" i="11"/>
  <c r="S205" i="11" s="1"/>
  <c r="AC206" i="11"/>
  <c r="AC205" i="11" s="1"/>
  <c r="AC204" i="11" s="1"/>
  <c r="U206" i="11"/>
  <c r="U205" i="11" s="1"/>
  <c r="V206" i="11"/>
  <c r="V205" i="11" s="1"/>
  <c r="Q206" i="11"/>
  <c r="Q205" i="11" s="1"/>
  <c r="T206" i="11"/>
  <c r="T205" i="11" s="1"/>
  <c r="S236" i="11"/>
  <c r="S235" i="11" s="1"/>
  <c r="V236" i="11"/>
  <c r="V235" i="11" s="1"/>
  <c r="Q236" i="11"/>
  <c r="Q235" i="11" s="1"/>
  <c r="T236" i="11"/>
  <c r="T235" i="11" s="1"/>
  <c r="U236" i="11"/>
  <c r="U235" i="11" s="1"/>
  <c r="W236" i="11"/>
  <c r="W235" i="11" s="1"/>
  <c r="AC236" i="11"/>
  <c r="AC235" i="11" s="1"/>
  <c r="AC234" i="11" s="1"/>
  <c r="R236" i="11"/>
  <c r="R235" i="11" s="1"/>
  <c r="P236" i="11"/>
  <c r="P235" i="11" s="1"/>
  <c r="P234" i="11" s="1"/>
  <c r="V188" i="11"/>
  <c r="V187" i="11" s="1"/>
  <c r="W188" i="11"/>
  <c r="W187" i="11" s="1"/>
  <c r="R188" i="11"/>
  <c r="R187" i="11" s="1"/>
  <c r="Q188" i="11"/>
  <c r="Q187" i="11" s="1"/>
  <c r="U188" i="11"/>
  <c r="U187" i="11" s="1"/>
  <c r="AC188" i="11"/>
  <c r="AC187" i="11" s="1"/>
  <c r="AC186" i="11" s="1"/>
  <c r="T188" i="11"/>
  <c r="T187" i="11" s="1"/>
  <c r="S188" i="11"/>
  <c r="S187" i="11" s="1"/>
  <c r="P188" i="11"/>
  <c r="P187" i="11" s="1"/>
  <c r="P186" i="11" s="1"/>
  <c r="P128" i="11"/>
  <c r="P127" i="11" s="1"/>
  <c r="P126" i="11" s="1"/>
  <c r="R128" i="11"/>
  <c r="R127" i="11" s="1"/>
  <c r="W128" i="11"/>
  <c r="W127" i="11" s="1"/>
  <c r="T128" i="11"/>
  <c r="T127" i="11" s="1"/>
  <c r="Q128" i="11"/>
  <c r="Q127" i="11" s="1"/>
  <c r="Q126" i="11" s="1"/>
  <c r="AC128" i="11"/>
  <c r="AC127" i="11" s="1"/>
  <c r="AC126" i="11" s="1"/>
  <c r="U128" i="11"/>
  <c r="U127" i="11" s="1"/>
  <c r="V128" i="11"/>
  <c r="V127" i="11" s="1"/>
  <c r="S128" i="11"/>
  <c r="S127" i="11" s="1"/>
  <c r="U600" i="12"/>
  <c r="K302" i="11"/>
  <c r="N300" i="11" s="1"/>
  <c r="W152" i="11"/>
  <c r="W151" i="11" s="1"/>
  <c r="R152" i="11"/>
  <c r="R151" i="11" s="1"/>
  <c r="S152" i="11"/>
  <c r="S151" i="11" s="1"/>
  <c r="U152" i="11"/>
  <c r="U151" i="11" s="1"/>
  <c r="AC152" i="11"/>
  <c r="AC151" i="11" s="1"/>
  <c r="AC150" i="11" s="1"/>
  <c r="T152" i="11"/>
  <c r="T151" i="11" s="1"/>
  <c r="P152" i="11"/>
  <c r="P151" i="11" s="1"/>
  <c r="P150" i="11" s="1"/>
  <c r="Q152" i="11"/>
  <c r="Q151" i="11" s="1"/>
  <c r="V152" i="11"/>
  <c r="V151" i="11" s="1"/>
  <c r="S137" i="11"/>
  <c r="S136" i="11" s="1"/>
  <c r="V137" i="11"/>
  <c r="V136" i="11" s="1"/>
  <c r="P137" i="11"/>
  <c r="P136" i="11" s="1"/>
  <c r="P135" i="11" s="1"/>
  <c r="T137" i="11"/>
  <c r="T136" i="11" s="1"/>
  <c r="AC137" i="11"/>
  <c r="AC136" i="11" s="1"/>
  <c r="AC135" i="11" s="1"/>
  <c r="R137" i="11"/>
  <c r="R136" i="11" s="1"/>
  <c r="U137" i="11"/>
  <c r="U136" i="11" s="1"/>
  <c r="Q137" i="11"/>
  <c r="Q136" i="11" s="1"/>
  <c r="W137" i="11"/>
  <c r="W136" i="11" s="1"/>
  <c r="P182" i="11"/>
  <c r="Q182" i="11"/>
  <c r="R182" i="11"/>
  <c r="AC182" i="11"/>
  <c r="T182" i="11"/>
  <c r="S182" i="11"/>
  <c r="U182" i="11"/>
  <c r="V182" i="11"/>
  <c r="W182" i="11"/>
  <c r="V164" i="11"/>
  <c r="V163" i="11" s="1"/>
  <c r="P164" i="11"/>
  <c r="P163" i="11" s="1"/>
  <c r="P162" i="11" s="1"/>
  <c r="R164" i="11"/>
  <c r="R163" i="11" s="1"/>
  <c r="AC164" i="11"/>
  <c r="AC163" i="11" s="1"/>
  <c r="AC162" i="11" s="1"/>
  <c r="Q164" i="11"/>
  <c r="Q163" i="11" s="1"/>
  <c r="T164" i="11"/>
  <c r="T163" i="11" s="1"/>
  <c r="U164" i="11"/>
  <c r="U163" i="11" s="1"/>
  <c r="W164" i="11"/>
  <c r="W163" i="11" s="1"/>
  <c r="S164" i="11"/>
  <c r="S163" i="11" s="1"/>
  <c r="AC257" i="11"/>
  <c r="P257" i="11"/>
  <c r="Q257" i="11"/>
  <c r="R257" i="11"/>
  <c r="S257" i="11"/>
  <c r="T257" i="11"/>
  <c r="U257" i="11"/>
  <c r="V257" i="11"/>
  <c r="W257" i="11"/>
  <c r="AC173" i="11"/>
  <c r="AC172" i="11" s="1"/>
  <c r="AC171" i="11" s="1"/>
  <c r="V173" i="11"/>
  <c r="V172" i="11" s="1"/>
  <c r="R173" i="11"/>
  <c r="R172" i="11" s="1"/>
  <c r="U173" i="11"/>
  <c r="U172" i="11" s="1"/>
  <c r="T173" i="11"/>
  <c r="T172" i="11" s="1"/>
  <c r="W173" i="11"/>
  <c r="W172" i="11" s="1"/>
  <c r="W171" i="11" s="1"/>
  <c r="S173" i="11"/>
  <c r="S172" i="11" s="1"/>
  <c r="P173" i="11"/>
  <c r="P172" i="11" s="1"/>
  <c r="P171" i="11" s="1"/>
  <c r="Q173" i="11"/>
  <c r="Q172" i="11" s="1"/>
  <c r="AC227" i="11"/>
  <c r="AC226" i="11" s="1"/>
  <c r="AC225" i="11" s="1"/>
  <c r="W227" i="11"/>
  <c r="W226" i="11" s="1"/>
  <c r="T227" i="11"/>
  <c r="T226" i="11" s="1"/>
  <c r="V227" i="11"/>
  <c r="V226" i="11" s="1"/>
  <c r="R227" i="11"/>
  <c r="R226" i="11" s="1"/>
  <c r="Q227" i="11"/>
  <c r="Q226" i="11" s="1"/>
  <c r="S227" i="11"/>
  <c r="S226" i="11" s="1"/>
  <c r="U227" i="11"/>
  <c r="U226" i="11" s="1"/>
  <c r="P227" i="11"/>
  <c r="P226" i="11" s="1"/>
  <c r="P225" i="11" s="1"/>
  <c r="P260" i="11"/>
  <c r="AC260" i="11"/>
  <c r="Q260" i="11"/>
  <c r="R260" i="11"/>
  <c r="S260" i="11"/>
  <c r="T260" i="11"/>
  <c r="U260" i="11"/>
  <c r="V260" i="11"/>
  <c r="W260" i="11"/>
  <c r="Q113" i="11"/>
  <c r="S113" i="11"/>
  <c r="AC113" i="11"/>
  <c r="R113" i="11"/>
  <c r="P113" i="11"/>
  <c r="T113" i="11"/>
  <c r="U113" i="11"/>
  <c r="V113" i="11"/>
  <c r="W113" i="11"/>
  <c r="P185" i="11"/>
  <c r="AC185" i="11"/>
  <c r="Q185" i="11"/>
  <c r="R185" i="11"/>
  <c r="S185" i="11"/>
  <c r="T185" i="11"/>
  <c r="U185" i="11"/>
  <c r="V185" i="11"/>
  <c r="W185" i="11"/>
  <c r="AC254" i="11"/>
  <c r="Q254" i="11"/>
  <c r="P254" i="11"/>
  <c r="R254" i="11"/>
  <c r="S254" i="11"/>
  <c r="T254" i="11"/>
  <c r="U254" i="11"/>
  <c r="V254" i="11"/>
  <c r="W254" i="11"/>
  <c r="P119" i="11"/>
  <c r="P118" i="11" s="1"/>
  <c r="P117" i="11" s="1"/>
  <c r="U119" i="11"/>
  <c r="U118" i="11" s="1"/>
  <c r="S119" i="11"/>
  <c r="S118" i="11" s="1"/>
  <c r="V119" i="11"/>
  <c r="V118" i="11" s="1"/>
  <c r="Q119" i="11"/>
  <c r="Q118" i="11" s="1"/>
  <c r="Q117" i="11" s="1"/>
  <c r="T119" i="11"/>
  <c r="T118" i="11" s="1"/>
  <c r="W119" i="11"/>
  <c r="W118" i="11" s="1"/>
  <c r="R119" i="11"/>
  <c r="R118" i="11" s="1"/>
  <c r="AC119" i="11"/>
  <c r="AC118" i="11" s="1"/>
  <c r="AC117" i="11" s="1"/>
  <c r="W92" i="11"/>
  <c r="W91" i="11" s="1"/>
  <c r="AC92" i="11"/>
  <c r="AC91" i="11" s="1"/>
  <c r="AC90" i="11" s="1"/>
  <c r="S92" i="11"/>
  <c r="S91" i="11" s="1"/>
  <c r="V92" i="11"/>
  <c r="V91" i="11" s="1"/>
  <c r="R92" i="11"/>
  <c r="R91" i="11" s="1"/>
  <c r="Q92" i="11"/>
  <c r="Q91" i="11" s="1"/>
  <c r="T92" i="11"/>
  <c r="T91" i="11" s="1"/>
  <c r="T90" i="11" s="1"/>
  <c r="P92" i="11"/>
  <c r="P91" i="11" s="1"/>
  <c r="P90" i="11" s="1"/>
  <c r="U92" i="11"/>
  <c r="U91" i="11" s="1"/>
  <c r="U309" i="12"/>
  <c r="K59" i="11"/>
  <c r="N57" i="11" s="1"/>
  <c r="U418" i="12"/>
  <c r="K71" i="11"/>
  <c r="N69" i="11" s="1"/>
  <c r="K77" i="11"/>
  <c r="N75" i="11" s="1"/>
  <c r="U490" i="12"/>
  <c r="K26" i="11"/>
  <c r="N24" i="11" s="1"/>
  <c r="U39" i="12"/>
  <c r="K68" i="11"/>
  <c r="N66" i="11" s="1"/>
  <c r="U392" i="12"/>
  <c r="B545" i="12"/>
  <c r="T545" i="12" s="1"/>
  <c r="K263" i="11" s="1"/>
  <c r="N261" i="11" s="1"/>
  <c r="U343" i="12"/>
  <c r="K62" i="11"/>
  <c r="N60" i="11" s="1"/>
  <c r="T13" i="12"/>
  <c r="K56" i="11"/>
  <c r="N54" i="11" s="1"/>
  <c r="U298" i="12"/>
  <c r="U519" i="12"/>
  <c r="K83" i="11"/>
  <c r="N81" i="11" s="1"/>
  <c r="U228" i="12"/>
  <c r="K50" i="11"/>
  <c r="N48" i="11" s="1"/>
  <c r="K47" i="11"/>
  <c r="N45" i="11" s="1"/>
  <c r="U206" i="12"/>
  <c r="K23" i="11"/>
  <c r="N21" i="11" s="1"/>
  <c r="U24" i="12"/>
  <c r="K29" i="11"/>
  <c r="N27" i="11" s="1"/>
  <c r="U79" i="12"/>
  <c r="K74" i="11"/>
  <c r="N72" i="11" s="1"/>
  <c r="U478" i="12"/>
  <c r="K86" i="11"/>
  <c r="N84" i="11" s="1"/>
  <c r="U535" i="12"/>
  <c r="U179" i="12"/>
  <c r="K38" i="11"/>
  <c r="N36" i="11" s="1"/>
  <c r="K53" i="11"/>
  <c r="N51" i="11" s="1"/>
  <c r="U245" i="12"/>
  <c r="U119" i="12"/>
  <c r="K32" i="11"/>
  <c r="N30" i="11" s="1"/>
  <c r="K41" i="11"/>
  <c r="N39" i="11" s="1"/>
  <c r="U186" i="12"/>
  <c r="K65" i="11"/>
  <c r="N63" i="11" s="1"/>
  <c r="U378" i="12"/>
  <c r="U516" i="12"/>
  <c r="K80" i="11"/>
  <c r="N78" i="11" s="1"/>
  <c r="K44" i="11"/>
  <c r="N42" i="11" s="1"/>
  <c r="U189" i="12"/>
  <c r="U134" i="12"/>
  <c r="K35" i="11"/>
  <c r="N33" i="11" s="1"/>
  <c r="W234" i="11" l="1"/>
  <c r="S171" i="11"/>
  <c r="T135" i="11"/>
  <c r="T117" i="11"/>
  <c r="W225" i="11"/>
  <c r="R171" i="11"/>
  <c r="S162" i="11"/>
  <c r="V162" i="11"/>
  <c r="U150" i="11"/>
  <c r="S150" i="11"/>
  <c r="R234" i="11"/>
  <c r="T204" i="11"/>
  <c r="U90" i="11"/>
  <c r="Q150" i="11"/>
  <c r="S186" i="11"/>
  <c r="U234" i="11"/>
  <c r="W117" i="11"/>
  <c r="W135" i="11"/>
  <c r="S126" i="11"/>
  <c r="S204" i="11"/>
  <c r="V90" i="11"/>
  <c r="Q225" i="11"/>
  <c r="Q162" i="11"/>
  <c r="U135" i="11"/>
  <c r="U126" i="11"/>
  <c r="W126" i="11"/>
  <c r="Q186" i="11"/>
  <c r="S234" i="11"/>
  <c r="U204" i="11"/>
  <c r="V117" i="11"/>
  <c r="V171" i="11"/>
  <c r="R135" i="11"/>
  <c r="R126" i="11"/>
  <c r="U225" i="11"/>
  <c r="Q171" i="11"/>
  <c r="U162" i="11"/>
  <c r="W186" i="11"/>
  <c r="R90" i="11"/>
  <c r="W90" i="11"/>
  <c r="U117" i="11"/>
  <c r="S225" i="11"/>
  <c r="T225" i="11"/>
  <c r="U171" i="11"/>
  <c r="T162" i="11"/>
  <c r="Q135" i="11"/>
  <c r="V150" i="11"/>
  <c r="W150" i="11"/>
  <c r="V126" i="11"/>
  <c r="T126" i="11"/>
  <c r="U186" i="11"/>
  <c r="V186" i="11"/>
  <c r="V234" i="11"/>
  <c r="V204" i="11"/>
  <c r="W204" i="11"/>
  <c r="P302" i="11"/>
  <c r="AC302" i="11"/>
  <c r="Q302" i="11"/>
  <c r="R302" i="11"/>
  <c r="S302" i="11"/>
  <c r="T302" i="11"/>
  <c r="U302" i="11"/>
  <c r="V302" i="11"/>
  <c r="W302" i="11"/>
  <c r="W263" i="11"/>
  <c r="W262" i="11" s="1"/>
  <c r="U263" i="11"/>
  <c r="U262" i="11" s="1"/>
  <c r="P263" i="11"/>
  <c r="P262" i="11" s="1"/>
  <c r="P261" i="11" s="1"/>
  <c r="V263" i="11"/>
  <c r="V262" i="11" s="1"/>
  <c r="T263" i="11"/>
  <c r="T262" i="11" s="1"/>
  <c r="R263" i="11"/>
  <c r="R262" i="11" s="1"/>
  <c r="AC263" i="11"/>
  <c r="AC262" i="11" s="1"/>
  <c r="AC261" i="11" s="1"/>
  <c r="S263" i="11"/>
  <c r="S262" i="11" s="1"/>
  <c r="Q263" i="11"/>
  <c r="Q262" i="11" s="1"/>
  <c r="S90" i="11"/>
  <c r="R117" i="11"/>
  <c r="R225" i="11"/>
  <c r="W162" i="11"/>
  <c r="V135" i="11"/>
  <c r="T186" i="11"/>
  <c r="R186" i="11"/>
  <c r="T234" i="11"/>
  <c r="R204" i="11"/>
  <c r="Q90" i="11"/>
  <c r="S117" i="11"/>
  <c r="V225" i="11"/>
  <c r="T171" i="11"/>
  <c r="R162" i="11"/>
  <c r="S135" i="11"/>
  <c r="T150" i="11"/>
  <c r="R150" i="11"/>
  <c r="Q234" i="11"/>
  <c r="Q204" i="11"/>
  <c r="B12" i="12"/>
  <c r="P41" i="11"/>
  <c r="R41" i="11"/>
  <c r="W41" i="11"/>
  <c r="AC41" i="11"/>
  <c r="Q41" i="11"/>
  <c r="V41" i="11"/>
  <c r="T41" i="11"/>
  <c r="S41" i="11"/>
  <c r="U41" i="11"/>
  <c r="W44" i="11"/>
  <c r="R44" i="11"/>
  <c r="Q44" i="11"/>
  <c r="S44" i="11"/>
  <c r="T44" i="11"/>
  <c r="AC44" i="11"/>
  <c r="V44" i="11"/>
  <c r="U44" i="11"/>
  <c r="P44" i="11"/>
  <c r="W65" i="11"/>
  <c r="S65" i="11"/>
  <c r="V65" i="11"/>
  <c r="R65" i="11"/>
  <c r="P65" i="11"/>
  <c r="T65" i="11"/>
  <c r="AC65" i="11"/>
  <c r="U65" i="11"/>
  <c r="Q65" i="11"/>
  <c r="W74" i="11"/>
  <c r="U74" i="11"/>
  <c r="P74" i="11"/>
  <c r="R74" i="11"/>
  <c r="T74" i="11"/>
  <c r="V74" i="11"/>
  <c r="S74" i="11"/>
  <c r="AC74" i="11"/>
  <c r="Q74" i="11"/>
  <c r="P56" i="11"/>
  <c r="U56" i="11"/>
  <c r="W56" i="11"/>
  <c r="AC56" i="11"/>
  <c r="R56" i="11"/>
  <c r="V56" i="11"/>
  <c r="T56" i="11"/>
  <c r="S56" i="11"/>
  <c r="Q56" i="11"/>
  <c r="P71" i="11"/>
  <c r="S71" i="11"/>
  <c r="AC71" i="11"/>
  <c r="W71" i="11"/>
  <c r="V71" i="11"/>
  <c r="U71" i="11"/>
  <c r="R71" i="11"/>
  <c r="T71" i="11"/>
  <c r="Q71" i="11"/>
  <c r="S80" i="11"/>
  <c r="Q80" i="11"/>
  <c r="U80" i="11"/>
  <c r="R80" i="11"/>
  <c r="P80" i="11"/>
  <c r="T80" i="11"/>
  <c r="V80" i="11"/>
  <c r="AC80" i="11"/>
  <c r="W80" i="11"/>
  <c r="W83" i="11"/>
  <c r="P83" i="11"/>
  <c r="V83" i="11"/>
  <c r="R83" i="11"/>
  <c r="T83" i="11"/>
  <c r="U83" i="11"/>
  <c r="AC83" i="11"/>
  <c r="S83" i="11"/>
  <c r="Q83" i="11"/>
  <c r="U13" i="12"/>
  <c r="K20" i="11"/>
  <c r="N18" i="11" s="1"/>
  <c r="U545" i="12"/>
  <c r="K89" i="11"/>
  <c r="N87" i="11" s="1"/>
  <c r="Q26" i="11"/>
  <c r="R26" i="11"/>
  <c r="P26" i="11"/>
  <c r="T26" i="11"/>
  <c r="S26" i="11"/>
  <c r="U26" i="11"/>
  <c r="V26" i="11"/>
  <c r="AC26" i="11"/>
  <c r="W26" i="11"/>
  <c r="R86" i="11"/>
  <c r="U86" i="11"/>
  <c r="S86" i="11"/>
  <c r="T86" i="11"/>
  <c r="P86" i="11"/>
  <c r="V86" i="11"/>
  <c r="Q86" i="11"/>
  <c r="W86" i="11"/>
  <c r="AC86" i="11"/>
  <c r="R29" i="11"/>
  <c r="V29" i="11"/>
  <c r="U29" i="11"/>
  <c r="Q29" i="11"/>
  <c r="W29" i="11"/>
  <c r="T29" i="11"/>
  <c r="P29" i="11"/>
  <c r="AC29" i="11"/>
  <c r="S29" i="11"/>
  <c r="Q47" i="11"/>
  <c r="AC47" i="11"/>
  <c r="T47" i="11"/>
  <c r="W47" i="11"/>
  <c r="V47" i="11"/>
  <c r="U47" i="11"/>
  <c r="P47" i="11"/>
  <c r="R47" i="11"/>
  <c r="S47" i="11"/>
  <c r="Q59" i="11"/>
  <c r="R59" i="11"/>
  <c r="S59" i="11"/>
  <c r="W59" i="11"/>
  <c r="V59" i="11"/>
  <c r="T59" i="11"/>
  <c r="AC59" i="11"/>
  <c r="U59" i="11"/>
  <c r="P59" i="11"/>
  <c r="Q32" i="11"/>
  <c r="T32" i="11"/>
  <c r="S32" i="11"/>
  <c r="R32" i="11"/>
  <c r="P32" i="11"/>
  <c r="AC32" i="11"/>
  <c r="V32" i="11"/>
  <c r="U32" i="11"/>
  <c r="W32" i="11"/>
  <c r="Q38" i="11"/>
  <c r="W38" i="11"/>
  <c r="P38" i="11"/>
  <c r="R38" i="11"/>
  <c r="T38" i="11"/>
  <c r="V38" i="11"/>
  <c r="U38" i="11"/>
  <c r="AC38" i="11"/>
  <c r="S38" i="11"/>
  <c r="R50" i="11"/>
  <c r="AC50" i="11"/>
  <c r="P50" i="11"/>
  <c r="V50" i="11"/>
  <c r="U50" i="11"/>
  <c r="W50" i="11"/>
  <c r="Q50" i="11"/>
  <c r="T50" i="11"/>
  <c r="S50" i="11"/>
  <c r="P62" i="11"/>
  <c r="Q62" i="11"/>
  <c r="U62" i="11"/>
  <c r="AC62" i="11"/>
  <c r="S62" i="11"/>
  <c r="V62" i="11"/>
  <c r="R62" i="11"/>
  <c r="W62" i="11"/>
  <c r="T62" i="11"/>
  <c r="Q68" i="11"/>
  <c r="U68" i="11"/>
  <c r="AC68" i="11"/>
  <c r="V68" i="11"/>
  <c r="R68" i="11"/>
  <c r="S68" i="11"/>
  <c r="P68" i="11"/>
  <c r="T68" i="11"/>
  <c r="W68" i="11"/>
  <c r="V35" i="11" l="1"/>
  <c r="V34" i="11" s="1"/>
  <c r="AC23" i="11"/>
  <c r="Q261" i="11"/>
  <c r="T261" i="11"/>
  <c r="W261" i="11"/>
  <c r="U53" i="11"/>
  <c r="S261" i="11"/>
  <c r="V261" i="11"/>
  <c r="W35" i="11"/>
  <c r="W34" i="11" s="1"/>
  <c r="T53" i="11"/>
  <c r="S53" i="11"/>
  <c r="S52" i="11" s="1"/>
  <c r="U35" i="11"/>
  <c r="P35" i="11"/>
  <c r="P34" i="11" s="1"/>
  <c r="P53" i="11"/>
  <c r="P52" i="11" s="1"/>
  <c r="V53" i="11"/>
  <c r="Q53" i="11"/>
  <c r="Q52" i="11" s="1"/>
  <c r="W23" i="11"/>
  <c r="W22" i="11" s="1"/>
  <c r="S23" i="11"/>
  <c r="S22" i="11" s="1"/>
  <c r="Q23" i="11"/>
  <c r="R261" i="11"/>
  <c r="U261" i="11"/>
  <c r="S35" i="11"/>
  <c r="T35" i="11"/>
  <c r="Q35" i="11"/>
  <c r="AC53" i="11"/>
  <c r="V23" i="11"/>
  <c r="V22" i="11" s="1"/>
  <c r="P23" i="11"/>
  <c r="P22" i="11" s="1"/>
  <c r="Q22" i="11" s="1"/>
  <c r="W53" i="11"/>
  <c r="T23" i="11"/>
  <c r="T22" i="11" s="1"/>
  <c r="AC35" i="11"/>
  <c r="R35" i="11"/>
  <c r="R53" i="11"/>
  <c r="U23" i="11"/>
  <c r="U22" i="11" s="1"/>
  <c r="R23" i="11"/>
  <c r="U5" i="12"/>
  <c r="P89" i="11"/>
  <c r="P77" i="11" s="1"/>
  <c r="P76" i="11" s="1"/>
  <c r="U89" i="11"/>
  <c r="U77" i="11" s="1"/>
  <c r="S89" i="11"/>
  <c r="S77" i="11" s="1"/>
  <c r="W89" i="11"/>
  <c r="W77" i="11" s="1"/>
  <c r="V89" i="11"/>
  <c r="V77" i="11" s="1"/>
  <c r="T89" i="11"/>
  <c r="T77" i="11" s="1"/>
  <c r="Q89" i="11"/>
  <c r="Q77" i="11" s="1"/>
  <c r="Q76" i="11" s="1"/>
  <c r="AC89" i="11"/>
  <c r="AC77" i="11" s="1"/>
  <c r="R89" i="11"/>
  <c r="R77" i="11" s="1"/>
  <c r="U20" i="11"/>
  <c r="T20" i="11"/>
  <c r="W20" i="11"/>
  <c r="P20" i="11"/>
  <c r="Q20" i="11"/>
  <c r="V20" i="11"/>
  <c r="S20" i="11"/>
  <c r="AC20" i="11"/>
  <c r="R20" i="11"/>
  <c r="P17" i="11" l="1"/>
  <c r="P15" i="11" s="1"/>
  <c r="P14" i="11" s="1"/>
  <c r="T52" i="11"/>
  <c r="U52" i="11" s="1"/>
  <c r="V52" i="11" s="1"/>
  <c r="W52" i="11" s="1"/>
  <c r="W17" i="11"/>
  <c r="W16" i="11" s="1"/>
  <c r="U17" i="11"/>
  <c r="U16" i="11" s="1"/>
  <c r="Q34" i="11"/>
  <c r="R34" i="11" s="1"/>
  <c r="S34" i="11" s="1"/>
  <c r="T34" i="11" s="1"/>
  <c r="U34" i="11" s="1"/>
  <c r="R52" i="11"/>
  <c r="R22" i="11"/>
  <c r="R76" i="11"/>
  <c r="S76" i="11" s="1"/>
  <c r="T76" i="11" s="1"/>
  <c r="U76" i="11" s="1"/>
  <c r="V76" i="11" s="1"/>
  <c r="W76" i="11" s="1"/>
  <c r="T17" i="11"/>
  <c r="T16" i="11" s="1"/>
  <c r="Q17" i="11"/>
  <c r="Q16" i="11" s="1"/>
  <c r="S17" i="11"/>
  <c r="S16" i="11" s="1"/>
  <c r="V17" i="11"/>
  <c r="V16" i="11" s="1"/>
  <c r="R17" i="11"/>
  <c r="R16" i="11" s="1"/>
  <c r="AC17" i="11"/>
  <c r="AC16" i="11" s="1"/>
  <c r="P16" i="11" l="1"/>
  <c r="L8" i="11"/>
  <c r="Q15" i="11"/>
  <c r="Q14" i="11" s="1"/>
  <c r="U15" i="11"/>
  <c r="U14" i="11" s="1"/>
  <c r="R15" i="11"/>
  <c r="R14" i="11" s="1"/>
  <c r="V15" i="11"/>
  <c r="V14" i="11" s="1"/>
  <c r="W15" i="11"/>
  <c r="W14" i="11" s="1"/>
  <c r="AC15" i="11"/>
  <c r="AC14" i="11" s="1"/>
  <c r="T15" i="11"/>
  <c r="T14" i="11" s="1"/>
  <c r="S15" i="11"/>
  <c r="S14" i="11" s="1"/>
  <c r="AC22" i="11"/>
  <c r="AC21" i="11" s="1"/>
  <c r="AC76" i="11"/>
  <c r="AC75" i="11" s="1"/>
  <c r="AC34" i="11"/>
  <c r="AC33" i="11"/>
  <c r="AC52" i="11"/>
  <c r="AC51" i="11" s="1"/>
</calcChain>
</file>

<file path=xl/sharedStrings.xml><?xml version="1.0" encoding="utf-8"?>
<sst xmlns="http://schemas.openxmlformats.org/spreadsheetml/2006/main" count="4108" uniqueCount="1194">
  <si>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</si>
  <si>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</si>
  <si>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</si>
  <si>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</si>
  <si>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</si>
  <si>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</si>
  <si>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</si>
  <si>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</si>
  <si>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</si>
  <si>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</si>
  <si>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</si>
  <si>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</si>
  <si>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</si>
  <si>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</si>
  <si>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</si>
  <si>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</si>
  <si>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</si>
  <si>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</si>
  <si>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</si>
  <si>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</si>
  <si>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</si>
  <si>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</si>
  <si>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</si>
  <si>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</si>
  <si>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</si>
  <si>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</si>
  <si>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</si>
  <si>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</si>
  <si>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</si>
  <si>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</si>
  <si>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</si>
  <si>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</si>
  <si>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</si>
  <si>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</si>
  <si>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</si>
  <si>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</si>
  <si>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</si>
  <si>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</si>
  <si>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</si>
  <si>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</si>
  <si>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</si>
  <si>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</si>
  <si>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</si>
  <si>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</si>
  <si>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</si>
  <si>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</si>
  <si>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</si>
  <si>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</si>
  <si>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</si>
  <si>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</si>
  <si>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</si>
  <si>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</si>
  <si>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</si>
  <si>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</si>
  <si>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</si>
  <si>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</si>
  <si>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</si>
  <si>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</si>
  <si>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</si>
  <si>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</si>
  <si>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</si>
  <si>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</si>
  <si>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</si>
  <si>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</si>
  <si>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</si>
  <si>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</si>
  <si>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</si>
  <si>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</si>
  <si>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</si>
  <si>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</si>
  <si>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</si>
  <si>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</si>
  <si>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</si>
  <si>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</si>
  <si>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</si>
  <si>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</si>
  <si>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</si>
  <si>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</si>
  <si>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</si>
  <si>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</si>
  <si>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</si>
  <si>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</si>
  <si>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</si>
  <si>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</si>
  <si>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</si>
  <si>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</si>
  <si>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</si>
  <si>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</si>
  <si>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</si>
  <si>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</si>
  <si>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</si>
  <si>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</si>
  <si>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</si>
  <si>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</si>
  <si>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</si>
  <si>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</si>
  <si>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</si>
  <si>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</si>
  <si>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</si>
  <si>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</si>
  <si>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</si>
  <si>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</si>
  <si>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</si>
  <si>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</si>
  <si>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</si>
  <si>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</si>
  <si>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</si>
  <si>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</si>
  <si>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</si>
  <si>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</si>
  <si>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</si>
  <si>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</si>
  <si>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</si>
  <si>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</si>
  <si>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</si>
  <si>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</si>
  <si>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</si>
  <si>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</si>
  <si>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</si>
  <si>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</si>
  <si>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</si>
  <si>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</si>
  <si>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</si>
  <si>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</si>
  <si>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</si>
  <si>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</si>
  <si>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</si>
  <si>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</si>
  <si>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</si>
  <si>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</si>
  <si>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</si>
  <si>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</si>
  <si>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</si>
  <si>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</si>
  <si>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</si>
  <si>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</si>
  <si>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</si>
  <si>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</si>
  <si>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</si>
  <si>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</si>
  <si>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</si>
  <si>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</si>
  <si>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</si>
  <si>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</si>
  <si>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</si>
  <si>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</si>
  <si>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</si>
  <si>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</si>
  <si>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</si>
  <si>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</si>
  <si>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</si>
  <si>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</si>
  <si>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</si>
  <si>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</si>
  <si>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</si>
  <si>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</si>
  <si>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</si>
  <si>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</si>
  <si>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</si>
  <si>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</si>
  <si>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</si>
  <si>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</si>
  <si>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</si>
  <si>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</si>
  <si>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</si>
  <si>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</si>
  <si>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</si>
  <si>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</si>
  <si>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</si>
  <si>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</si>
  <si>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</si>
  <si>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</si>
  <si>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</si>
  <si>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</si>
  <si>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</si>
  <si>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</si>
  <si>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</si>
  <si>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</si>
  <si>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</si>
  <si>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</si>
  <si>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</si>
  <si>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</si>
  <si>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</si>
  <si>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</si>
  <si>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</si>
  <si>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</si>
  <si>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</si>
  <si>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</si>
  <si>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</si>
  <si>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</si>
  <si>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</si>
  <si>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</si>
  <si>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</si>
  <si>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</si>
  <si>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</si>
  <si>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</si>
  <si>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</si>
  <si>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</si>
  <si>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</si>
  <si>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</si>
  <si>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</si>
  <si>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</si>
  <si>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</si>
  <si>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</si>
  <si>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</si>
  <si>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</si>
  <si>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</si>
  <si>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</si>
  <si>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</si>
  <si>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</si>
  <si>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</si>
  <si>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</si>
  <si>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</si>
  <si>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</si>
  <si>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</si>
  <si>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</si>
  <si>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</si>
  <si>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</si>
  <si>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</si>
  <si>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</si>
  <si>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</si>
  <si>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</si>
  <si>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</si>
  <si>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</si>
  <si>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</si>
  <si>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</si>
  <si>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</si>
  <si>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</si>
  <si>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</si>
  <si>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</si>
  <si>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</si>
  <si>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 xml:space="preserve">PREFEITO MUNICIPAL </t>
  </si>
  <si>
    <t>BENTO GONÇALVES/RS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</si>
  <si>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</si>
  <si>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</si>
  <si>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</si>
  <si>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</si>
  <si>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DIOGO SEGABINAZZI SIQUEIRA</t>
  </si>
  <si>
    <t>DISTRITO DO VALE DOS VINHEDOS</t>
  </si>
  <si>
    <t>103689</t>
  </si>
  <si>
    <t>SINAPI-I</t>
  </si>
  <si>
    <t>101617</t>
  </si>
  <si>
    <t>CONSTRUÇÃO DA EMI FENAVINHO</t>
  </si>
  <si>
    <t>EMI FENAVINHO</t>
  </si>
  <si>
    <t>ESCOLA MUNICIPAL DE EDUCAÇÃO INFANTIL - EMI FENAVINHO</t>
  </si>
  <si>
    <t>SERVIÇOS PRELIMINARES</t>
  </si>
  <si>
    <t>98459</t>
  </si>
  <si>
    <t>101509</t>
  </si>
  <si>
    <t>99059</t>
  </si>
  <si>
    <t>98525</t>
  </si>
  <si>
    <t>94306</t>
  </si>
  <si>
    <t>93381</t>
  </si>
  <si>
    <t>MOVIMENTAÇÕES DE SOLO</t>
  </si>
  <si>
    <t>FUNDAÇÕES</t>
  </si>
  <si>
    <t>96619</t>
  </si>
  <si>
    <t>104917</t>
  </si>
  <si>
    <t>104918</t>
  </si>
  <si>
    <t>104919</t>
  </si>
  <si>
    <t>104920</t>
  </si>
  <si>
    <t>96558</t>
  </si>
  <si>
    <t>96557</t>
  </si>
  <si>
    <t>SUPERESTRUTURA</t>
  </si>
  <si>
    <t>92443</t>
  </si>
  <si>
    <t>92762</t>
  </si>
  <si>
    <t>92763</t>
  </si>
  <si>
    <t>92759</t>
  </si>
  <si>
    <t>103672</t>
  </si>
  <si>
    <t>92761</t>
  </si>
  <si>
    <t>103675</t>
  </si>
  <si>
    <t>93184</t>
  </si>
  <si>
    <t>92760</t>
  </si>
  <si>
    <t>ESTRUTURA METÁLICA</t>
  </si>
  <si>
    <t>100775</t>
  </si>
  <si>
    <t>PISO DE CONCRETO</t>
  </si>
  <si>
    <t>PAVIMENTAÇÃO INTERNA</t>
  </si>
  <si>
    <t>97083</t>
  </si>
  <si>
    <t>96622</t>
  </si>
  <si>
    <t>97087</t>
  </si>
  <si>
    <t>101161</t>
  </si>
  <si>
    <t>ELEMENTOS VAZADOS</t>
  </si>
  <si>
    <t>103322</t>
  </si>
  <si>
    <t>103328</t>
  </si>
  <si>
    <t>103324</t>
  </si>
  <si>
    <t>101159</t>
  </si>
  <si>
    <t xml:space="preserve">ALVENARIA DE VEDAÇÃO </t>
  </si>
  <si>
    <t>DIVISÓRIAS</t>
  </si>
  <si>
    <t>102253</t>
  </si>
  <si>
    <t>ESQUADRIAS</t>
  </si>
  <si>
    <t>PORTAS DE MADEIRA</t>
  </si>
  <si>
    <t>FERRAGENS E ACESSÓRIOS</t>
  </si>
  <si>
    <t>100868</t>
  </si>
  <si>
    <t>PORTA EM ALUMÍNIO</t>
  </si>
  <si>
    <t>PORTA DE ABRIR - PA1 - 100 X 210 CM EM CHAPA DE ALUMÍNIO, COM VENEZIANA E VIDRO MINIBOREAL 6 MM, INCLUSO FECHADURA E PUXADOR - CONFORME PROJETO DE ESQUADRIAS</t>
  </si>
  <si>
    <t>PORTA DE ABRIR - PA2 - 80 X 210 CM EM CHAPA DE ALUMÍNIO, TIPO VENEZIANA COM GUARNIÇÃO, FIXAÇÃO COM PARAFUSOS - FORNECIMENTO E INSTALAÇÃO - CONFORME PROJETO DE ESQUADRIAS</t>
  </si>
  <si>
    <t>PORTA DE ABRIR 2 FOLHAS - PA3 - 160 X 210 CM EM CHAPA DE ALUMÍNIO, TIPO VENEZIANA COM GUARNIÇÃO, FIXAÇÃO COM PARAFUSOS - FORNECIMENTO E INSTALAÇÃO - CONFORME PROJETO DE ESQUADRIAS</t>
  </si>
  <si>
    <t>PORTA DE CORRER - PA4- 450 X 210 CM, DE ALUMÍNIO, COM DUAS FOLHAS FIXAS E DUAS FOLHAS DE CORRER PARA VIDRO, INCLUSO VIDRO LISO INCOLOR 8 MM, FECHADURA E PUXADOR, SEM ALIZAR - CONFORME PROJETO DE ESQUADRIAS</t>
  </si>
  <si>
    <t>PORTA DE ABRIR  - PA5 - 120 X 170 CM EM CHAPA DE ALUMÍNIO, TIPO VENEZIANA COM GUARNIÇÃO, FIXAÇÃO COM PARAFUSOS - FORNECIMENTO E INSTALAÇÃO - CONFORME PROJETO DE ESQUADRIAS</t>
  </si>
  <si>
    <t>JANELA EM ALUMÍNIO</t>
  </si>
  <si>
    <t>JANELA DE ALUMÍNIO - JA-1 - 70 X 125 CM, TIPO GUILHOTINA COMPLETA, COM VIDROS, BATENTE E FERRAGENS. EXCLUSIVE ALIZAR, ACABAMENTO E CONTRAMARCO, CONFORME PROJETO DE ESQUADRIAS</t>
  </si>
  <si>
    <t>JANELA DE ALUMÍNIO - JA-2 - 110 X 195 CM, TIPO GUILHOTINACOMPLETA, COM VIDROS, BATENTE E FERRAGENS. EXCLUSIVE ALIZAR, ACABAMENTO E CONTRAMARCO, CONFORME PROJETO DE ESQUADRIAS</t>
  </si>
  <si>
    <t>JANELA DE ALUMÍNIO JA-3 - 140 X 115, TIPO FIXA, PARA VIDRO, COM VIDRO, BATENTE E FERRAGENS. EXCLUSIVE ACABAMENTO, ALIZAR E CONTRAMARCO, CONFORME PROJETO DE ESQUADRIAS</t>
  </si>
  <si>
    <t>JANELA DE ALUMÍNIO - JA-4 - 140 X 195 CM, TIPO GUILHOTINA COMPLETA, COM VIDROS, BATENTE E FERRAGENS. EXCLUSIVE ALIZAR, ACABAMENTO E CONTRAMARCO, CONFORME PROJETO DE ESQUADRIAS</t>
  </si>
  <si>
    <t>JANELA DE ALUMÍNIO JA-5 - 200 X 105 CM, TIPO FIXA, PARA VIDRO, COM VIDRO, BATENTE E FERRAGENS. EXCLUSIVE ACABAMENTO, ALIZAR E CONTRAMARCO, CONFORME PROJETO DE ESQUADRIAS</t>
  </si>
  <si>
    <t>JANELA DE ALUMÍNIO - JA-6 - 210 X 50 CM, TIPO MAXIM-AR, COM VIDROS, BATENTE E FERRAGENS. EXCLUSIVE ALIZAR, ACABAMENTO E CONTRAMARCO, CONFORME PROJETO DE ESQUADRIAS</t>
  </si>
  <si>
    <t>JANELA DE ALUMÍNIO - JA-7 - 210 X 75 CM, TIPO MAXIM-AR, COM VIDROS, BATENTE E FERRAGENS. EXCLUSIVE ALIZAR, ACABAMENTO E CONTRAMARCO, CONFORME PROJETO DE ESQUADRIAS</t>
  </si>
  <si>
    <t>JANELA DE ALUMÍNIO - JA-8 - 210 X 100 CM, TIPO MAXIM-AR, COM VIDROS, BATENTE E FERRAGENS. EXCLUSIVE ALIZAR, ACABAMENTO E CONTRAMARCO, CONFORME PROJETO DE ESQUADRIAS</t>
  </si>
  <si>
    <t>JANELA DE ALUMÍNIO - JA-9 - 210 X 150 CM, TIPO MAXIM-AR, COM VIDROS, BATENTE E FERRAGENS. EXCLUSIVE ALIZAR, ACABAMENTO E CONTRAMARCO, CONFORME PROJETO DE ESQUADRIAS</t>
  </si>
  <si>
    <t>JANELA DE ALUMÍNIO - JA-10 - 70 X 75 CM, TIPO MAXIM-AR, COM VIDROS, BATENTE E FERRAGENS. EXCLUSIVE ALIZAR, ACABAMENTO E CONTRAMARCO, CONFORME PROJETO DE ESQUADRIAS</t>
  </si>
  <si>
    <t>JANELA DE ALUMÍNIO - JA-11 - 140 X 75 CM, TIPO MAXIM-AR, COM VIDROS, BATENTE E FERRAGENS. EXCLUSIVE ALIZAR, ACABAMENTO E CONTRAMARCO, CONFORME PROJETO DE ESQUADRIAS</t>
  </si>
  <si>
    <t>JANELA DE ALUMÍNIO - JA-12 - 420 X 50 CM, TIPO MAXIM-AR, COM VIDROS, BATENTE E FERRAGENS. EXCLUSIVE ALIZAR, ACABAMENTO E CONTRAMARCO, CONFORME PROJETO DE ESQUADRIAS</t>
  </si>
  <si>
    <t>JANELA DE ALUMÍNIO - JA-13 - 560 X 100 CM, TIPO MAXIM-AR, COM VIDROS, BATENTE E FERRAGENS. EXCLUSIVE ALIZAR, ACABAMENTO E CONTRAMARCO, CONFORME PROJETO DE ESQUADRIAS</t>
  </si>
  <si>
    <t>JANELA DE ALUMÍNIO JA-14 - 160 X 85, TIPO FIXA, PARA VIDRO, COM VIDRO, BATENTE E FERRAGENS. EXCLUSIVE ACABAMENTO, ALIZAR E CONTRAMARCO, CONFORME PROJETO DE ESQUADRIAS</t>
  </si>
  <si>
    <t>TELA TIPO MOSQUITEIRO - FIXADA NA ESQUADRIA - CONFORME PROJETO DE ESQUADRIAS</t>
  </si>
  <si>
    <t>PORTAS DE VIDRO</t>
  </si>
  <si>
    <t>PORTA DE VIDRO - PV1 - 175X 230 CM, DE ABRIR DUAS FOLHAS TEMPERADO INCOLOR 10 MM, CONFORME PROJETO</t>
  </si>
  <si>
    <t>ESQUADRIAS GERAIS</t>
  </si>
  <si>
    <t>PF1 - PORTÃO METÁLICO DE ABRIR, 1,40 X 2,20 M, COM CHAPA METÁLICA, INCLUSO PINTURA, CONFORME PROJETO DE ESQUADRIAS</t>
  </si>
  <si>
    <t>PF2 - PORTÃO METÁLICO DE ABRIR,  1,40 X 1,05 M, COM CHAPA METÁLICA, INCLUSO PINTURA, CONFORME PROJETO DE ESQUADRIAS</t>
  </si>
  <si>
    <t>FECHAMENTO EM CHAPA METÁLICA PERFURADA, INCLUSO PINTURA, CONFORME PROJETO</t>
  </si>
  <si>
    <t>CERCA/GRADIL H=1,58M, MALHA 5 X 15CM -  GALVANIZADO</t>
  </si>
  <si>
    <t>P01 - PORTÃO METÁLICO 1,50 x 2,10 M , MALHA 5 X 20CM - FIO 5,00MM, REVESTIDOS EM POLIESTER POR PROCESSO DE PINTURA ELETROSTÁTICA (GRADIL), NA COR BRANCA - FORNECIMENTO E INSTALAÇÃO</t>
  </si>
  <si>
    <t>P02 - PORTÃO METÁLICO 1,00 x 2,00 M , MALHA 5 X 20CM - FIO 5,00MM, REVESTIDOS EM POLIESTER POR PROCESSO DE PINTURA ELETROSTÁTICA (GRADIL), NA COR BRANCA - FORNECIMENTO E INSTALAÇÃO</t>
  </si>
  <si>
    <t>P03 - PORTÃO METÁLICO 3,12 x 2,00 M , MALHA 5 X 20CM - FIO 5,00MM, REVESTIDOS EM POLIESTER POR PROCESSO DE PINTURA ELETROSTÁTICA (GRADIL), NA COR BRANCA - FORNECIMENTO E INSTALAÇÃO</t>
  </si>
  <si>
    <t>SISTEMA DE COBERTURA</t>
  </si>
  <si>
    <t>94229</t>
  </si>
  <si>
    <t>RUFO EM CHAPA DE AÇO GALVANIZADO NR. 24, DESENVOLVIMENTO 73 CM</t>
  </si>
  <si>
    <t>RUFO EM CHAPA DE AÇO GALVANIZADO NR. 24, DESENVOLVIMENTO 39 CM</t>
  </si>
  <si>
    <t>RUFO EM CHAPA DE AÇO GALVANIZADO NR. 24, DESENVOLVIMENTO 32 CM</t>
  </si>
  <si>
    <t>PINGADEIRA EM CHAPA DE AÇO GALVANIZADO</t>
  </si>
  <si>
    <t>IMPERMEABILIZAÇÃO</t>
  </si>
  <si>
    <t>IMPERMEABILIZAÇÃO DE VIGA BALDRAME COM EMULSÃO ASFÁLTICA, 2 DEMÃOS</t>
  </si>
  <si>
    <t>IMPERMEABILIZAÇÃO DE PISO COM EMULSÃO ASFÁLTICA, 2 DEMÃOS</t>
  </si>
  <si>
    <t>REVESTIMENTOS INTERNOS E EXTERNOS</t>
  </si>
  <si>
    <t>EDIFICAÇÃO</t>
  </si>
  <si>
    <t>87878</t>
  </si>
  <si>
    <t>87535</t>
  </si>
  <si>
    <t>87792</t>
  </si>
  <si>
    <t>87543</t>
  </si>
  <si>
    <t>87273</t>
  </si>
  <si>
    <t>REVESTIMENTO CERÂMICO PARA PAREDES INTERNAS COM PLACAS TIPO ESMALTADA EXTRA DE DIMENSÕES 10X10 CM COR AMARELA APLICADAS NA ALTURA INTEIRA DAS PAREDES</t>
  </si>
  <si>
    <t>REVESTIMENTO CERÂMICO PARA PAREDES INTERNAS COM PLACAS TIPO ESMALTADA EXTRA DE DIMENSÕES 10X10 CM COR AZUL APLICADAS NA ALTURA INTEIRA DAS PAREDES</t>
  </si>
  <si>
    <t>REVESTIMENTO CERÂMICO PARA PAREDES INTERNAS COM PLACAS TIPO ESMALTADA EXTRA DE DIMENSÕES 10X10 CM COR BRANCA APLICADAS NA ALTURA INTEIRA DAS PAREDES</t>
  </si>
  <si>
    <t>REVESTIMENTO CERÂMICO PARA PAREDES INTERNAS COM PLACAS TIPO ESMALTADA EXTRA DE DIMENSÕES 10X10 CM COR VERMELHA APLICADAS NA ALTURA INTEIRA DAS PAREDES</t>
  </si>
  <si>
    <t>96114</t>
  </si>
  <si>
    <t>SISTEMAS DE PISO</t>
  </si>
  <si>
    <t>98680</t>
  </si>
  <si>
    <t>87755</t>
  </si>
  <si>
    <t>88650</t>
  </si>
  <si>
    <t>98688</t>
  </si>
  <si>
    <t>98689</t>
  </si>
  <si>
    <t>102494</t>
  </si>
  <si>
    <t>PAVIMENTAÇÃO EXTERNA</t>
  </si>
  <si>
    <t>98682</t>
  </si>
  <si>
    <t>98504</t>
  </si>
  <si>
    <t>PINTURAS E ACABAMENTOS</t>
  </si>
  <si>
    <t>88497</t>
  </si>
  <si>
    <t>102219</t>
  </si>
  <si>
    <t>100742</t>
  </si>
  <si>
    <t>88489</t>
  </si>
  <si>
    <t>PINTURA DE FORRO</t>
  </si>
  <si>
    <t>PISO VINÍLICO SEMI-FLEXÍVEL EM MANTA ESPESSURA 2 MM</t>
  </si>
  <si>
    <t>88494</t>
  </si>
  <si>
    <t>88488</t>
  </si>
  <si>
    <t>100724</t>
  </si>
  <si>
    <t>INSTALAÇÕES HIDRÁULICAS</t>
  </si>
  <si>
    <t>89401</t>
  </si>
  <si>
    <t>89356</t>
  </si>
  <si>
    <t>103979</t>
  </si>
  <si>
    <t>89450</t>
  </si>
  <si>
    <t>89451</t>
  </si>
  <si>
    <t>89452</t>
  </si>
  <si>
    <t>94713</t>
  </si>
  <si>
    <t>94714</t>
  </si>
  <si>
    <t>89376</t>
  </si>
  <si>
    <t>89383</t>
  </si>
  <si>
    <t>104002</t>
  </si>
  <si>
    <t>89613</t>
  </si>
  <si>
    <t>89616</t>
  </si>
  <si>
    <t>89605</t>
  </si>
  <si>
    <t>103998</t>
  </si>
  <si>
    <t>103969</t>
  </si>
  <si>
    <t>103972</t>
  </si>
  <si>
    <t>89485</t>
  </si>
  <si>
    <t>89502</t>
  </si>
  <si>
    <t>89515</t>
  </si>
  <si>
    <t>89523</t>
  </si>
  <si>
    <t>89358</t>
  </si>
  <si>
    <t>89501</t>
  </si>
  <si>
    <t>89505</t>
  </si>
  <si>
    <t>94682</t>
  </si>
  <si>
    <t>94684</t>
  </si>
  <si>
    <t>90373</t>
  </si>
  <si>
    <t>89395</t>
  </si>
  <si>
    <t>89625</t>
  </si>
  <si>
    <t>89629</t>
  </si>
  <si>
    <t>89631</t>
  </si>
  <si>
    <t>89627</t>
  </si>
  <si>
    <t>89630</t>
  </si>
  <si>
    <t>90374</t>
  </si>
  <si>
    <t>89396</t>
  </si>
  <si>
    <t>TUBULAÇÕES E CONEXÕES METAIS</t>
  </si>
  <si>
    <t>TUBULAÇÕES E CONEXÕES PVC</t>
  </si>
  <si>
    <t>94499</t>
  </si>
  <si>
    <t>94500</t>
  </si>
  <si>
    <t>89986</t>
  </si>
  <si>
    <t>94794</t>
  </si>
  <si>
    <t>89987</t>
  </si>
  <si>
    <t>89985</t>
  </si>
  <si>
    <t xml:space="preserve">RESERVATÓRIO </t>
  </si>
  <si>
    <t>TELHA TERMOISOLANTE REVESTIDA EM ACO GALVALUME, FACE SUPERIOR TRAPEZOIDAL E FACE INFERIOR PLANA (NAO INCLUI ACESSORIOS DE FIXACAO), REVEST COM ESPESSURA DE 0,50 MM, COM PRE-PINTURA DE COR BRANCA NAS DUAS FACES, NUCLEO EM POLIIOCIANURATO (PIR) COM ESPESSURA DE 50 MM</t>
  </si>
  <si>
    <t>DRENAGEM DE ÁGUAS PLUVIAIS</t>
  </si>
  <si>
    <t>TUBULAÇÃO E CONEXÕES DE PVC</t>
  </si>
  <si>
    <t>89578</t>
  </si>
  <si>
    <t>89580</t>
  </si>
  <si>
    <t>89585</t>
  </si>
  <si>
    <t>89584</t>
  </si>
  <si>
    <t>89567</t>
  </si>
  <si>
    <t>89675</t>
  </si>
  <si>
    <t>ACESSÓRIOS</t>
  </si>
  <si>
    <t>99253</t>
  </si>
  <si>
    <t>89482</t>
  </si>
  <si>
    <t>INSTALAÇÃO SANITÁRIA</t>
  </si>
  <si>
    <t>89714</t>
  </si>
  <si>
    <t>89711</t>
  </si>
  <si>
    <t>89712</t>
  </si>
  <si>
    <t>89713</t>
  </si>
  <si>
    <t>89726</t>
  </si>
  <si>
    <t>89732</t>
  </si>
  <si>
    <t>89739</t>
  </si>
  <si>
    <t>89746</t>
  </si>
  <si>
    <t>89744</t>
  </si>
  <si>
    <t>89737</t>
  </si>
  <si>
    <t>89731</t>
  </si>
  <si>
    <t>89724</t>
  </si>
  <si>
    <t>89834</t>
  </si>
  <si>
    <t>89827</t>
  </si>
  <si>
    <t>89557</t>
  </si>
  <si>
    <t>89708</t>
  </si>
  <si>
    <t>89696</t>
  </si>
  <si>
    <t>89784</t>
  </si>
  <si>
    <t>89687</t>
  </si>
  <si>
    <t>89623</t>
  </si>
  <si>
    <t>89710</t>
  </si>
  <si>
    <t>104351</t>
  </si>
  <si>
    <t>104348</t>
  </si>
  <si>
    <t>104341</t>
  </si>
  <si>
    <t xml:space="preserve">TUBULAÇÃO E CONEXÕES  </t>
  </si>
  <si>
    <t>UNIDADE DE TRATAMENTO</t>
  </si>
  <si>
    <t>98087</t>
  </si>
  <si>
    <t>98093</t>
  </si>
  <si>
    <t>LOUÇAS ACESSÓRIOS E METAIS</t>
  </si>
  <si>
    <t>95470</t>
  </si>
  <si>
    <t>100848</t>
  </si>
  <si>
    <t>100849</t>
  </si>
  <si>
    <t>100851</t>
  </si>
  <si>
    <t>86901</t>
  </si>
  <si>
    <t>86902</t>
  </si>
  <si>
    <t>86872</t>
  </si>
  <si>
    <t>86900</t>
  </si>
  <si>
    <t>100852</t>
  </si>
  <si>
    <t>86877</t>
  </si>
  <si>
    <t>86883</t>
  </si>
  <si>
    <t>86909</t>
  </si>
  <si>
    <t>86913</t>
  </si>
  <si>
    <t>86887</t>
  </si>
  <si>
    <t>100860</t>
  </si>
  <si>
    <t>100867</t>
  </si>
  <si>
    <t>100875</t>
  </si>
  <si>
    <t>95547</t>
  </si>
  <si>
    <t>FNDE</t>
  </si>
  <si>
    <t>UN</t>
  </si>
  <si>
    <t>100866</t>
  </si>
  <si>
    <t>INSTALAÇÃO DE GÁS COMBUSTÍVEL</t>
  </si>
  <si>
    <t>103029</t>
  </si>
  <si>
    <t>92688</t>
  </si>
  <si>
    <t>95248</t>
  </si>
  <si>
    <t>95249</t>
  </si>
  <si>
    <t>92705</t>
  </si>
  <si>
    <t>92695</t>
  </si>
  <si>
    <t>97548</t>
  </si>
  <si>
    <t>97549</t>
  </si>
  <si>
    <t>97547</t>
  </si>
  <si>
    <t>101909</t>
  </si>
  <si>
    <t>101907</t>
  </si>
  <si>
    <t>101912</t>
  </si>
  <si>
    <t>101916</t>
  </si>
  <si>
    <t>99624</t>
  </si>
  <si>
    <t>101917</t>
  </si>
  <si>
    <t>102111</t>
  </si>
  <si>
    <t>94473</t>
  </si>
  <si>
    <t>92367</t>
  </si>
  <si>
    <t>94474</t>
  </si>
  <si>
    <t>92665</t>
  </si>
  <si>
    <t>92642</t>
  </si>
  <si>
    <t>97599</t>
  </si>
  <si>
    <t>102520</t>
  </si>
  <si>
    <t>INSTALAÇÕES ELÉTRICAS</t>
  </si>
  <si>
    <t>QUADROS</t>
  </si>
  <si>
    <t>101875</t>
  </si>
  <si>
    <t>101883</t>
  </si>
  <si>
    <t>101879</t>
  </si>
  <si>
    <t>101946</t>
  </si>
  <si>
    <t>93653</t>
  </si>
  <si>
    <t>93654</t>
  </si>
  <si>
    <t>93655</t>
  </si>
  <si>
    <t>93656</t>
  </si>
  <si>
    <t>93658</t>
  </si>
  <si>
    <t>93668</t>
  </si>
  <si>
    <t>93671</t>
  </si>
  <si>
    <t>93672</t>
  </si>
  <si>
    <t>93673</t>
  </si>
  <si>
    <t>101894</t>
  </si>
  <si>
    <t>101897</t>
  </si>
  <si>
    <t>DISJUNTORES</t>
  </si>
  <si>
    <t>DISJUNTOR BIPOLAR TIPO DR, CORRENTE NOMINAL DE 25A - 30mA</t>
  </si>
  <si>
    <t>DISJUNTOR BIPOLAR TIPO DR, CORRENTE NOMINAL DE 40A - 30mA</t>
  </si>
  <si>
    <t>DISPOSITIVO CONTRA SURTO - DPS 40 kA</t>
  </si>
  <si>
    <t>DISPOSITIVO CONTRA SURTO - DPS 80 kA</t>
  </si>
  <si>
    <t>ELETRODUTOS E ACESSÓRIOS</t>
  </si>
  <si>
    <t>91834</t>
  </si>
  <si>
    <t>91836</t>
  </si>
  <si>
    <t>93008</t>
  </si>
  <si>
    <t>93009</t>
  </si>
  <si>
    <t>93011</t>
  </si>
  <si>
    <t>97886</t>
  </si>
  <si>
    <t>91937</t>
  </si>
  <si>
    <t>91940</t>
  </si>
  <si>
    <t>91926</t>
  </si>
  <si>
    <t>91928</t>
  </si>
  <si>
    <t>91930</t>
  </si>
  <si>
    <t>91934</t>
  </si>
  <si>
    <t>92984</t>
  </si>
  <si>
    <t>92986</t>
  </si>
  <si>
    <t>92990</t>
  </si>
  <si>
    <t>101567</t>
  </si>
  <si>
    <t>92996</t>
  </si>
  <si>
    <t>CABOS FIOS E CONDUTORES</t>
  </si>
  <si>
    <t>ELETROCALHAS</t>
  </si>
  <si>
    <t>104764</t>
  </si>
  <si>
    <t>ILUMINAÇÃO E TOMADAS</t>
  </si>
  <si>
    <t>92000</t>
  </si>
  <si>
    <t>92001</t>
  </si>
  <si>
    <t>92029</t>
  </si>
  <si>
    <t>91955</t>
  </si>
  <si>
    <t>92033</t>
  </si>
  <si>
    <t>91967</t>
  </si>
  <si>
    <t>LUMINÁRIA DE EMBUTIR COMPLETA EM FORRO DE GESSO OU MODULADO COM PERFIL "T", PARA 2 LAMPADAS T8 16/18W.</t>
  </si>
  <si>
    <t>LUMINÁRIA DE EMBUTIR COMPLETA EM FORRO DE GESSO OU MODULADO COM PERFIL "T", PARA 2 LAMPADAS T8 32/36W.</t>
  </si>
  <si>
    <t>REFLETOR EM ALUMÍNIO, DE SUPORTE E ALÇA, COM 1 LÂMPADA VAPOR DE MERCÚRIO DE 70 W, COM REATOR ALTO FATOR DE POTÊNCIA - FORNECIMENTO E INSTALAÇÃO.</t>
  </si>
  <si>
    <t xml:space="preserve">CLIMATIZAÇÃO </t>
  </si>
  <si>
    <t>DUTOS</t>
  </si>
  <si>
    <t>91927</t>
  </si>
  <si>
    <t>91929</t>
  </si>
  <si>
    <t>97327</t>
  </si>
  <si>
    <t>97328</t>
  </si>
  <si>
    <t>103992</t>
  </si>
  <si>
    <t>DRENO</t>
  </si>
  <si>
    <t>103978</t>
  </si>
  <si>
    <t>103981</t>
  </si>
  <si>
    <t>103980</t>
  </si>
  <si>
    <t>104011</t>
  </si>
  <si>
    <t>CABEAMENTO ESTRUTURADO</t>
  </si>
  <si>
    <t>98302</t>
  </si>
  <si>
    <t>FNDE 76</t>
  </si>
  <si>
    <t>FNDE 385</t>
  </si>
  <si>
    <t>FNDE 123</t>
  </si>
  <si>
    <t>FNDE 122</t>
  </si>
  <si>
    <t>100555</t>
  </si>
  <si>
    <t>FNDE 125</t>
  </si>
  <si>
    <t>SWITCH TIPO 24 PORTAS</t>
  </si>
  <si>
    <t>PATCH CORD, CATEGORIA 6 UTP, 4 PARES.</t>
  </si>
  <si>
    <t>GUIA DE CABOS FECHADO 1U</t>
  </si>
  <si>
    <t>BANDEJA MÓVEL, PADRÃO 19"</t>
  </si>
  <si>
    <t>GUIA VERTICAL 200 MM PARA CABOS</t>
  </si>
  <si>
    <t>un</t>
  </si>
  <si>
    <t>CAIXAS E QUADROS</t>
  </si>
  <si>
    <t>ACESSÓRIOS CABEAMENTO</t>
  </si>
  <si>
    <t>DISPOSITIVOS</t>
  </si>
  <si>
    <t>98307</t>
  </si>
  <si>
    <t>TERMINAL A COMPRESSÃO</t>
  </si>
  <si>
    <t>ELETROCALHAS E ELETODUTOS</t>
  </si>
  <si>
    <t>FNDE 312</t>
  </si>
  <si>
    <t>91837</t>
  </si>
  <si>
    <t>91835</t>
  </si>
  <si>
    <t>91865</t>
  </si>
  <si>
    <t>FNDE 346</t>
  </si>
  <si>
    <t>FNDE 90</t>
  </si>
  <si>
    <t>ELETROCALHA LISA OU PERFURADA EM AÇO GALVANIZADO, LARGURA  100MM E ALTURA 50MM, INCLUSIVE EMENDA E FIXAÇÃO - FORNECIMENTO E INSTALAÇÃO.</t>
  </si>
  <si>
    <t>CABECOTE PARA ENTRADA DE LINHA DE ALIMENTACAO PARA ELETRODUTO</t>
  </si>
  <si>
    <t>ELETRODUTO RIGIDO, EM ACO ZINCADO OU GALVANIZADO, TIPO PESADO, DN=1", APARENTE - FORNECIMENTO E INSTALAÇÃO.</t>
  </si>
  <si>
    <t>M</t>
  </si>
  <si>
    <t>CABEAMENTO</t>
  </si>
  <si>
    <t>98297</t>
  </si>
  <si>
    <t>100554</t>
  </si>
  <si>
    <t>SISTEMA DE EXAUSTÃO MECANICA</t>
  </si>
  <si>
    <t>FNDE 44</t>
  </si>
  <si>
    <t>DUTO DE ALONGAMENTO PARA EXAUSTOR</t>
  </si>
  <si>
    <t>FNDE 45</t>
  </si>
  <si>
    <t>COIFA EM AÇO INOX 100CM X 150CM</t>
  </si>
  <si>
    <t>SISTEMA DE PROTEÇÃO CONTRA DESCARGAS ATMOSFÉRICAS - SPDA</t>
  </si>
  <si>
    <t>96989</t>
  </si>
  <si>
    <t>92884</t>
  </si>
  <si>
    <t>104753</t>
  </si>
  <si>
    <t>101663</t>
  </si>
  <si>
    <t>FNDE 68</t>
  </si>
  <si>
    <t>98463</t>
  </si>
  <si>
    <t>FNDE 69</t>
  </si>
  <si>
    <t>93358</t>
  </si>
  <si>
    <t>93382</t>
  </si>
  <si>
    <t>96985</t>
  </si>
  <si>
    <t>96973</t>
  </si>
  <si>
    <t>96977</t>
  </si>
  <si>
    <t>98111</t>
  </si>
  <si>
    <t>FNDE 70</t>
  </si>
  <si>
    <t>FNDE 71</t>
  </si>
  <si>
    <t>CONJUNTO DE ESTAIAMENTO PARA MASTRO DE SPDA</t>
  </si>
  <si>
    <t>CAIXA DE EQUALIZAÇÃO DE ATERRAMENTO ELÉTRICO</t>
  </si>
  <si>
    <t>SOLDA EXOTÉRMICA PARA SPDA - FORNECIMENTO E INSTALAÇÃO.</t>
  </si>
  <si>
    <t>SERVIÇOS COMPLEMENTARES</t>
  </si>
  <si>
    <t>FNDE 39</t>
  </si>
  <si>
    <t>FNDE 40</t>
  </si>
  <si>
    <t>FNDE 47</t>
  </si>
  <si>
    <t>FNDE 48</t>
  </si>
  <si>
    <t>101965</t>
  </si>
  <si>
    <t>100861</t>
  </si>
  <si>
    <t>FNDE 49</t>
  </si>
  <si>
    <t>FNDE 51</t>
  </si>
  <si>
    <t>FNDE 38</t>
  </si>
  <si>
    <t>CONJUNTO DE MASTRO P/ TRÊS BANDEIRAS E PEDESTAL</t>
  </si>
  <si>
    <t>BANCADA DE GRANITO CINZA ANDORINHA, INCLUSIVE PASSA PRATOS, ESPESSURA 2 CM - FORNECIMENTO E INSTALAÇÃO</t>
  </si>
  <si>
    <t>PRATELEIRA DE GRANITO CINZA ANDORINHA, ESPESSURA 2 CM - FORNECIMENTO E INSTALAÇÃO</t>
  </si>
  <si>
    <t>ESCANINHOS EM MDF, REVESTIDOS EM LAMINADO MELAMÍNICO</t>
  </si>
  <si>
    <t>BARRA DE APOIO EM INOX, DIAMETRO MINIMO 3 CM, EM AÇO INOX</t>
  </si>
  <si>
    <t>BANCO DE CONCRETO SEM ENCOSTO, DIM. 2,50 X 0,60 M</t>
  </si>
  <si>
    <t>FITA 3M COLANTE ANTIDERRAPANTE PARA PISO</t>
  </si>
  <si>
    <t>M2</t>
  </si>
  <si>
    <t>99803</t>
  </si>
  <si>
    <t>SERVIÇOS FINAIS</t>
  </si>
  <si>
    <t>FNDE 03</t>
  </si>
  <si>
    <t>MURETA ABRIGO DE GÁS</t>
  </si>
  <si>
    <t>96523</t>
  </si>
  <si>
    <t>CASTELO D'ÁGUA</t>
  </si>
  <si>
    <t>96534</t>
  </si>
  <si>
    <t>92915</t>
  </si>
  <si>
    <t>96543</t>
  </si>
  <si>
    <t>FUNDAÇÃO CASTELO D'ÁGUA</t>
  </si>
  <si>
    <t>ABRIGO DO GÁS - BLOCOS</t>
  </si>
  <si>
    <t>96540</t>
  </si>
  <si>
    <t>103797</t>
  </si>
  <si>
    <t>MURETA ABRIGO DE GÁS VIGAS BALDRAME</t>
  </si>
  <si>
    <t>96542</t>
  </si>
  <si>
    <t>CONCRETO ARMADO - MURETA - PILARES</t>
  </si>
  <si>
    <t>CONCRETO ARMADO - CASA DE GÁS - PILARES VIGAS E LAGES</t>
  </si>
  <si>
    <t>ALVENARIA DA MURETA</t>
  </si>
  <si>
    <t>96370</t>
  </si>
  <si>
    <t>129</t>
  </si>
  <si>
    <t>ISTALAÇÃO DE BOX DE VIDRO TEMPERADO, E=10 MM, ENCAIXADO EM PERFIL U</t>
  </si>
  <si>
    <t>100705</t>
  </si>
  <si>
    <t>MURETA</t>
  </si>
  <si>
    <t>92396</t>
  </si>
  <si>
    <t>M3</t>
  </si>
  <si>
    <t>94263</t>
  </si>
  <si>
    <t>PINTURA DA EDIFICAÇÃO</t>
  </si>
  <si>
    <t>96132</t>
  </si>
  <si>
    <t>RESERVATÓRIO CILINDRICO CAP. 15.000 LITROS</t>
  </si>
  <si>
    <t>BARRA METÁLICA COM PINTURA CINZA PARA PROTEÇÃO DOS ESPELHOS E CHUVEIRO INFANTIL (M)</t>
  </si>
  <si>
    <t>EXTINTORES</t>
  </si>
  <si>
    <t>HIDRANTES</t>
  </si>
  <si>
    <t>CENTRAL ALARME ENDEREÇAVEL (UN)</t>
  </si>
  <si>
    <t>TUBULAÇÕES E CONEXÕES</t>
  </si>
  <si>
    <t>SINALIZAÇÕES</t>
  </si>
  <si>
    <t>LOCACAO DE CONTAINER 2,30 X 6,00 M, ALT. 2,50 M, COM 1 SANITARIO, PARA ESCRITORIO, COMPLETO, SEM DIVISORIAS INTERNAS (NAO INCLUI MOBILIZACAO/DESMOBILIZACAO) (MÊS)</t>
  </si>
  <si>
    <t>MÊS</t>
  </si>
  <si>
    <t>10848</t>
  </si>
  <si>
    <t>96616</t>
  </si>
  <si>
    <t>100896</t>
  </si>
  <si>
    <t>95601</t>
  </si>
  <si>
    <t>96546</t>
  </si>
  <si>
    <t>104915</t>
  </si>
  <si>
    <t>.</t>
  </si>
  <si>
    <t>FNDE 231</t>
  </si>
  <si>
    <t>FNDE 230</t>
  </si>
  <si>
    <t>FNDE 232</t>
  </si>
  <si>
    <t>FNDE 392</t>
  </si>
  <si>
    <t>LIGAÇÃO PROVISÓRIA DE ÁGUA E ESGOTO</t>
  </si>
  <si>
    <t xml:space="preserve">LOCACAO DE CONTAINER 2,30 X 6,00 M, ALT. 2,50 M, PARA SANITARIO, COM 4 BACIAS, 8 CHUVEIROS,1 LAVATORIO E 1 MICTORIO </t>
  </si>
  <si>
    <t>LOCACAO DE CONTAINER 2,30 X 6,00 M, ALT. 2,50 M, PARA ESCRITORIO, SEM DIVISORIAS INTERNAS E SEM SANITARIO</t>
  </si>
  <si>
    <t>CONCRETO ARMADO PARA SAPATAS</t>
  </si>
  <si>
    <t>CONCRETO ARMADO VIGAS BALDRAME</t>
  </si>
  <si>
    <t>CONCRETO ARMADO - PILARES</t>
  </si>
  <si>
    <t xml:space="preserve">CONCRETO ARMADO - VIGAS  </t>
  </si>
  <si>
    <t>CONCRETO ARMADO PARA VERGAS</t>
  </si>
  <si>
    <t>94991</t>
  </si>
  <si>
    <t>SISTEMA DE VEDAÇÃO VERTICAL</t>
  </si>
  <si>
    <t>FNDE 433 PM1 - KIT DE PORTA DE MADEIRA PARA PINTURA, SEMI-OCA (LEVE OU MÉDIA), PADRÃO MÉDIO, 70X210CM, ESPESSURA DE 3,5CM, ITENS INCLUSOS: DOBRADIÇAS, MONTAGEM E INSTALAÇÃO DO BATENTE, FECHADURA COM EXECUÇÃO DO FURO - FORNECIMENTO E INSTALAÇÃO (UN)</t>
  </si>
  <si>
    <t>FNDE 433</t>
  </si>
  <si>
    <t>FNDE 247</t>
  </si>
  <si>
    <t>PM 2 - KIT DE PORTA DE MADEIRA COM VENEZIANA, 80X210CM (ESPESSURA DE 3CM), PADRÃO MÉDIO, ITENS INCLUSOS: DOBRADIÇAS, MONTAGEM E INSTALAÇÃO DE BATENTE, FECHADURA COM EXECUÇÃO DO FURO - FORNECIMENTO E INSTALAÇÃO (UN)</t>
  </si>
  <si>
    <t>FNDE 246</t>
  </si>
  <si>
    <t>PM3 - KIT DE PORTA DE MADEIRA FRISADA, SEMI-OCA (LEVE OU MÉDIA), PADRÃO MÉDIO, 80X210CM, ESPESSURA DE 3,5CM, ITENS INCLUSOS: DOBRADIÇAS, MONTAGEM E INSTALAÇÃO DE BATENTE, FECHADURA COM EXECUÇÃO DO FURO - FORNECIMENTO E INSTALAÇÃO. AF_12/2019 (UN)</t>
  </si>
  <si>
    <t>PM4 - KIT DE PORTA DE MADEIRA FRISADA, SEMI-OCA (LEVE OU MÉDIA), PADRÃO MÉDIO, 80X210CM, ESPESSURA DE 3,5CM, ITENS INCLUSOS: DOBRADIÇAS, MONTAGEM E INSTALAÇÃO DE BATENTE, FECHADURA COM EXECUÇÃO DO FURO - FORNECIMENTO E INSTALAÇÃO. AF_12/2019 (UN)</t>
  </si>
  <si>
    <t>FNDE 434</t>
  </si>
  <si>
    <t>FNDE 430</t>
  </si>
  <si>
    <t>PM5 - KIT DE PORTA DE MADEIRA COM VISOR DE VIDRO, 80X210CM (ESPESSURA DE 3CM), PADRÃO POPULAR, ITENS INCLUSOS: DOBRADIÇAS, MONTAGEM E INSTALAÇÃO DE BATENTE, FECHADURA COM EXECUÇÃO DO FURO - FORNECIMENTO E INSTALAÇÃO. AF_12/2019 (UN)</t>
  </si>
  <si>
    <t>FNDE 432</t>
  </si>
  <si>
    <t>PM6 -PORTA EM COMPENSADO DE MADEIRA E=2cm REVESTIDA COM LAMINADO MELAMÍNICO COM VARIAÇÃO DE CORES (UN)</t>
  </si>
  <si>
    <t xml:space="preserve"> INSTALAÇÃO DE VIDRO LISO INCOLOR ESQUADRIA PM5 , E = 6 MM, EM ESQUADRIA DE MADEIRA, FIXADO COM BAGUETE (M2)</t>
  </si>
  <si>
    <t>FNDE 431</t>
  </si>
  <si>
    <t>FNDE 04</t>
  </si>
  <si>
    <t>CHAPA METÁLICA (ALUMÍNIO) 0,90 M X 0,40 M, ESPESSURA 1 MM PARA AS PORTAS (M²)</t>
  </si>
  <si>
    <t>FNDE 251</t>
  </si>
  <si>
    <t>FNDE 252</t>
  </si>
  <si>
    <t>FNDE 253</t>
  </si>
  <si>
    <t>FNDE 435</t>
  </si>
  <si>
    <t>FNDE 436</t>
  </si>
  <si>
    <t>FNDE 258</t>
  </si>
  <si>
    <t>FNDE 438</t>
  </si>
  <si>
    <t>FNDE 275</t>
  </si>
  <si>
    <t>FNDE 439</t>
  </si>
  <si>
    <t>FNDE 440</t>
  </si>
  <si>
    <t>FNDE 441</t>
  </si>
  <si>
    <t>FNDE 264</t>
  </si>
  <si>
    <t>FNDE 268</t>
  </si>
  <si>
    <t>FNDE 265</t>
  </si>
  <si>
    <t>FNDE 442</t>
  </si>
  <si>
    <t>FNDE 270</t>
  </si>
  <si>
    <t>FNDE 443</t>
  </si>
  <si>
    <t>FNDE 444</t>
  </si>
  <si>
    <t>FNDE 445</t>
  </si>
  <si>
    <t>FNDE 05</t>
  </si>
  <si>
    <t>FNDE 437</t>
  </si>
  <si>
    <t>FNDE 280</t>
  </si>
  <si>
    <t>FNDE 08</t>
  </si>
  <si>
    <t>FNDE 281</t>
  </si>
  <si>
    <t>FNDE 283</t>
  </si>
  <si>
    <t>FNDE 446</t>
  </si>
  <si>
    <t>FNDE 447</t>
  </si>
  <si>
    <t>FNDE 448</t>
  </si>
  <si>
    <t>FNDE 20</t>
  </si>
  <si>
    <t>FNDE 422</t>
  </si>
  <si>
    <t>FNDE 423</t>
  </si>
  <si>
    <t>FNDE 424</t>
  </si>
  <si>
    <t>FNDE 167</t>
  </si>
  <si>
    <t>m</t>
  </si>
  <si>
    <t>FNDE 172</t>
  </si>
  <si>
    <t>FNDE 174</t>
  </si>
  <si>
    <t>FNDE 293</t>
  </si>
  <si>
    <t>FNDE 294</t>
  </si>
  <si>
    <t>FNDE 295</t>
  </si>
  <si>
    <t>FNDE 296</t>
  </si>
  <si>
    <t>FNDE 245</t>
  </si>
  <si>
    <t>FNDE 18</t>
  </si>
  <si>
    <t>RODA MEIO EM MADEIRA, ALTURA 7CM, FIXADO COM COLA</t>
  </si>
  <si>
    <t>FORRO DE FIBRA MINERAL EM PLACAS DE 625 X 625 MM, E = 15 MM, BORDA RETA, COM PINTURA ANTIMOFO, APOIADO EM PERFIL DE ACO GALVANIZADO COM 24 MM DE BASE - INSTALADO</t>
  </si>
  <si>
    <t>FNDE 182</t>
  </si>
  <si>
    <t>87257</t>
  </si>
  <si>
    <t>87251</t>
  </si>
  <si>
    <t>FNDE 425</t>
  </si>
  <si>
    <t>FNDE 09</t>
  </si>
  <si>
    <t>FNDE 426</t>
  </si>
  <si>
    <t>CONTRAPISO DE CONCRETO NÃO-ESTRUTURAL, ESPESSURA 3 CM E PREPARO MECÂNICO</t>
  </si>
  <si>
    <t>NATA DE CIMENTO COM COLA PVA, PARA NIVELAMENTO  DE CONTRAPISO PARA ASSENTAMENTO DE PISO VINÍLICO</t>
  </si>
  <si>
    <t>SOLEIRA EM GRANITO, LARGURA 30 CM, ESPESSURA 2,0 CM</t>
  </si>
  <si>
    <t>FNDE 190</t>
  </si>
  <si>
    <t>FNDE 427</t>
  </si>
  <si>
    <t>FNDE 10</t>
  </si>
  <si>
    <t>PISO PODOTÁTIL DE ALERTA, COR VERMELHA, DE CONCRETO, ASSENTADO SOBRE ARGAMASSA</t>
  </si>
  <si>
    <t>PISO PODOTÁTIL DIRECIONAL, , COR VERMELHA, DE CONCRETO, ASSENTADO SOBRE ARGAMASSA</t>
  </si>
  <si>
    <t>COLCHÃO DRENANTE DE AREIA H= 30 CM</t>
  </si>
  <si>
    <t>FNDE 402</t>
  </si>
  <si>
    <t>FNDE 201</t>
  </si>
  <si>
    <t>FNDE 428</t>
  </si>
  <si>
    <t>PINTURA LÁTEX ACRÍLICA, COR BRANCO GELO, APLICAÇÃO MANUAL EM PAREDES, DUAS DEMÃOS (M2)</t>
  </si>
  <si>
    <t>PINTURA EM ESMALTE SINTÉTICO EM RODAMEIO DE MADEIRA, 2 DEMÃOS - COR BRANCO (M2)</t>
  </si>
  <si>
    <t>PINTURA COM TINTA EPÓXI EM PAREDES,ÁREAS MOLHADAS,  APLICAÇÃO MANUAL, 2 DEMÃOS, INCLUSO PRIMER EPÓXI (M2)</t>
  </si>
  <si>
    <t>PINTURA DIVERSOS</t>
  </si>
  <si>
    <t>FNDE 205</t>
  </si>
  <si>
    <t>FNDE 229</t>
  </si>
  <si>
    <t>FNDE 208</t>
  </si>
  <si>
    <t>BUCHA DE REDUÇÃO, CURTA, PVC, SOLDÁVEL, DN 75 X 60 MM, INSTALADO EM PRUMADA DE ÁGUA - FORNECIMENTO E INSTALAÇÃO (UN)</t>
  </si>
  <si>
    <t>BUCHA DE REDUÇÃO, CURTA, PVC, SOLDÁVEL, DN 85 X 75 MM, INSTALADO EM PRUMADA DE ÁGUA - FORNECIMENTO E INSTALAÇÃO (UN)</t>
  </si>
  <si>
    <t>TÊ DE REDUÇÃO, PVC, SOLDÁVEL, DN 75MM X 60 MM, INSTALADO EM PRUMADA DE ÁGUA - FORNECIMENTO E INSTALAÇÃO. (UN)</t>
  </si>
  <si>
    <t>U N</t>
  </si>
  <si>
    <t>FNDE 391</t>
  </si>
  <si>
    <t>FNDE 209</t>
  </si>
  <si>
    <t>FNDE 210</t>
  </si>
  <si>
    <t>FNDE 214</t>
  </si>
  <si>
    <t>FNDE 50</t>
  </si>
  <si>
    <t>JUNÇÃO SIMPLES, PVC, SERIE NORMAL, ESGOTO PREDIAL, DN 100 X 50 MM, JUNTA ELÁSTICA, FORNECIDO E INSTALADO EM PRUMADA DE ESGOTO SANITÁRIO OU VENTILAÇÃO (UN)</t>
  </si>
  <si>
    <t>JUNÇÃO SIMPLES, PVC, SERIE NORMAL, ESGOTO PREDIAL, DN 75 X 50 MM, JUNTA ELÁSTICA, FORNECIDO E INSTALADO EM RAMAL DE DESCARGA OU RAMAL DE ESGOTO SANITÁRIO (UN)</t>
  </si>
  <si>
    <t>TÊ, PVC, SERIE R, ÁGUA PLUVIAL, DN 100 X 50 MM, JUNTA ELÁSTICA, FORNECIDO E INSTALADO EM CONDUTORES VERTICAIS DE ÁGUAS PLUVIAIS (UN)</t>
  </si>
  <si>
    <t>RALO LINEAR,  COM GRELHA INOX, JUNTA SOLDÁVEL, FORNECIDO E INSTALADO EM RAMAL DE DESCARGA OU EM RAMAL DE ESGOTO SANITÁRIO (M)</t>
  </si>
  <si>
    <t>FNDE 11</t>
  </si>
  <si>
    <t>FNDE 219</t>
  </si>
  <si>
    <t>FNDE 217</t>
  </si>
  <si>
    <t>FNDE 224</t>
  </si>
  <si>
    <t>FNDE 14</t>
  </si>
  <si>
    <t>FNDE 225</t>
  </si>
  <si>
    <t>FNDE 13</t>
  </si>
  <si>
    <t>FNDE 226</t>
  </si>
  <si>
    <t>FNDE 215</t>
  </si>
  <si>
    <t>FNDE 15</t>
  </si>
  <si>
    <t>FNDE 16</t>
  </si>
  <si>
    <t>FNDE 12</t>
  </si>
  <si>
    <t>FNDE 17</t>
  </si>
  <si>
    <t>FNDE 34</t>
  </si>
  <si>
    <t>FNDE 449</t>
  </si>
  <si>
    <t>BANHEIRA PLÁSTICA RÍGIDA, 77x45x20cm DE EMBUTIR, CONFORME DETALHE DE PROJETO (UN)</t>
  </si>
  <si>
    <t>LAVATÓRIO DE CANTO, LOUÇA BRANCA SUSPENSO, 29,5 X 39CM OU EQUIVALENTE, PADRÃO POPULAR - FORNECIMENTO E INSTALAÇÃO (UN)</t>
  </si>
  <si>
    <t>CUBA DE EMBUTIR RETANGULAR DE AÇO INOXIDÁVEL, 50 X 40 X 20 CM - FORNECIMENTO E INSTALAÇÃO (UN)</t>
  </si>
  <si>
    <t>TORNEIRA CROMADA DE MESA, 1/2" OU 3/4", PARA LAVATÓRIO, COM TEMPORIZADOR - FORNECIMENTO E INSTALAÇÃO. (UN)</t>
  </si>
  <si>
    <t xml:space="preserve"> TORNEIRA ELETRICA DE PAREDE, BICA ALTA, PARA COZINHA, 5500 W (110/220 V) (UN)</t>
  </si>
  <si>
    <t>TORNEIRA CROMADA DE MESA PARA LAVATORIO, TIPO MONOCOMANDO - ACIONAMENTO TIPO ALAVANCA (UN)</t>
  </si>
  <si>
    <t>TORNEIRA ELÉTRICA COM MANGUEIRA PLÁSTICA FORTTI MAXI, LORENZETTI OU EQUIVALENTE (UN)</t>
  </si>
  <si>
    <t>BARRA DE APOIO RETA, EM ACO INOX POLIDO, COMPRIMENTO 40CM, FIXADA NA PAREDE - FORNECIMENTO E INSTALAÇÃO (UN)</t>
  </si>
  <si>
    <t>VÁLVULA DE DESCARGA METÁLICA, DUPLO ACIONAMENTO ECO, BASE 1 1/2", ACABAMENTO METALICO CROMADO - FORNECIMENTO E INSTALAÇÃO (UN)</t>
  </si>
  <si>
    <t xml:space="preserve">U N </t>
  </si>
  <si>
    <t>TOALHEIRO PLASTICO TIPO DISPENSER PARA PAPEL TOALHA INTERFOLHADO (UN)</t>
  </si>
  <si>
    <t>PAPELEIRA PLASTICA TIPO DISPENSER PARA PAPEL HIGIENICO ROLAO (UN)</t>
  </si>
  <si>
    <t xml:space="preserve"> ESPELHO CRISTAL, ESPESSURA 4MM, COM PARAFUSOS DE FIXAÇÃO, SEM MOLDURA (M2)</t>
  </si>
  <si>
    <t>DUCHA / CHUVEIRO METALICO, DE PAREDE, ARTICULAVEL, COM DESVIADOR E DUCHA MANUAL (UN)</t>
  </si>
  <si>
    <t>CABIDE/GANCHO DE BANHEIRO SIMPLES EM METAL CROMADO (UN)</t>
  </si>
  <si>
    <t>FNDE 29</t>
  </si>
  <si>
    <t>FNDE 301</t>
  </si>
  <si>
    <t>FNDE 260</t>
  </si>
  <si>
    <t>FNDE 302</t>
  </si>
  <si>
    <t>REGULADOR DE ALTA PRESSÃO GLP (UN)</t>
  </si>
  <si>
    <t>CAP OU TAMPAO DE FERRO GALVANIZADO, COM ROSCA BSP, DE 3/4" (UN)</t>
  </si>
  <si>
    <t>MANGUEIRA PARA GAS - GLP (UN)</t>
  </si>
  <si>
    <t>REQUADRO EM ALUMÍNIO TIPO VENEZIANA COM GUARNIÇÃO, FIXAÇÃO COM PARAFUSOS - FORNECIMENTO E INSTALAÇÃO. (M2)</t>
  </si>
  <si>
    <t>SISTEMA DE PROTEÇÃO CONTRA INCÊNDIO</t>
  </si>
  <si>
    <t>FNDE 332</t>
  </si>
  <si>
    <t>FNDE 112</t>
  </si>
  <si>
    <t>FNDE 114</t>
  </si>
  <si>
    <t>FNDE 67</t>
  </si>
  <si>
    <t>MOTOBOMBA CENTRIFUGA (UN)</t>
  </si>
  <si>
    <t>PRESSOSTATO (UN)</t>
  </si>
  <si>
    <t>VÁLVULA DE ALÍVIO (un)</t>
  </si>
  <si>
    <t>SINALIZAÇÃO COM PLACA INDICATIVA FIXADA NA ESTRUTURA. (UN)</t>
  </si>
  <si>
    <t>FNDE 303</t>
  </si>
  <si>
    <t>FNDE 86</t>
  </si>
  <si>
    <t>FNDE 87</t>
  </si>
  <si>
    <t>FNDE 88</t>
  </si>
  <si>
    <t>FNDE 89</t>
  </si>
  <si>
    <t>FNDE 94</t>
  </si>
  <si>
    <t>LETRODUTO EM ACO ZINCADO OU GALVANIZADO DN=3/4", APARENTE - FORNECIMENTO E INSTALAÇÃO. (M)</t>
  </si>
  <si>
    <t>FNDE 313</t>
  </si>
  <si>
    <t>ELETROCALHA LISA OU PERFURADA EM AÇO GALVANIZADO, LARGURA  150MM E ALTURA 100MM, INCLUSIVE EMENDA E FIXAÇÃO - FORNECIMENTO E INSTALAÇÃO. (M)</t>
  </si>
  <si>
    <t>FNDE 309</t>
  </si>
  <si>
    <t>FNDE 379</t>
  </si>
  <si>
    <t>FNDE 380</t>
  </si>
  <si>
    <t>FNDE 381</t>
  </si>
  <si>
    <t xml:space="preserve"> ESPELHO / PLACA CEGA 4" X 2", PARA INSTALACAO DE TOMADAS E INTERRUPTORES (UN)</t>
  </si>
  <si>
    <t>FNDE 375</t>
  </si>
  <si>
    <t>TOMADA PARA ANTENA DE TV, CABO COAXIAL DE 9 MM FORNECIMENTO E INSTALAÇÃO</t>
  </si>
  <si>
    <t xml:space="preserve">ADMINISTRAÇÃO LOCAL TIPO 2 </t>
  </si>
  <si>
    <t>41195</t>
  </si>
  <si>
    <t>1095000-05</t>
  </si>
  <si>
    <t>Ministerio da Educação</t>
  </si>
  <si>
    <t>PRÓINFANCIA - PROJETO TIPO 2</t>
  </si>
  <si>
    <t>Convênio: 962010/2024</t>
  </si>
  <si>
    <t>94771</t>
  </si>
  <si>
    <t>97586</t>
  </si>
  <si>
    <t>101641</t>
  </si>
  <si>
    <t>97608</t>
  </si>
  <si>
    <t>101640</t>
  </si>
  <si>
    <t>93200</t>
  </si>
  <si>
    <t>ADAPTADOR COM FLANGES LIVRES, PVC, SOLDÁVEL, DN 22MM, INSTALADO EM RESERVAÇÃO PREDIAL DE ÁGUA - FORNECIMENTO E INSTALAÇÃO. AF_04/2024</t>
  </si>
  <si>
    <t>LUMINÁRIA TIPO CALHA, DE SOBREPOR, COM 2 LÂMPADAS TUBULARES FLUORESCENTES DE 36 W, COM REATOR DE PARTIDA RÁPIDA - FORNECIMENTO E INSTALAÇÃO. AF_02/2020</t>
  </si>
  <si>
    <t>LÂMPADA VAPOR METÁLICO 150 W - FORNECIMENTO E INSTALAÇÃO. AF_08/2020</t>
  </si>
  <si>
    <t>LÂMPADA VAPOR METÁLICO 400 W - FORNECIMENTO E INSTALAÇÃO. AF_08/2020</t>
  </si>
  <si>
    <t>LUMINÁRIA ARANDELA TIPO TARTARUGA, COM GRADE, DE SOBREPOR, COM 1 LÂMPADA FLUORESCENTE DE 15 W, SEM REATOR - FORNECIMENTO E INSTALAÇÃO. AF_02/2020</t>
  </si>
  <si>
    <t>SERVIÇOS EXECUTADOS COM CONTRAPARTIDA DO MUNICÍPIO</t>
  </si>
  <si>
    <t>REVISÕES E ADEQUAÇÕES DE PROJETOS</t>
  </si>
  <si>
    <t>90778</t>
  </si>
  <si>
    <t>REVISÃO E ADEQUAÇÃO PROJETO ESTRUTURAL - ENG. CIVIL</t>
  </si>
  <si>
    <t>H</t>
  </si>
  <si>
    <t>REVISÃO E ADEQUAÇÃO PROJETO ELÉTRICO - ENG. ELETRICISTA</t>
  </si>
  <si>
    <t>REVISÃO E ADEQUAÇÃO PROJETO HIDROSSANTÁRIO - ENG. CIVIL OU ARQUITETO</t>
  </si>
  <si>
    <t>REVISÃO E ADEQUAÇÃO PROJETO PPCI - ENG. CIVIL OU ARQUITETO</t>
  </si>
  <si>
    <t>90769</t>
  </si>
  <si>
    <t>REVISÃO E ADEQUAÇÃO PROJETO EXECUTIVO - ARQUITETO OU ENG. CIVIL</t>
  </si>
  <si>
    <t>ESCAVAÇÃO DE 3ª CATEGORIA</t>
  </si>
  <si>
    <t>102354</t>
  </si>
  <si>
    <t>DESMONTE DE MATERIAL DE 3ª CATEGORIA (BLOCOS DE ROCHAS OU MATACOS), COM MARTELETE PNEUMÁTICO MANUAL - EXCLUSIVE CARGA E TRANSPORTE. AF_03/2021</t>
  </si>
  <si>
    <t>102360</t>
  </si>
  <si>
    <t>RETIRADA DE MATERIAL DE 3ª CATEGORIA (APÓS ESCAVAÇÃO/DESMONTE) EM VALAS, COM ESCAVADEIRA HIDRÁULICA - EXCLUSIVE CARGA E TRANSPORTE. AF_03/2021</t>
  </si>
  <si>
    <t>CASTELO D'ÁGUA E ABRIGO GLP</t>
  </si>
  <si>
    <t>LASTRO DE CONCRETO MAGRO, APLICADO EM BLOCOS DE COROAMENTO OU SAPATAS, ESPESSURA DE 5 CM. AF_01/2024</t>
  </si>
  <si>
    <t>96535</t>
  </si>
  <si>
    <t>FABRICAÇÃO, MONTAGEM E DESMONTAGEM DE FÔRMA PARA SAPATA, EM MADEIRA SERRADA, E=25 MM, 4 UTILIZAÇÕES. AF_01/2024</t>
  </si>
  <si>
    <t>ARMAÇÃO DE SAPATA ISOLADA, VIGA BALDRAME E SAPATA CORRIDA UTILIZANDO AÇO CA-50 DE 8 MM - MONTAGEM. AF_01/2024</t>
  </si>
  <si>
    <t>KG</t>
  </si>
  <si>
    <t>ARMAÇÃO DE SAPATA ISOLADA, VIGA BALDRAME E SAPATA CORRIDA UTILIZANDO AÇO CA-50 DE 10 MM - MONTAGEM. AF_01/2024</t>
  </si>
  <si>
    <t>ARMAÇÃO DE BLOCO, SAPATA ISOLADA, VIGA BALDRAME E SAPATA CORRIDA UTILIZANDO AÇO CA-50 DE 12,5 MM - MONTAGEM. AF_01/2024</t>
  </si>
  <si>
    <t>ARMAÇÃO DE SAPATA ISOLADA, VIGA BALDRAME E SAPATA CORRIDA UTILIZANDO AÇO CA-50 DE 6,3 MM - MONTAGEM. AF_01/2024</t>
  </si>
  <si>
    <t>CONCRETAGEM DE SAPATA, FCK 30 MPA, COM USO DE BOMBA - LANÇAMENTO, ADENSAMENTO E ACABAMENTO. AF_01/2024</t>
  </si>
  <si>
    <t>MURETA E ABRIGO GLP</t>
  </si>
  <si>
    <t>MONTAGEM E DESMONTAGEM DE FÔRMA DE PILARES RETANGULARES E ESTRUTURAS SIMILARES, PÉ-DIREITO SIMPLES, EM CHAPA DE MADEIRA COMPENSADA PLASTIFICADA, 18 UTILIZAÇÕES. AF_09/2020</t>
  </si>
  <si>
    <t>ARMAÇÃO DE PILAR OU VIGA DE ESTRUTURA CONVENCIONAL DE CONCRETO ARMADO UTILIZANDO AÇO CA-50 DE 8,0 MM - MONTAGEM. AF_06/2022</t>
  </si>
  <si>
    <t>ARMAÇÃO DE PILAR OU VIGA DE ESTRUTURA CONVENCIONAL DE CONCRETO ARMADO UTILIZANDO AÇO CA-50 DE 6,3 MM - MONTAGEM. AF_06/2022</t>
  </si>
  <si>
    <t>ARMAÇÃO DE PILAR OU VIGA DE ESTRUTURA CONVENCIONAL DE CONCRETO ARMADO UTILIZANDO AÇO CA-50 DE 10,0 MM - MONTAGEM. AF_06/2022</t>
  </si>
  <si>
    <t>ARMAÇÃO DE PILAR OU VIGA DE ESTRUTURA CONVENCIONAL DE CONCRETO ARMADO UTILIZANDO AÇO CA-60 DE 5,0 MM - MONTAGEM. AF_06/2022</t>
  </si>
  <si>
    <t>CONCRETAGEM DE VIGAS E LAJES, FCK=25 MPA, PARA LAJES MACIÇAS OU NERVURADAS COM USO DE BOMBA - LANÇAMENTO, ADENSAMENTO E ACABAMENTO. AF_02/2022_PS</t>
  </si>
  <si>
    <t>PISOS DE CONCRETO</t>
  </si>
  <si>
    <t>36178</t>
  </si>
  <si>
    <t xml:space="preserve">PISO TATIL / PODOTATIL, LADRILHO HIDRAULICO/CONCRETO, *40 X 40* CM, E= 2,5* CM, PADRAO TATIL ALERTA OU DIRECIONAL, COR NATURAL                                                                                                                                                                                                                                                                                                                                                                            </t>
  </si>
  <si>
    <t xml:space="preserve">UN    </t>
  </si>
  <si>
    <t>105002</t>
  </si>
  <si>
    <t>RAMPA DE ACESSIBILIDADE EM CONCRETO MOLDADO IN LOCO, EM CALÇADA NOVA COM LARGURA MAIOR OU IGUAL À 3,00 M, FCK 25MPA, COM PISO PODOTÁTIL. AF_03/2024</t>
  </si>
  <si>
    <t>ALVENARIAS E VEDAÇÕES</t>
  </si>
  <si>
    <t>ALVENARIA MURETA</t>
  </si>
  <si>
    <t>ALVENARIA DE VEDAÇÃO DE BLOCOS CERÂMICOS FURADOS NA VERTICAL DE 14X19X39 CM (ESPESSURA 14 CM) E ARGAMASSA DE ASSENTAMENTO COM PREPARO EM BETONEIRA. AF_12/2021</t>
  </si>
  <si>
    <t>DIVISORIA SANITÁRIA, TIPO CABINE, EM GRANITO CINZA POLIDO, ESP = 3CM, ASSENTADO COM ARGAMASSA COLANTE AC III-E, EXCLUSIVE FERRAGENS. AF_01/2021</t>
  </si>
  <si>
    <t>102235</t>
  </si>
  <si>
    <t>BOX DE VIDRO TEMPERADO 10MM, COMPLETO. FORNECIMENTO E INSTALAÇÃO</t>
  </si>
  <si>
    <t>96368</t>
  </si>
  <si>
    <t>PAREDE COM SISTEMA EM CHAPAS DE GESSO PARA DRYWALL, USO INTERNO COM DUAS FACES DUPLAS E ESTRUTURA METÁLICA COM GUIAS DUPLAS, SEM VÃOS. AF_07/2023_PS</t>
  </si>
  <si>
    <t>43126</t>
  </si>
  <si>
    <t>CHAPA METÁLICA (ALUMÍNIO) 0,90 M X 0,40 M, ESPESSURA 1 MM PARA AS PORTAS</t>
  </si>
  <si>
    <t xml:space="preserve">M2    </t>
  </si>
  <si>
    <t>BARRA DE APOIO RETA, EM ACO INOX POLIDO, COMPRIMENTO 80 CM,  FIXADA NA PAREDE - FORNECIMENTO E INSTALAÇÃO. AF_01/2020</t>
  </si>
  <si>
    <t>REVESTIMENTO INTERNO E EXTERNO</t>
  </si>
  <si>
    <t>96123</t>
  </si>
  <si>
    <t>ACABAMENTOS PARA FORRO (MOLDURA EM DRYWALL, COM LARGURA DE 15 CM). AF_08/2023_PS</t>
  </si>
  <si>
    <t xml:space="preserve">MURETA  </t>
  </si>
  <si>
    <t>CHAPISCO APLICADO EM ALVENARIAS E ESTRUTURAS DE CONCRETO INTERNAS, COM COLHER DE PEDREIRO.  ARGAMASSA TRAÇO 1:3 COM PREPARO MANUAL. AF_10/2022</t>
  </si>
  <si>
    <t>EMBOÇO OU MASSA ÚNICA EM ARGAMASSA TRAÇO 1:2:8, PREPARO MECÂNICO COM BETONEIRA 400 L, APLICADA MANUALMENTE EM PANOS CEGOS DE FACHADA (SEM PRESENÇA DE VÃOS), ESPESSURA DE 25 MM. AF_08/2022</t>
  </si>
  <si>
    <t>101727</t>
  </si>
  <si>
    <t>7253</t>
  </si>
  <si>
    <t xml:space="preserve">TERRA VEGETAL (GRANEL)                                                                                                                                                                                                                                                                                                                                                                                                                                                                                    </t>
  </si>
  <si>
    <t xml:space="preserve">M3    </t>
  </si>
  <si>
    <t>INSTALAÇÕES SANITÁRIAS</t>
  </si>
  <si>
    <t>36204</t>
  </si>
  <si>
    <t>BARRA METÁLICA COM PINTURA CINZA PARA PROTEÇÃO DOS ESPELHOS E CHUVEIRO INFANTIL</t>
  </si>
  <si>
    <t xml:space="preserve">PLACA DE INAUGURACAO METALICA, *40* CM X *60* CM                                                                                                                                                                                                                                                                                                                                                                                                                                                          </t>
  </si>
  <si>
    <t>CORTINA DE CONTENÇÃO</t>
  </si>
  <si>
    <t>100341</t>
  </si>
  <si>
    <t>100349</t>
  </si>
  <si>
    <t>100344</t>
  </si>
  <si>
    <t>1527</t>
  </si>
  <si>
    <t>FORNECIMENTO E INSTALAÇÃO DE PLACA DE OBRA COM CHAPA GALVANIZADA E ESTRUTURA DE MADEIRA. AF_03/2022_PS</t>
  </si>
  <si>
    <t>TAPUME COM TELHA METÁLICA. AF_03/2024</t>
  </si>
  <si>
    <t>ENTRADA DE ENERGIA ELÉTRICA, AÉREA, TRIFÁSICA, COM CAIXA DE EMBUTIR, CABO DE 10 MM2 E DISJUNTOR DIN 50A (NÃO INCLUSO O POSTE DE CONCRETO). AF_07/2020</t>
  </si>
  <si>
    <t xml:space="preserve">POSTE DE CONCRETO ARMADO DE SECAO DUPLO T, EXTENSAO DE 8,00 M, RESISTENCIA DE 150 DAN, TIPO D                                                                                                                                                                                                                                                                                                                                                                                                             </t>
  </si>
  <si>
    <t>LOCAÇÃO CONVENCIONAL DE OBRA, UTILIZANDO GABARITO DE TÁBUAS CORRIDAS PONTALETADAS A CADA 2,00M -  2 UTILIZAÇÕES. AF_03/2024</t>
  </si>
  <si>
    <t>LIMPEZA MECANIZADA DE CAMADA VEGETAL, VEGETAÇÃO E PEQUENAS ÁRVORES (DIÂMETRO DE TRONCO MENOR QUE 0,20 M), COM TRATOR DE ESTEIRAS. AF_03/2024</t>
  </si>
  <si>
    <t>ATERRO MECANIZADO DE VALA COM ESCAVADEIRA HIDRÁULICA (CAPACIDADE DA CAÇAMBA: 0,8 M³ / POTÊNCIA: 111 HP), LARGURA ATÉ 2,5 M, PROFUNDIDADE DE 1,5 A 3,0 M, COM SOLO ARGILO-ARENOSO. AF_08/2023</t>
  </si>
  <si>
    <t>ESCAVAÇÃO MANUAL PARA BLOCO DE COROAMENTO OU SAPATA (INCLUINDO ESCAVAÇÃO PARA COLOCAÇÃO DE FÔRMAS). AF_01/2024</t>
  </si>
  <si>
    <t>PREPARO DE FUNDO DE VALA COM LARGURA MAIOR OU IGUAL A 1,5 M E MENOR QUE 2,5 M (ACERTO DO SOLO NATURAL). AF_08/2020</t>
  </si>
  <si>
    <t>REATERRO MECANIZADO DE VALA COM RETROESCAVADEIRA (CAPACIDADE DA CAÇAMBA   DA RETRO: 0,26 M³/POTÊNCIA: 88 HP), LARGURA 0,8 A 1,5 M, PROFUNDIDADE 1,5 A 3,0 M, COM SOLO (SEM SUBSTITUIÇÃO) DE 1ª CATEGORIA E COMPACTADOR DE SOLOS DE PERCUSSÃO. AF_08/2023</t>
  </si>
  <si>
    <t>FABRICAÇÃO, MONTAGEM E DESMONTAGEM DE FÔRMA PARA BLOCO DE COROAMENTO, EM MADEIRA SERRADA, E=25 MM, 4 UTILIZAÇÕES. AF_01/2024</t>
  </si>
  <si>
    <t>ARMAÇÃO DE ESTRUTURAS DIVERSAS DE CONCRETO ARMADO, EXCETO VIGAS, PILARES, LAJES E FUNDAÇÕES, UTILIZANDO AÇO CA-60 DE 5,0 MM - MONTAGEM. AF_06/2022</t>
  </si>
  <si>
    <t>LASTRO DE CONCRETO MAGRO, APLICADO EM BLOCOS DE COROAMENTO OU SAPATAS. AF_01/2024</t>
  </si>
  <si>
    <t>ARMAÇÃO DE BLOCO UTILIZANDO AÇO CA-60 DE 5 MM - MONTAGEM. AF_01/2024</t>
  </si>
  <si>
    <t>CONCRETAGEM DE BLOCO DE COROAMENTO OU VIGA BALDRAME, FCK 30 MPA, COM USO DE BOMBA - LANÇAMENTO, ADENSAMENTO E ACABAMENTO. AF_01/2024</t>
  </si>
  <si>
    <t>ESTACA ESCAVADA MECANICAMENTE, SEM FLUIDO ESTABILIZANTE, COM 25CM DE DIÂMETRO, CONCRETO LANÇADO POR CAMINHÃO BETONEIRA (EXCLUSIVE MOBILIZAÇÃO E DESMOBILIZAÇÃO). AF_01/2020_PA</t>
  </si>
  <si>
    <t>ARRASAMENTO MECANICO DE ESTACA DE CONCRETO ARMADO, DIAMETROS DE ATÉ 40 CM. AF_05/2021</t>
  </si>
  <si>
    <t>FABRICAÇÃO, MONTAGEM E DESMONTAGEM DE FÔRMA PARA BLOCO DE COROAMENTO, EM CHAPA DE MADEIRA COMPENSADA RESINADA, E=17 MM, 4 UTILIZAÇÕES. AF_01/2024</t>
  </si>
  <si>
    <t>ARMAÇÃO DE BLOCO UTILIZANDO AÇO CA-50 DE 10 MM - MONTAGEM. AF_01/2024</t>
  </si>
  <si>
    <t>ARMAÇÃO DE BLOCO E SAPATA UTILIZANDO AÇO CA-50 DE 25 MM - MONTAGEM. AF_01/2024</t>
  </si>
  <si>
    <t>ARMAÇÃO DE DESCIDA D'ÁGUA UTILIZANDO AÇO CA-60 DE 5 MM - MONTAGEM. AF_08/2022</t>
  </si>
  <si>
    <t>FABRICAÇÃO, MONTAGEM E DESMONTAGEM DE FÔRMA PARA VIGA BALDRAME, EM CHAPA DE MADEIRA COMPENSADA RESINADA, E=17 MM, 4 UTILIZAÇÕES. AF_01/2024</t>
  </si>
  <si>
    <t>ARMAÇÃO DE PILAR OU VIGA DE ESTRUTURA CONVENCIONAL DE CONCRETO ARMADO UTILIZANDO AÇO CA-50 DE 12,5 MM - MONTAGEM. AF_06/2022</t>
  </si>
  <si>
    <t>CONCRETAGEM DE PILARES, FCK = 25 MPA, COM USO DE BOMBA - LANÇAMENTO, ADENSAMENTO E ACABAMENTO. AF_02/2022_PS</t>
  </si>
  <si>
    <t>VERGA PRÉ-MOLDADA COM ATÉ 1,5 M DE VÃO, ESPESSURA DE *20* CM. AF_03/2024</t>
  </si>
  <si>
    <t>ESTRUTURA TRELIÇADA DE COBERTURA, TIPO FINK, COM LIGAÇÕES SOLDADAS, INCLUSOS PERFIS METÁLICOS, CHAPAS METÁLICAS, MÃO DE OBRA E TRANSPORTE COM GUINDASTE - FORNECIMENTO E INSTALAÇÃO. AF_01/2020_PSA</t>
  </si>
  <si>
    <t>COMPACTAÇÃO MECÂNICA DE SOLO PARA EXECUÇÃO DE RADIER, PISO DE CONCRETO OU LAJE SOBRE SOLO, COM COMPACTADOR DE SOLOS A PERCUSSÃO. AF_09/2021</t>
  </si>
  <si>
    <t>LASTRO COM MATERIAL GRANULAR, APLICADO EM PISOS OU LAJES SOBRE SOLO, ESPESSURA DE *5 CM*. AF_01/2024</t>
  </si>
  <si>
    <t>CAMADA SEPARADORA PARA EXECUÇÃO DE RADIER, PISO DE CONCRETO OU LAJE SOBRE SOLO, EM LONA PLÁSTICA. AF_09/2021</t>
  </si>
  <si>
    <t>EXECUÇÃO DE PASSEIO (CALÇADA) OU PISO DE CONCRETO COM CONCRETO MOLDADO IN LOCO, USINADO C20, ACABAMENTO CONVENCIONAL, NÃO ARMADO. AF_08/2022</t>
  </si>
  <si>
    <t>ALVENARIA DE VEDAÇÃO COM ELEMENTO VAZADO DE CONCRETO (COBOGÓ) DE 7X50X50CM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</si>
  <si>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</si>
  <si>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HORIZONTAL DE 9X19X19 CM (ESPESSURA 9 CM) E ARGAMASSA DE ASSENTAMENTO COM PREPARO EM BETONEIRA. AF_12/2021</t>
  </si>
  <si>
    <t>ALVENARIA DE VEDAÇÃO DE BLOCOS CERÂMICOS MACIÇOS DE 5X10X20CM (ESPESSURA 10CM) E ARGAMASSA DE ASSENTAMENTO COM PREPARO EM BETONEIRA. AF_05/2020</t>
  </si>
  <si>
    <t>FIXAÇÃO (ENCUNHAMENTO) DE ALVENARIA DE VEDAÇÃO COM ARGAMASSA APLICADA COM BISNAGA. AF_03/2024</t>
  </si>
  <si>
    <t>PAREDE COM SISTEMA EM CHAPAS DE GESSO PARA DRYWALL, USO INTERNO, COM UMA FACE SIMPLES E ESTRUTURA METÁLICA COM GUIAS SIMPLES, SEM VÃOS. AF_07/2023_PS</t>
  </si>
  <si>
    <t>TARJETA TIPO LIVRE/OCUPADO PARA PORTA DE BANHEIRO. AF_12/2019</t>
  </si>
  <si>
    <t>BARRA DE APOIO RETA, EM ACO INOX POLIDO, COMPRIMENTO 60CM, FIXADA NA PAREDE - FORNECIMENTO E INSTALAÇÃO. AF_01/2020</t>
  </si>
  <si>
    <t>CALHA EM CHAPA DE AÇO GALVANIZADO NÚMERO 24, DESENVOLVIMENTO DE 100 CM, INCLUSO TRANSPORTE VERTICAL. AF_07/2019</t>
  </si>
  <si>
    <t>EMBOÇO, EM ARGAMASSA TRAÇO 1:2:8, PREPARO MECÂNICO, APLICADO MANUALMENTE EM PAREDES INTERNAS DE AMBIENTES COM ÁREA MAIOR QUE 10M², E = 17,5MM, COM TALISCAS. AF_03/2024</t>
  </si>
  <si>
    <t>MASSA ÚNICA, EM ARGAMASSA INDUSTRIALIZADA, PREPARO MECÂNICO, APLICADA COM EQUIPAMENTO DE MISTURA E PROJEÇÃO DE ARGAMASSA EM PAREDES INTERNAS, E = 5MM, SEM TALISCAS. AF_03/2024</t>
  </si>
  <si>
    <t>REVESTIMENTO CERÂMICO PARA PAREDES INTERNAS COM PLACAS TIPO ESMALTADA DE DIMENSÕES 33X45 CM APLICADAS NA ALTURA INTEIRA DAS PAREDES. AF_02/2023_PE</t>
  </si>
  <si>
    <t>FORRO EM DRYWALL, PARA AMBIENTES COMERCIAIS, INCLUSIVE ESTRUTURA BIRECIONAL DE FIXAÇÃO. AF_08/2023_PS</t>
  </si>
  <si>
    <t>PISO CIMENTADO, TRAÇO 1:3 (CIMENTO E AREIA), ACABAMENTO LISO, ESPESSURA 3,0 CM, PREPARO MECÂNICO DA ARGAMASSA. AF_09/2020</t>
  </si>
  <si>
    <t>CONTRAPISO EM ARGAMASSA TRAÇO 1:4 (CIMENTO E AREIA), PREPARO MECÂNICO COM BETONEIRA 400 L, APLICADO EM ÁREAS MOLHADAS SOBRE IMPERMEABILIZAÇÃO, ACABAMENTO NÃO REFORÇADO, ESPESSURA 3CM. AF_07/2021</t>
  </si>
  <si>
    <t>REVESTIMENTO CERÂMICO PARA PISO COM PLACAS TIPO ESMALTADA DE DIMENSÕES 60X60 CM APLICADA EM AMBIENTES DE ÁREA MAIOR QUE 10 M2. AF_02/2023_PE</t>
  </si>
  <si>
    <t>REVESTIMENTO CERÂMICO PARA PISO COM PLACAS TIPO ESMALTADA DE DIMENSÕES 45X45 CM APLICADA EM AMBIENTES DE ÁREA MAIOR QUE 10 M2. AF_02/2023_PE</t>
  </si>
  <si>
    <t>RODAPÉ CERÂMICO DE 7CM DE ALTURA COM PLACAS TIPO ESMALTADA DE DIMENSÕES 60X60CM. AF_02/2023</t>
  </si>
  <si>
    <t>RODAPÉ EM POLIESTIRENO, ALTURA 5 CM. AF_09/2020</t>
  </si>
  <si>
    <t>SOLEIRA EM GRANITO, LARGURA 15 CM, ESPESSURA 2,0 CM. AF_09/2020</t>
  </si>
  <si>
    <t>PINTURA DE PISO COM TINTA EPÓXI, APLICAÇÃO MANUAL, 2 DEMÃOS, INCLUSO PRIMER EPÓXI. AF_05/2021</t>
  </si>
  <si>
    <t>PISO CIMENTADO, TRAÇO 1:3 (CIMENTO E AREIA), ACABAMENTO RÚSTICO, ESPESSURA 3,0 CM, PREPARO MECÂNICO DA ARGAMASSA. AF_09/2020</t>
  </si>
  <si>
    <t>EXECUÇÃO DE PASSEIO EM PISO INTERTRAVADO, COM BLOCO RETANGULAR COR NATURAL DE 20 X 10 CM, ESPESSURA 6 CM. AF_10/2022</t>
  </si>
  <si>
    <t>PLANTIO DE GRAMA BATATAIS EM PLACAS. AF_07/2024</t>
  </si>
  <si>
    <t>GUIA (MEIO-FIO) CONCRETO, MOLDADA  IN LOCO  EM TRECHO RETO COM EXTRUSORA, 13 CM BASE X 22 CM ALTURA. AF_01/2024</t>
  </si>
  <si>
    <t>EMASSAMENTO COM MASSA LÁTEX, APLICAÇÃO EM PAREDE, DUAS DEMÃOS, LIXAMENTO MANUAL. AF_04/2023</t>
  </si>
  <si>
    <t>PINTURA TINTA DE ACABAMENTO (PIGMENTADA) ESMALTE SINTÉTICO ACETINADO EM MADEIRA, 2 DEMÃOS. AF_01/2021</t>
  </si>
  <si>
    <t>PINTURA COM TINTA ALQUÍDICA DE ACABAMENTO (ESMALTE SINTÉTICO ACETINADO) APLICADA A ROLO OU PINCEL SOBRE SUPERFÍCIES METÁLICAS (EXCETO PERFIL) EXECUTADO EM OBRA (POR DEMÃO). AF_01/2020</t>
  </si>
  <si>
    <t>EMASSAMENTO COM MASSA LÁTEX, APLICAÇÃO EM TETO, UMA DEMÃO, LIXAMENTO MANUAL. AF_04/2023</t>
  </si>
  <si>
    <t>PINTURA LÁTEX ACRÍLICA PREMIUM, APLICAÇÃO MANUAL EM TETO, DUAS DEMÃOS. AF_04/2023</t>
  </si>
  <si>
    <t>PINTURA COM TINTA ALQUÍDICA DE FUNDO E ACABAMENTO (ESMALTE SINTÉTICO GRAFITE) APLICADA A ROLO OU PINCEL SOBRE PERFIL METÁLICO EXECUTADO EM FÁBRICA (POR DEMÃO). AF_01/2020</t>
  </si>
  <si>
    <t>APLICAÇÃO MANUAL DE MASSA ACRÍLICA EM PANOS DE FACHADA SEM PRESENÇA DE VÃOS, DE EDIFÍCIOS DE MÚLTIPLOS PAVIMENTOS, DUAS DEMÃOS. AF_03/2024</t>
  </si>
  <si>
    <t>PINTURA LÁTEX ACRÍLICA PREMIUM, APLICAÇÃO MANUAL EM PAREDES, DUAS DEMÃOS. AF_04/2023</t>
  </si>
  <si>
    <t>TUBO, PVC, SOLDÁVEL, DE 20MM, INSTALADO EM RAMAL DE DISTRIBUIÇÃO DE ÁGUA - FORNECIMENTO E INSTALAÇÃO. AF_06/2022</t>
  </si>
  <si>
    <t>TUBO, PVC, SOLDÁVEL, DE 25MM, INSTALADO EM RAMAL OU SUB-RAMAL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</si>
  <si>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</si>
  <si>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</si>
  <si>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</si>
  <si>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</si>
  <si>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</si>
  <si>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</si>
  <si>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20MM X 1/2 , INSTALADO EM RAMAL OU SUB-RAMAL DE ÁGUA - FORNECIMENTO E INSTALAÇÃO. AF_06/2022</t>
  </si>
  <si>
    <t>ADAPTADOR CURTO COM BOLSA E ROSCA PARA REGISTRO, PVC, SOLDÁVEL, DN 25MM X 3/4 , INSTALADO EM RAMAL OU SUB-RAMAL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</si>
  <si>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</si>
  <si>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</si>
  <si>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 INSTALADO EM PRUMADA DE ÁGUA - FORNECIMENTO E INSTALAÇÃO. AF_06/2022</t>
  </si>
  <si>
    <t>LUVA DE REDUÇÃO, PVC, SOLDÁVEL, DN 60MM X 50MM, INSTALADO EM PRUMADA DE ÁGUA - FORNECIMENTO E INSTALAÇÃO. AF_06/2022</t>
  </si>
  <si>
    <t>LUVA DE REDUÇÃO, PVC, SOLDÁVEL, DN 50MM X 25MM, INSTALADO EM RAMAL DE DISTRIBUIÇÃO DE ÁGUA   FORNECIMENTO E INSTALAÇÃO. AF_06/2022</t>
  </si>
  <si>
    <t>BUCHA DE REDUÇÃO, LONGA, PVC, SOLDÁVEL, DN 60 X 32 MM, INSTALADO EM PRUMADA DE ÁGUA - FORNECIMENTO E INSTALAÇÃO. AF_06/2022</t>
  </si>
  <si>
    <t>BUCHA DE REDUÇÃO, LONGA, PVC, SOLDÁVEL, DN 75 X 50 MM, INSTALADO EM PRUMADA DE ÁGUA - FORNECIMENTO E INSTALAÇÃO. AF_06/2022</t>
  </si>
  <si>
    <t>JOELHO 45 GRAUS, PVC, SOLDÁVEL, DN 25MM, INSTALADO EM PRUMADA DE ÁGUA - FORNECIMENTO E INSTALAÇÃO. AF_06/2022</t>
  </si>
  <si>
    <t>JOELHO 45 GRAUS, PVC, SOLDÁVEL, DN 50MM,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</si>
  <si>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</si>
  <si>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</si>
  <si>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PVC, SOLDÁVEL, DN 20MM, INSTALADO EM RAMAL OU SUB-RAMAL DE ÁGUA - FORNECIMENTO E INSTALAÇÃO. AF_06/2022</t>
  </si>
  <si>
    <t>JOELHO 90 GRAUS, PVC, SOLDÁVEL, DN 50MM, INSTALADO EM PRUMADA DE ÁGUA - FORNECIMENTO E INSTALAÇÃO. AF_06/2022</t>
  </si>
  <si>
    <t>JOELHO 90 GRAUS, PVC, SOLDÁVEL, DN 60MM, INSTALADO EM PRUMADA DE ÁGUA - FORNECIMENTO E INSTALAÇÃO. AF_06/2022</t>
  </si>
  <si>
    <t>JOELHO 90 GRAUS, PVC, SOLDÁVEL, DN 75 MM INSTALADO EM RESERVAÇÃO PREDIAL DE ÁGUA - FORNECIMENTO E INSTALAÇÃO. AF_04/2024</t>
  </si>
  <si>
    <t>JOELHO 90 GRAUS, PVC, SOLDÁVEL, DN 85 MM INSTALADO EM RESERVAÇÃO PREDIAL DE ÁGUA - FORNECIMENTO E INSTALAÇÃO. AF_04/2024</t>
  </si>
  <si>
    <t>JOELHO 90 GRAUS COM BUCHA DE LATÃO, PVC, SOLDÁVEL, DN 25MM, X 1/2  INSTALADO EM RAMAL OU SUB-RAMAL DE ÁGUA - FORNECIMENTO E INSTALAÇÃO. AF_06/2022</t>
  </si>
  <si>
    <t>TE, PVC, SOLDÁVEL, DN 25MM, INSTALADO EM RAMAL OU SUB-RAMAL DE ÁGUA - FORNECIMENTO E INSTALAÇÃO. AF_06/2022</t>
  </si>
  <si>
    <t>TE, PVC, SOLDÁVEL, DN 50MM,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</si>
  <si>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</si>
  <si>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</si>
  <si>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TÊ DE REDUÇÃO, PVC, SOLDÁVEL, DN 50MM X 25MM, INSTALADO EM PRUMADA DE ÁGUA - FORNECIMENTO E INSTALAÇÃO. AF_06/2022</t>
  </si>
  <si>
    <t>TE DE REDUÇÃO, PVC, SOLDÁVEL, DN 75MM X 50MM, INSTALADO EM PRUMADA DE ÁGUA - FORNECIMENTO E INSTALAÇÃO. AF_06/2022</t>
  </si>
  <si>
    <t>TÊ COM BUCHA DE LATÃO NA BOLSA CENTRAL, PVC, SOLDÁVEL, DN 25MM X 3/4 , INSTALADO EM RAMAL OU SUB-RAMAL DE ÁGUA - FORNECIMENTO E INSTALAÇÃO. AF_06/2022</t>
  </si>
  <si>
    <t>TÊ COM BUCHA DE LATÃO NA BOLSA CENTRAL, PVC, SOLDÁVEL, DN 25MM X 1/2 , INSTALADO EM RAMAL OU SUB-RAMAL DE ÁGUA - FORNECIMENTO E INSTALAÇÃO. AF_06/2022</t>
  </si>
  <si>
    <t>REGISTRO DE GAVETA BRUTO, LATÃO, ROSCÁVEL, 2 1/2" - FORNECIMENTO E INSTALAÇÃO. AF_08/2021</t>
  </si>
  <si>
    <t>REGISTRO DE GAVETA BRUTO, LATÃO, ROSCÁVEL, 3" - FORNECIMENTO E INSTALAÇÃO. AF_08/2021</t>
  </si>
  <si>
    <t>REGISTRO DE GAVETA BRUTO, LATÃO, ROSCÁVEL, 1/2", COM ACABAMENTO E CANOPLA CROMADOS - FORNECIMENTO E INSTALAÇÃO. AF_08/2021</t>
  </si>
  <si>
    <t>REGISTRO DE GAVETA BRUTO, LATÃO, ROSCÁVEL, 1 1/2", COM ACABAMENTO E CANOPLA CROMADOS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</si>
  <si>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</si>
  <si>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</si>
  <si>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TUBO PVC, SÉRIE R, ÁGUA PLUVIAL, DN 100 MM, FORNECIDO E INSTALADO EM CONDUTORES VERTICAIS DE ÁGUAS PLUVIAIS. AF_06/2022</t>
  </si>
  <si>
    <t>TUBO PVC, SÉRIE R, ÁGUA PLUVIAL, DN 150 MM, FORNECIDO E INSTALADO EM CONDUTORES VERTICAIS DE ÁGUAS PLUVIAIS. AF_06/2022</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</si>
  <si>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</si>
  <si>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</si>
  <si>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JUNÇÃO SIMPLES, PVC, SERIE R, ÁGUA PLUVIAL, DN 100 X 100 MM, JUNTA ELÁSTICA, FORNECIDO E INSTALADO EM RAMAL DE ENCAMINHAMENTO. AF_06/2022</t>
  </si>
  <si>
    <t>TÊ DE INSPEÇÃO, PVC, SERIE R, ÁGUA PLUVIAL, DN 100 MM, JUNTA ELÁSTICA, FORNECIDO E INSTALADO EM CONDUTORES VERTICAIS DE ÁGUAS PLUVIAIS. AF_06/2022</t>
  </si>
  <si>
    <t>CAIXA ENTERRADA HIDRÁULICA RETANGULAR EM ALVENARIA COM TIJOLOS CERÂMICOS MACIÇOS, DIMENSÕES INTERNAS: 0,6X0,6X0,6 M PARA REDE DE DRENAGEM. AF_12/2020</t>
  </si>
  <si>
    <t>CAIXA SIFONADA, PVC, DN 100 X 100 X 50 MM, FORNECIDA E INSTALADA EM RAMAIS DE ENCAMINHAMENTO DE ÁGUA PLUVIAL. AF_06/2022</t>
  </si>
  <si>
    <t>TUBO PVC, SERIE NORMAL, ESGOTO PREDIAL, DN 100 MM, FORNECIDO E INSTALADO EM RAMAL DE DESCARGA OU RAMAL DE ESGOTO SANITÁRIO.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</si>
  <si>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</si>
  <si>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</si>
  <si>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</si>
  <si>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</si>
  <si>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</si>
  <si>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</si>
  <si>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JOELHO 45 GRAUS, PVC, SERIE NORMAL, ESGOTO PREDIAL, DN 100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</si>
  <si>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</si>
  <si>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</si>
  <si>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90 GRAUS, PVC, SERIE NORMAL, ESGOTO PREDIAL, DN 50 MM, JUNTA ELÁSTICA, FORNECIDO E INSTALADO EM RAMAL DE DESCARGA OU RAMAL DE ESGOTO SANITÁRIO. AF_08/2022</t>
  </si>
  <si>
    <t>JOELHO 90 GRAUS, PVC, SERIE NORMAL, ESGOTO PREDIAL, DN 40 MM, JUNTA SOLDÁVEL,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</si>
  <si>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</si>
  <si>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50 X 50 MM, JUNTA ELÁSTICA, FORNECIDO E INSTALADO EM PRUMADA DE ESGOTO SANITÁRIO OU VENTILAÇÃO. AF_08/2022</t>
  </si>
  <si>
    <t>REDUÇÃO EXCÊNTRICA, PVC, SERIE R, ÁGUA PLUVIAL, DN 100 X 75 MM, JUNTA ELÁSTICA, FORNECIDO E INSTALADO EM RAMAL DE ENCAMINHAMENTO. AF_06/2022</t>
  </si>
  <si>
    <t>CAIXA SIFONADA, PVC, DN 150 X 185 X 75 MM, JUNTA ELÁSTICA, FORNECIDA E INSTALADA EM RAMAL DE DESCARGA OU EM RAMAL DE ESGOTO SANITÁRIO. AF_08/2022</t>
  </si>
  <si>
    <t>TÊ, PVC, SERIE R, ÁGUA PLUVIAL, DN 100 X 75 MM, JUNTA ELÁSTICA, FORNECIDO E INSTALADO EM CONDUTORES VERTICAIS DE ÁGUAS PLUVIAIS. AF_06/2022</t>
  </si>
  <si>
    <t>TE, PVC, SERIE NORMAL, ESGOTO PREDIAL, DN 50 X 50 MM, JUNTA ELÁSTICA, FORNECIDO E INSTALADO EM RAMAL DE DESCARGA OU RAMAL DE ESGOTO SANITÁRIO. AF_08/2022</t>
  </si>
  <si>
    <t>TÊ, PVC, SERIE R, ÁGUA PLUVIAL, DN 75 X 75 MM, JUNTA ELÁSTICA, FORNECIDO E INSTALADO EM CONDUTORES VERTICAIS DE ÁGUAS PLUVIAIS. AF_06/2022</t>
  </si>
  <si>
    <t>TE, PVC, SOLDÁVEL, DN 40MM, INSTALADO EM PRUMADA DE ÁGUA - FORNECIMENTO E INSTALAÇÃO. AF_06/2022</t>
  </si>
  <si>
    <t>RALO SECO, PVC, DN 100 X 40 MM, JUNTA SOLDÁVEL, FORNECIDO E INSTALADO EM RAMAL DE DESCARGA OU EM RAMAL DE ESGOTO SANITÁRIO. AF_08/2022</t>
  </si>
  <si>
    <t>TERMINAL DE VENTILAÇÃO, PVC, SÉRIE NORMAL, ESGOTO PREDIAL, DN 75 MM, JUNTA SOLDÁVEL, FORNECIDO E INSTALADO EM PRUMADA DE ESGOTO SANITÁRIO OU VENTILAÇÃO. AF_08/2022</t>
  </si>
  <si>
    <t>TERMINAL DE VENTILAÇÃO, PVC, SÉRIE NORMAL, ESGOTO PREDIAL, DN 50 MM, JUNTA SOLDÁVEL, FORNECIDO E INSTALADO EM PRUMADA DE ESGOTO SANITÁRIO OU VENTILAÇÃO. AF_08/2022</t>
  </si>
  <si>
    <t>BUCHA DE REDUÇÃO LONGA, PVC, SÉRIE NORMAL, ESGOTO PREDIAL, DN 50 X 40 MM, JUNTA SOLDÁVEL E ELÁSTICA, FORNECIDO E INSTALADO EM RAMAL DE DESCARGA OU RAMAL DE ESGOTO SANITÁRIO. AF_08/2022</t>
  </si>
  <si>
    <t>TANQUE SÉPTICO RETANGULAR, EM ALVENARIA COM BLOCOS DE CONCRETO, DIMENSÕES INTERNAS: 1,6 X 4,6 X H=2,4 M, VOLUME ÚTIL: 14720 L (PARA 105 CONTRIBUINTES). AF_12/2020</t>
  </si>
  <si>
    <t>FILTRO ANAERÓBIO RETANGULAR, EM ALVENARIA COM BLOCOS DE CONCRETO, DIMENSÕES INTERNAS: 1,6 X 5,6 X H=1,67 M, VOLUME ÚTIL: 10752 L (PARA 103 CONTRIBUINTES). AF_12/2020</t>
  </si>
  <si>
    <t>VASO SANITARIO SIFONADO CONVENCIONAL COM LOUÇA BRANCA, INCLUSO CONJUNTO DE LIGAÇÃO PARA BACIA SANITÁRIA AJUSTÁVEL - FORNECIMENTO E INSTALAÇÃO. AF_01/2020</t>
  </si>
  <si>
    <t>VASO SANITÁRIO INFANTIL LOUÇA BRANCA - FORNECIMENTO E INSTALACAO. AF_01/2020</t>
  </si>
  <si>
    <t>ASSENTO SANITÁRIO CONVENCIONAL - FORNECIMENTO E INSTALACAO. AF_01/2020</t>
  </si>
  <si>
    <t>ASSENTO SANITÁRIO INFANTIL - FORNECIMENTO E INSTALACAO. AF_01/2020</t>
  </si>
  <si>
    <t>CUBA DE EMBUTIR OVAL EM LOUÇA BRANCA, 35 X 50CM OU EQUIVALENTE - FORNECIMENTO E INSTALAÇÃO. AF_01/2020</t>
  </si>
  <si>
    <t>LAVATÓRIO LOUÇA BRANCA COM COLUNA, *44 X 35,5* CM, PADRÃO POPULAR - FORNECIMENTO E INSTALAÇÃO. AF_01/2020</t>
  </si>
  <si>
    <t>TANQUE DE LOUÇA BRANCA COM COLUNA, 30L OU EQUIVALENTE - FORNECIMENTO E INSTALAÇÃO. AF_01/2020</t>
  </si>
  <si>
    <t>CUBA DE EMBUTIR RETANGULAR DE AÇO INOXIDÁVEL, 46 X 30 X 12 CM - FORNECIMENTO E INSTALAÇÃO. AF_01/2020</t>
  </si>
  <si>
    <t>CUBA DE EMBUTIR RETANGULAR DE AÇO INOXIDÁVEL, 56 X 33 X 12 CM - FORNECIMENTO E INSTALAÇÃO. AF_01/2020</t>
  </si>
  <si>
    <t>VÁLVULA EM METAL CROMADO 1.1/2" X 1.1/2" PARA TANQUE OU LAVATÓRIO, COM OU SEM LADRÃO - FORNECIMENTO E INSTALAÇÃO. AF_01/2020</t>
  </si>
  <si>
    <t>SIFÃO DO TIPO FLEXÍVEL EM PVC 1  X 1.1/2  - FORNECIMENTO E INSTALAÇÃO. AF_01/2020</t>
  </si>
  <si>
    <t>TORNEIRA CROMADA TUBO MÓVEL, DE MESA, 1/2" OU 3/4", PARA PIA DE COZINHA, PADRÃO ALTO - FORNECIMENTO E INSTALAÇÃO. AF_01/2020</t>
  </si>
  <si>
    <t>TORNEIRA CROMADA 1/2" OU 3/4" PARA TANQUE, PADRÃO POPULAR - FORNECIMENTO E INSTALAÇÃO. AF_01/2020</t>
  </si>
  <si>
    <t>ENGATE FLEXÍVEL EM INOX, 1/2  X 40CM - FORNECIMENTO E INSTALAÇÃO. AF_01/2020</t>
  </si>
  <si>
    <t>CHUVEIRO ELÉTRICO COMUM CORPO PLÁSTICO, TIPO DUCHA - FORNECIMENTO E INSTALAÇÃO. AF_01/2020</t>
  </si>
  <si>
    <t>BARRA DE APOIO RETA, EM ACO INOX POLIDO, COMPRIMENTO 70 CM,  FIXADA NA PAREDE - FORNECIMENTO E INSTALAÇÃO. AF_01/2020</t>
  </si>
  <si>
    <t>BANCO ARTICULADO, EM ACO INOX, PARA PCD, FIXADO NA PAREDE - FORNECIMENTO E INSTALAÇÃO. AF_01/2020</t>
  </si>
  <si>
    <t>SABONETEIRA PLASTICA TIPO DISPENSER PARA SABONETE LIQUIDO COM RESERVATORIO 800 A 1500 ML, INCLUSO FIXAÇÃO. AF_01/2020</t>
  </si>
  <si>
    <t>REGISTRO OU REGULADOR DE GÁS DE COZINHA - FORNECIMENTO E INSTALAÇÃO. AF_08/2021</t>
  </si>
  <si>
    <t>TUBO DE AÇO GALVANIZADO COM COSTURA, CLASSE MÉDIA, CONEXÃO ROSQUEADA, DN 20 (3/4"), INSTALADO EM RAMAIS E SUB-RAMAIS DE GÁS - FORNECIMENTO E INSTALAÇÃO. AF_10/2020</t>
  </si>
  <si>
    <t>VÁLVULA DE ESFERA BRUTA, BRONZE, ROSCÁVEL, 1/2" - FORNECIMENTO E INSTALAÇÃO. AF_08/2021</t>
  </si>
  <si>
    <t>VÁLVULA DE ESFERA BRUTA, BRONZE, ROSCÁVEL, 3/4'' - FORNECIMENTO E INSTALAÇÃO. AF_08/2021</t>
  </si>
  <si>
    <t>TÊ, EM FERRO GALVANIZADO, CONEXÃO ROSQUEADA, DN 20 (3/4"), INSTALADO EM RAMAIS E SUB-RAMAIS DE GÁS - FORNECIMENTO E INSTALAÇÃO. AF_10/2020</t>
  </si>
  <si>
    <t>LUVA, EM FERRO GALVANIZADO, CONEXÃO ROSQUEADA, DN 20 (3/4"),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</si>
  <si>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</si>
  <si>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</si>
  <si>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90 GRAUS, EM AÇO, CONEXÃO SOLDADA, DN 15 (1/2"), INSTALADO EM RAMAIS E SUB-RAMAIS DE GÁS - FORNECIMENTO E INSTALAÇÃO. AF_10/2020</t>
  </si>
  <si>
    <t>EXTINTOR DE INCÊNDIO PORTÁTIL COM CARGA DE PQS DE 6 KG, CLASSE BC - FORNECIMENTO E INSTALAÇÃO. AF_10/2020_PE</t>
  </si>
  <si>
    <t>EXTINTOR DE INCÊNDIO PORTÁTIL COM CARGA DE CO2 DE 6 KG, CLASSE BC - FORNECIMENTO E INSTALAÇÃO. AF_10/2020_PE</t>
  </si>
  <si>
    <t>ABRIGO PARA HIDRANTE, 75X45X17CM, COM REGISTRO GLOBO ANGULAR 45 GRAUS 2 1/2", ADAPTADOR STORZ 2 1/2", MANGUEIRA DE INCÊNDIO 15M 2 1/2" E ESGUICHO EM LATÃO 2 1/2" - FORNECIMENTO E INSTALAÇÃO. AF_10/2020</t>
  </si>
  <si>
    <t>HIDRANTE SUBTERRÂNEO PREDIAL (COM CURVA LONGA E CAIXA), DN 75 MM - FORNECIMENTO E INSTALAÇÃO. AF_10/2020</t>
  </si>
  <si>
    <t>VÁLVULA DE RETENÇÃO HORIZONTAL, DE BRONZE, ROSCÁVEL, 2 1/2" - FORNECIMENTO E INSTALAÇÃO. AF_08/2021</t>
  </si>
  <si>
    <t>MANÔMETRO 0 A 200 PSI (0 A 14 KGF/CM2), D = 50MM - FORNECIMENTO E INSTALAÇÃO. AF_10/2020</t>
  </si>
  <si>
    <t>BOMBA CENTRÍFUGA, MONOFÁSICA, 0,5 CV OU 0,49 HP, HM 6 A 20 M, Q 1,2 A 8,3 M3/H - FORNECIMENTO E INSTALAÇÃO. AF_12/2020</t>
  </si>
  <si>
    <t>COTOVELO 90 GRAUS, EM FERRO GALVANIZADO, CONEXÃO ROSQUEADA, DN 65 MM (2 1/2"), INSTALADO EM RESERVAÇÃO PREDIAL DE ÁGUA - FORNECIMENTO E INSTALAÇÃO. AF_04/2024</t>
  </si>
  <si>
    <t>TUBO DE AÇO GALVANIZADO COM COSTURA, CLASSE MÉDIA, DN 65 (2 1/2"), CONEXÃO ROSQUEADA, INSTALADO EM REDE DE ALIMENTAÇÃO PARA HIDRANTE - FORNECIMENTO E INSTALAÇÃO. AF_10/2020</t>
  </si>
  <si>
    <t>COTOVELO 45 GRAUS, EM FERRO GALVANIZADO, CONEXÃO ROSQUEADA, DN 65 MM (2 1/2"), INSTALADO EM RESERVAÇÃO PREDIAL DE ÁGUA - FORNECIMENTO E INSTALAÇÃO. AF_04/2024</t>
  </si>
  <si>
    <t>NIPLE, EM FERRO GALVANIZADO, CONEXÃO ROSQUEADA, DN 65 (2 1/2"), INSTALADO EM REDE DE ALIMENTAÇÃO PARA SPRINKLER - FORNECIMENTO E INSTALAÇÃO. AF_10/2020</t>
  </si>
  <si>
    <t>TÊ, EM FERRO GALVANIZADO, CONEXÃO ROSQUEADA, DN 65 (2 1/2"), INSTALADO EM REDE DE ALIMENTAÇÃO PARA HIDRANTE - FORNECIMENTO E INSTALAÇÃO. AF_10/2020</t>
  </si>
  <si>
    <t>LUMINÁRIA DE EMERGÊNCIA, COM 30 LÂMPADAS LED DE 2 W, SEM REATOR - FORNECIMENTO E INSTALAÇÃO. AF_09/2024</t>
  </si>
  <si>
    <t>PINTURA DE SINALIZAÇÃO VERTICAL DE SEGURANÇA, FAIXAS AMARELA E PRETA, APLICAÇÃO MANUAL, 2 DEMÃOS. AF_05/2021</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</si>
  <si>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</si>
  <si>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</si>
  <si>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</si>
  <si>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MEDIÇÃO GERAL DE ENERGIA PARA 1 MEDIDOR DE SOBREPOR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</si>
  <si>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</si>
  <si>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</si>
  <si>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</si>
  <si>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</si>
  <si>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40A - FORNECIMENTO E INSTALAÇÃO. AF_10/2020</t>
  </si>
  <si>
    <t>DISJUNTOR TRIPOLAR TIPO DIN, CORRENTE NOMINAL DE 16A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</si>
  <si>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</si>
  <si>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</si>
  <si>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</si>
  <si>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60 ATÉ 100A - FORNECIMENTO E INSTALAÇÃO. AF_10/2020</t>
  </si>
  <si>
    <t>DISJUNTOR TERMOMAGNÉTICO TRIPOLAR , CORRENTE NOMINAL DE 250A - FORNECIMENTO E INSTALAÇÃO. AF_10/2020</t>
  </si>
  <si>
    <t>ELETRODUTO FLEXÍVEL CORRUGADO, PVC, DN 25 MM (3/4"), PARA CIRCUITOS TERMINAIS, INSTALADO EM FORRO - FORNECIMENTO E INSTALAÇÃO. AF_03/2023_PA</t>
  </si>
  <si>
    <t>ELETRODUTO FLEXÍVEL CORRUGADO, PVC, DN 32 MM (1"), PARA CIRCUITOS TERMINAIS, INSTALADO EM FORRO - FORNECIMENTO E INSTALAÇÃO. AF_03/2023_PA</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</si>
  <si>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</si>
  <si>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</si>
  <si>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85 MM (3"), PARA REDE ENTERRADA DE DISTRIBUIÇÃO DE ENERGIA ELÉTRICA - FORNECIMENTO E INSTALAÇÃO. AF_12/2021</t>
  </si>
  <si>
    <t>CAIXA ENTERRADA ELÉTRICA RETANGULAR, EM ALVENARIA COM TIJOLOS CERÂMICOS MACIÇOS, FUNDO COM BRITA, DIMENSÕES INTERNAS: 0,3X0,3X0,3 M. AF_12/2020</t>
  </si>
  <si>
    <t>CAIXA OCTOGONAL 3" X 3", PVC, INSTALADA EM LAJE - FORNECIMENTO E INSTALAÇÃO. AF_03/2023</t>
  </si>
  <si>
    <t>CAIXA RETANGULAR 4" X 2" MÉDIA (1,30 M DO PISO), PVC, INSTALADA EM PAREDE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</si>
  <si>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</si>
  <si>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</si>
  <si>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6 MM², ANTI-CHAMA 450/750 V, PARA CIRCUITOS TERMINAIS - FORNECIMENTO E INSTALAÇÃO. AF_03/2023</t>
  </si>
  <si>
    <t>CABO DE COBRE FLEXÍVEL ISOLADO, 16 MM², ANTI-CHAMA 450/750 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</si>
  <si>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</si>
  <si>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</si>
  <si>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</si>
  <si>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0,6/1,0 KV, PARA REDE AÉREA DE DISTRIBUIÇÃO DE ENERGIA ELÉTRICA DE BAIXA TENSÃO - FORNECIMENTO E INSTALAÇÃO. AF_07/2020</t>
  </si>
  <si>
    <t>CABO DE COBRE FLEXÍVEL ISOLADO, 150 MM², ANTI-CHAMA 0,6/1,0 KV, PARA REDE ENTERRADA DE DISTRIBUIÇÃO DE ENERGIA ELÉTRICA - FORNECIMENTO E INSTALAÇÃO. AF_12/2021</t>
  </si>
  <si>
    <t>SUPORTE PARA 2 ELETRODUTOS, ESPAÇADO A CADA 80 CM, EM PERFILADO COM COMPRIMENTO DE 25 CM FIXADO EM LAJE, POR METRO DE ELETRODUTO FIXADO. AF_09/2023</t>
  </si>
  <si>
    <t>TOMADA BAIXA DE EMBUTIR (1 MÓDULO), 2P+T 10 A, INCLUINDO SUPORTE E PLACA - FORNECIMENTO E INSTALAÇÃO. AF_03/2023</t>
  </si>
  <si>
    <t>TOMADA BAIXA DE EMBUTIR (1 MÓDULO), 2P+T 20 A, INCLUINDO SUPORTE E PLACA - FORNECIMENTO E INSTALAÇÃO. AF_03/2023</t>
  </si>
  <si>
    <t>INTERRUPTOR PARALELO (1 MÓDULO) COM 1 TOMADA DE EMBUTIR 2P+T 10 A, INCLUINDO SUPORTE E PLACA - FORNECIMENTO E INSTALAÇÃO. AF_03/2023</t>
  </si>
  <si>
    <t>INTERRUPTOR PARALELO (1 MÓDULO), 10A/250V, INCLUINDO SUPORTE E PLACA - FORNECIMENTO E INSTALAÇÃO. AF_03/2023</t>
  </si>
  <si>
    <t>INTERRUPTOR PARALELO (2 MÓDULOS) COM 1 TOMADA DE EMBUTIR 2P+T 10 A, INCLUINDO SUPORTE E PLACA - FORNECIMENTO E INSTALAÇÃO. AF_03/2023</t>
  </si>
  <si>
    <t>INTERRUPTOR SIMPLES (3 MÓDULOS), 10A/250V, INCLUINDO SUPORTE E PLACA - FORNECIMENTO E INSTALAÇÃO. AF_03/2023</t>
  </si>
  <si>
    <t>CABO DE COBRE FLEXÍVEL ISOLADO, 2,5 MM², ANTI-CHAMA 0,6/1,0 KV, PARA CIRCUITOS TERMINAIS - FORNECIMENTO E INSTALAÇÃO. AF_03/2023</t>
  </si>
  <si>
    <t>CABO DE COBRE FLEXÍVEL ISOLADO, 4 MM², ANTI-CHAMA 0,6/1,0 KV, PARA CIRCUITOS TERMINAIS - FORNECIMENTO E INSTALAÇÃO. AF_03/2023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</si>
  <si>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</si>
  <si>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</si>
  <si>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ADAPTADOR CURTO COM BOLSA E ROSCA PARA REGISTRO, PVC, SOLDÁVEL, DN 40MM X 1.1/4", INSTALADO EM RAMAL DE DISTRIBUIÇÃO DE ÁGUA - FORNECIMENTO E INSTALAÇÃO. AF_06/2022</t>
  </si>
  <si>
    <t>TUBO, PVC, SOLDÁVEL, DE 40MM, INSTALADO EM RAMAL DE DISTRIBUIÇÃO DE ÁGUA - FORNECIMENTO E INSTALAÇÃO. AF_06/2022</t>
  </si>
  <si>
    <t>JOELHO 45 GRAUS, PVC, SOLDÁVEL, DN 40MM, INSTALADO EM RAMAL DE DISTRIBUIÇÃO DE ÁGUA - FORNECIMENTO E INSTALAÇÃO. AF_06/2022</t>
  </si>
  <si>
    <t>JOELHO 90 GRAUS, PVC, SOLDÁVEL, DN 40MM, INSTALADO EM RAMAL DE DISTRIBUIÇÃO DE ÁGUA - FORNECIMENTO E INSTALAÇÃO. AF_06/2022</t>
  </si>
  <si>
    <t>TE, PVC, SOLDÁVEL, DN 40MM, INSTALADO EM RAMAL DE DISTRIBUIÇÃO DE ÁGUA - FORNECIMENTO E INSTALAÇÃO. AF_06/2022</t>
  </si>
  <si>
    <t>PATCH PANEL 24 PORTAS, CATEGORIA 6 - FORNECIMENTO E INSTALAÇÃO. AF_11/2019</t>
  </si>
  <si>
    <t>RACK ABERTO EM COLUNA 44U PARA SERVIDOR - FORNECIMENTO E INSTALAÇÃO. AF_11/2019</t>
  </si>
  <si>
    <t>TOMADA DE REDE RJ45 - FORNECIMENTO E INSTALAÇÃO. AF_11/2019</t>
  </si>
  <si>
    <t>ELETRODUTO FLEXÍVEL CORRUGADO REFORÇADO, PVC, DN 32 MM (1"), PARA CIRCUITOS TERMINAIS, INSTALADO EM FORRO - FORNECIMENTO E INSTALAÇÃO. AF_03/2023_PA</t>
  </si>
  <si>
    <t>ELETRODUTO FLEXÍVEL CORRUGADO REFORÇADO, PVC, DN 25 MM (3/4"), PARA CIRCUITOS TERMINAIS, INSTALADO EM FORRO - FORNECIMENTO E INSTALAÇÃO. AF_03/2023_PA</t>
  </si>
  <si>
    <t>ELETRODUTO RÍGIDO ROSCÁVEL, PVC, DN 40 MM (1 1/4"), PARA CIRCUITOS TERMINAIS, INSTALADO EM FORRO - FORNECIMENTO E INSTALAÇÃO. AF_03/2023</t>
  </si>
  <si>
    <t>CABO ELETRÔNICO CATEGORIA 6, INSTALADO EM EDIFICAÇÃO INSTITUCIONAL - FORNECIMENTO E INSTALAÇÃO. AF_11/2019</t>
  </si>
  <si>
    <t>CABO COAXIAL RG59 95% - FORNECIMENTO E INSTALAÇÃO. AF_11/2019</t>
  </si>
  <si>
    <t>CAPTOR TIPO FRANKLIN PARA SPDA - FORNECIMENTO E INSTALAÇÃO. AF_08/2023</t>
  </si>
  <si>
    <t>ARMAÇÃO UTILIZANDO AÇO CA-25 DE 10,0 MM - MONTAGEM. AF_06/2022</t>
  </si>
  <si>
    <t>CONECTOR SPLIT-BOLT, PARA SPDA, PARA CABOS ATÉ 50 MM2 - FORNECIMENTO E INSTALAÇÃO. AF_08/2023</t>
  </si>
  <si>
    <t>ABRAÇADEIRA DE FIXAÇÃO DE BRAÇOS DE LUMINÁRIAS DE 2" - FORNECIMENTO E INSTALAÇÃO. AF_08/2020</t>
  </si>
  <si>
    <t>SUPORTE ISOLADOR PARA FIXAÇÃO DA CORDOALHA DE COBRE EM ALVENARIA OU CONCRETO - FORNECIMENTO E INSTALAÇÃO. AF_08/2023</t>
  </si>
  <si>
    <t>ESCAVAÇÃO MANUAL DE VALA. AF_09/2024</t>
  </si>
  <si>
    <t>REATERRO MANUAL DE VALAS, COM COMPACTADOR DE SOLOS DE PERCUSSÃO. AF_08/2023</t>
  </si>
  <si>
    <t>HASTE DE ATERRAMENTO, DIÂMETRO 5/8", COM 3 METROS - FORNECIMENTO E INSTALAÇÃO. AF_08/2023</t>
  </si>
  <si>
    <t>CORDOALHA DE COBRE NU 35 MM², NÃO ENTERRADA, COM ISOLADOR - FORNECIMENTO E INSTALAÇÃO. AF_08/2023</t>
  </si>
  <si>
    <t>CORDOALHA DE COBRE NU 50 MM², ENTERRADA - FORNECIMENTO E INSTALAÇÃO. AF_08/2023</t>
  </si>
  <si>
    <t>CAIXA DE INSPEÇÃO PARA ATERRAMENTO, CIRCULAR, EM POLIETILENO, DIÂMETRO INTERNO = 0,3 M. AF_12/2020</t>
  </si>
  <si>
    <t>PEITORIL LINEAR EM GRANITO OU MÁRMORE, L = 15CM, COMPRIMENTO DE ATÉ 2M, ASSENTADO COM ARGAMASSA 1:6 COM ADITIVO. AF_11/2020</t>
  </si>
  <si>
    <t>SUPORTE MÃO FRANCESA EM AÇO, ABAS IGUAIS 30 CM, CAPACIDADE MINIMA 60 KG, BRANCO - FORNECIMENTO E INSTALAÇÃO. AF_01/2020</t>
  </si>
  <si>
    <t>FABRICAÇÃO, MONTAGEM E DESMONTAGEM DE FÔRMA PARA CORTINA DE CONTENÇÃO, EM CHAPA DE MADEIRA COMPENSADA PLASTIFICADA, E = 18 MM, 10 UTILIZAÇÕES. AF_07/2019</t>
  </si>
  <si>
    <t>CONCRETAGEM DE CORTINA DE CONTENÇÃO, ATRAVÉS DE BOMBA  - LANÇAMENTO, ADENSAMENTO E ACABAMENTO. AF_07/2019</t>
  </si>
  <si>
    <t>ARMAÇÃO DE CORTINA DE CONTENÇÃO EM CONCRETO ARMADO, COM AÇO CA-50 DE 10 MM - MONTAGEM. AF_07/2019</t>
  </si>
  <si>
    <t xml:space="preserve">CONCRETO USINADO BOMBEAVEL, CLASSE DE RESISTENCIA C25, BRITA 0 E 1, SLUMP = 100 +/- 20 MM, COM BOMBEAMENTO (DISPONIBILIZACAO DE BOMBA), SEM O LANCAMENTO (NBR 8953)                                                                                                                                                                                                                                                                                                                                       </t>
  </si>
  <si>
    <t>LIMPEZA DE PISO CERÂMICO OU PORCELANATO COM PANO ÚMIDO. AF_04/2019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</si>
</sst>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63">
    <xf numFmtId="0" fontId="0" fillId="0" borderId="0" xfId="0"/>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lignment horizontal="center"/>
    </xf>
    <xf numFmtId="0" fontId="0" fillId="0" borderId="0" xfId="0" applyAlignment="1">
      <alignment horizontal="left"/>
    </xf>
    <xf numFmtId="49" fontId="22" fillId="24" borderId="10" xfId="0" applyNumberFormat="1" applyFont="1" applyFill="1" applyBorder="1" applyAlignment="1">
      <alignment horizontal="center" vertical="center"/>
    </xf>
    <xf numFmtId="164" fontId="22" fillId="24" borderId="10" xfId="87"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Alignment="1">
      <alignment horizontal="right"/>
    </xf>
    <xf numFmtId="0" fontId="22" fillId="0" borderId="0" xfId="0" applyFont="1" applyAlignment="1">
      <alignment horizontal="right"/>
    </xf>
    <xf numFmtId="0" fontId="1" fillId="0" borderId="0" xfId="0" applyFont="1" applyAlignment="1">
      <alignment wrapText="1"/>
    </xf>
    <xf numFmtId="0" fontId="0" fillId="0" borderId="0" xfId="0" applyAlignment="1">
      <alignment horizontal="left" wrapText="1"/>
    </xf>
    <xf numFmtId="0" fontId="1" fillId="0" borderId="0" xfId="0" applyFont="1" applyAlignment="1">
      <alignment horizontal="left" wrapText="1" indent="2"/>
    </xf>
    <xf numFmtId="0" fontId="0" fillId="0" borderId="0" xfId="0" applyAlignment="1">
      <alignment horizontal="center"/>
    </xf>
    <xf numFmtId="0" fontId="22" fillId="0" borderId="11" xfId="72" applyFont="1" applyBorder="1" applyAlignment="1">
      <alignment horizontal="left" vertical="top"/>
    </xf>
    <xf numFmtId="0" fontId="22" fillId="0" borderId="0" xfId="72" applyFont="1" applyAlignment="1">
      <alignment horizontal="left" vertical="top"/>
    </xf>
    <xf numFmtId="0" fontId="22" fillId="0" borderId="12" xfId="72" applyFont="1" applyBorder="1" applyAlignment="1">
      <alignment horizontal="left" vertical="top"/>
    </xf>
    <xf numFmtId="10" fontId="1" fillId="0" borderId="0" xfId="76" applyNumberFormat="1" applyFont="1" applyBorder="1" applyAlignment="1" applyProtection="1">
      <alignment horizontal="left"/>
    </xf>
    <xf numFmtId="0" fontId="0" fillId="0" borderId="0" xfId="0" applyAlignment="1">
      <alignment horizontal="left" indent="2"/>
    </xf>
    <xf numFmtId="14" fontId="28" fillId="0" borderId="0" xfId="0" applyNumberFormat="1" applyFont="1" applyAlignment="1">
      <alignment vertical="top" wrapText="1"/>
    </xf>
    <xf numFmtId="0" fontId="29" fillId="0" borderId="0" xfId="0" applyFont="1" applyAlignment="1">
      <alignment horizontal="center"/>
    </xf>
    <xf numFmtId="0" fontId="29" fillId="0" borderId="0" xfId="0" applyFont="1"/>
    <xf numFmtId="0" fontId="21" fillId="0" borderId="0" xfId="0" applyFont="1" applyAlignment="1">
      <alignment horizontal="left"/>
    </xf>
    <xf numFmtId="166" fontId="0" fillId="0" borderId="0" xfId="87" applyNumberFormat="1" applyFont="1" applyFill="1" applyBorder="1" applyProtection="1"/>
    <xf numFmtId="0" fontId="0" fillId="0" borderId="13" xfId="0" applyBorder="1" applyAlignment="1">
      <alignment horizontal="left"/>
    </xf>
    <xf numFmtId="0" fontId="0" fillId="0" borderId="13" xfId="0" applyBorder="1"/>
    <xf numFmtId="0" fontId="0" fillId="0" borderId="0" xfId="0" applyProtection="1">
      <protection hidden="1"/>
    </xf>
    <xf numFmtId="0" fontId="1" fillId="0" borderId="0" xfId="0" applyFont="1" applyProtection="1">
      <protection hidden="1"/>
    </xf>
    <xf numFmtId="0" fontId="22" fillId="0" borderId="0" xfId="0" applyFont="1" applyAlignment="1" applyProtection="1">
      <alignment wrapText="1"/>
      <protection hidden="1"/>
    </xf>
    <xf numFmtId="0" fontId="22" fillId="0" borderId="0" xfId="0" applyFont="1" applyAlignment="1" applyProtection="1">
      <alignment horizontal="center" vertical="center"/>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Alignment="1">
      <alignment horizontal="left" wrapText="1"/>
    </xf>
    <xf numFmtId="0" fontId="1" fillId="0" borderId="0" xfId="0" applyFont="1" applyAlignment="1">
      <alignment horizontal="left" wrapText="1" indent="1"/>
    </xf>
    <xf numFmtId="0" fontId="22" fillId="0" borderId="0" xfId="0" applyFont="1" applyAlignment="1">
      <alignment horizontal="left" wrapText="1" indent="1"/>
    </xf>
    <xf numFmtId="0" fontId="22" fillId="0" borderId="0" xfId="0" applyFont="1" applyAlignment="1">
      <alignment horizontal="left" indent="1"/>
    </xf>
    <xf numFmtId="0" fontId="1" fillId="0" borderId="0" xfId="71"/>
    <xf numFmtId="0" fontId="22" fillId="0" borderId="0" xfId="71" applyFont="1" applyAlignment="1">
      <alignment horizontal="center"/>
    </xf>
    <xf numFmtId="0" fontId="22" fillId="0" borderId="14" xfId="71" applyFont="1" applyBorder="1" applyAlignment="1">
      <alignment horizontal="center"/>
    </xf>
    <xf numFmtId="10" fontId="31" fillId="0" borderId="14" xfId="71" applyNumberFormat="1" applyFont="1" applyBorder="1" applyAlignment="1">
      <alignment horizontal="center"/>
    </xf>
    <xf numFmtId="0" fontId="21" fillId="0" borderId="0" xfId="71" applyFont="1" applyAlignment="1">
      <alignment horizontal="center"/>
    </xf>
    <xf numFmtId="0" fontId="32" fillId="0" borderId="0" xfId="71" applyFont="1"/>
    <xf numFmtId="0" fontId="22" fillId="0" borderId="0" xfId="71" applyFont="1"/>
    <xf numFmtId="0" fontId="22" fillId="0" borderId="14" xfId="71" applyFont="1" applyBorder="1" applyAlignment="1">
      <alignment horizontal="center" vertical="center" wrapText="1"/>
    </xf>
    <xf numFmtId="0" fontId="30" fillId="0" borderId="14" xfId="71" applyFont="1" applyBorder="1" applyAlignment="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xf>
    <xf numFmtId="10" fontId="30" fillId="0" borderId="14" xfId="71" applyNumberFormat="1" applyFont="1" applyBorder="1" applyAlignment="1">
      <alignment horizontal="center" vertical="center" wrapText="1"/>
    </xf>
    <xf numFmtId="0" fontId="30" fillId="0" borderId="14" xfId="71" applyFont="1" applyBorder="1" applyAlignment="1">
      <alignment horizontal="center" vertical="center" wrapText="1"/>
    </xf>
    <xf numFmtId="0" fontId="39" fillId="0" borderId="0" xfId="71" applyFont="1" applyAlignment="1">
      <alignment horizontal="center" vertical="center" wrapText="1"/>
    </xf>
    <xf numFmtId="10" fontId="39" fillId="0" borderId="0" xfId="71" applyNumberFormat="1" applyFont="1" applyAlignment="1">
      <alignment horizontal="center" vertical="center"/>
    </xf>
    <xf numFmtId="170" fontId="1" fillId="0" borderId="0" xfId="71" applyNumberFormat="1"/>
    <xf numFmtId="0" fontId="30" fillId="0" borderId="0" xfId="71" applyFont="1"/>
    <xf numFmtId="0" fontId="30" fillId="0" borderId="0" xfId="71" applyFont="1" applyAlignment="1">
      <alignment vertical="top"/>
    </xf>
    <xf numFmtId="0" fontId="34" fillId="0" borderId="0" xfId="71" applyFont="1" applyAlignment="1">
      <alignment horizontal="center" vertical="top"/>
    </xf>
    <xf numFmtId="0" fontId="22" fillId="0" borderId="14" xfId="0" applyFont="1" applyBorder="1" applyAlignment="1">
      <alignment horizontal="center" vertical="center" wrapText="1"/>
    </xf>
    <xf numFmtId="0" fontId="22" fillId="0" borderId="14" xfId="0" applyFont="1" applyBorder="1" applyAlignment="1">
      <alignment horizontal="center" vertical="center"/>
    </xf>
    <xf numFmtId="0" fontId="22" fillId="24" borderId="14" xfId="0" applyFont="1" applyFill="1" applyBorder="1" applyAlignment="1">
      <alignment horizontal="center" vertical="center"/>
    </xf>
    <xf numFmtId="0" fontId="1" fillId="0" borderId="15" xfId="0" applyFont="1" applyBorder="1" applyAlignment="1">
      <alignment horizontal="center"/>
    </xf>
    <xf numFmtId="0" fontId="22" fillId="0" borderId="16" xfId="0" applyFont="1" applyBorder="1" applyAlignment="1">
      <alignment horizontal="center"/>
    </xf>
    <xf numFmtId="0" fontId="36" fillId="0" borderId="0" xfId="0" applyFont="1" applyAlignment="1">
      <alignment vertical="center"/>
    </xf>
    <xf numFmtId="0" fontId="1" fillId="0" borderId="0" xfId="0" applyFont="1" applyAlignment="1">
      <alignment horizontal="center" vertical="top"/>
    </xf>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Protection="1">
      <protection locked="0"/>
    </xf>
    <xf numFmtId="0" fontId="22" fillId="24" borderId="10" xfId="0" applyFont="1" applyFill="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lignment vertical="top"/>
    </xf>
    <xf numFmtId="0" fontId="22" fillId="0" borderId="15" xfId="72" applyFont="1" applyBorder="1" applyAlignment="1">
      <alignment horizontal="center" vertical="top"/>
    </xf>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Font="1" applyFill="1" applyBorder="1" applyAlignment="1" applyProtection="1">
      <alignment horizontal="center" vertical="center" shrinkToFit="1"/>
    </xf>
    <xf numFmtId="164" fontId="1" fillId="0" borderId="20" xfId="87" applyFont="1" applyFill="1" applyBorder="1" applyAlignment="1">
      <alignment horizontal="center" vertical="center" shrinkToFit="1"/>
    </xf>
    <xf numFmtId="0" fontId="21" fillId="0" borderId="0" xfId="0" applyFont="1" applyAlignment="1">
      <alignment horizontal="left" vertical="center"/>
    </xf>
    <xf numFmtId="0" fontId="1" fillId="0" borderId="0" xfId="71" applyAlignment="1">
      <alignment horizontal="center" vertical="top"/>
    </xf>
    <xf numFmtId="0" fontId="38" fillId="0" borderId="0" xfId="72" applyFont="1" applyAlignment="1">
      <alignment horizontal="left" vertical="top"/>
    </xf>
    <xf numFmtId="0" fontId="35" fillId="0" borderId="0" xfId="0" applyFont="1" applyAlignment="1">
      <alignment horizontal="left" vertical="center"/>
    </xf>
    <xf numFmtId="3" fontId="0" fillId="26" borderId="21" xfId="0" applyNumberFormat="1" applyFill="1" applyBorder="1" applyAlignment="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lignment horizontal="left"/>
    </xf>
    <xf numFmtId="4" fontId="26" fillId="0" borderId="14" xfId="71" applyNumberFormat="1" applyFont="1" applyBorder="1" applyAlignment="1">
      <alignment horizontal="center" vertical="center" wrapText="1"/>
    </xf>
    <xf numFmtId="0" fontId="46" fillId="0" borderId="0" xfId="71" applyFont="1" applyAlignment="1">
      <alignment wrapText="1"/>
    </xf>
    <xf numFmtId="0" fontId="47" fillId="0" borderId="0" xfId="71" applyFont="1" applyAlignment="1">
      <alignment vertical="top" wrapText="1"/>
    </xf>
    <xf numFmtId="0" fontId="44" fillId="0" borderId="14" xfId="71" applyFont="1" applyBorder="1" applyAlignment="1">
      <alignment horizontal="center" vertical="center"/>
    </xf>
    <xf numFmtId="4" fontId="26" fillId="0" borderId="0" xfId="71" applyNumberFormat="1" applyFont="1" applyAlignment="1">
      <alignment horizontal="center" vertical="center" wrapText="1"/>
    </xf>
    <xf numFmtId="0" fontId="1" fillId="0" borderId="0" xfId="71" applyProtection="1">
      <protection locked="0"/>
    </xf>
    <xf numFmtId="0" fontId="22" fillId="0" borderId="0" xfId="0" applyFont="1"/>
    <xf numFmtId="0" fontId="22" fillId="0" borderId="0" xfId="0" applyFont="1" applyAlignment="1">
      <alignment horizontal="left"/>
    </xf>
    <xf numFmtId="0" fontId="22" fillId="0" borderId="22" xfId="0" applyFont="1" applyBorder="1" applyAlignment="1">
      <alignment horizontal="center" vertical="center" wrapText="1"/>
    </xf>
    <xf numFmtId="0" fontId="22" fillId="0" borderId="0" xfId="0" applyFont="1" applyAlignment="1">
      <alignment horizontal="center" vertical="center" wrapText="1"/>
    </xf>
    <xf numFmtId="0" fontId="23" fillId="0" borderId="16" xfId="0" applyFont="1" applyBorder="1" applyAlignment="1">
      <alignment horizontal="center"/>
    </xf>
    <xf numFmtId="0" fontId="2" fillId="25" borderId="23" xfId="0" applyFont="1" applyFill="1" applyBorder="1" applyAlignment="1" applyProtection="1">
      <alignment vertical="center" wrapText="1"/>
      <protection locked="0"/>
    </xf>
    <xf numFmtId="164" fontId="1" fillId="0" borderId="24" xfId="87"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lignment horizontal="center" vertical="center" wrapText="1"/>
    </xf>
    <xf numFmtId="0" fontId="22" fillId="0" borderId="15" xfId="0" applyFont="1" applyBorder="1" applyAlignment="1">
      <alignment horizontal="center" vertical="center"/>
    </xf>
    <xf numFmtId="0" fontId="27" fillId="0" borderId="26" xfId="0" applyFont="1" applyBorder="1" applyAlignment="1">
      <alignment horizontal="center" vertical="center"/>
    </xf>
    <xf numFmtId="0" fontId="2" fillId="0" borderId="27" xfId="0" applyFont="1" applyBorder="1" applyAlignment="1">
      <alignment vertical="center"/>
    </xf>
    <xf numFmtId="0" fontId="1" fillId="0" borderId="28" xfId="0" applyFont="1" applyBorder="1" applyAlignment="1">
      <alignment vertical="center" wrapText="1"/>
    </xf>
    <xf numFmtId="0" fontId="2" fillId="0" borderId="28" xfId="0" applyFont="1" applyBorder="1" applyAlignment="1">
      <alignment vertical="center"/>
    </xf>
    <xf numFmtId="0" fontId="1" fillId="0" borderId="28" xfId="0" applyFont="1" applyBorder="1" applyAlignment="1">
      <alignment horizontal="center" vertical="center" wrapText="1"/>
    </xf>
    <xf numFmtId="0" fontId="1" fillId="0" borderId="28" xfId="0" applyFont="1" applyBorder="1" applyAlignment="1">
      <alignment vertical="center" shrinkToFi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1" fillId="0" borderId="18" xfId="0" applyFont="1" applyBorder="1" applyAlignment="1">
      <alignment vertical="top" wrapText="1"/>
    </xf>
    <xf numFmtId="0" fontId="1" fillId="0" borderId="18" xfId="0" applyFont="1" applyBorder="1" applyAlignment="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lignment horizontal="left"/>
    </xf>
    <xf numFmtId="0" fontId="1" fillId="0" borderId="17" xfId="71" applyBorder="1"/>
    <xf numFmtId="0" fontId="27" fillId="0" borderId="0" xfId="0" applyFont="1" applyAlignment="1">
      <alignment horizontal="center" vertical="center"/>
    </xf>
    <xf numFmtId="0" fontId="38" fillId="0" borderId="29" xfId="0" applyFont="1" applyBorder="1" applyAlignment="1">
      <alignment horizontal="center" vertical="center" wrapText="1"/>
    </xf>
    <xf numFmtId="0" fontId="29" fillId="0" borderId="0" xfId="0" applyFont="1" applyAlignment="1">
      <alignment horizontal="center" vertical="center" wrapText="1"/>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lignment horizontal="center" vertical="center" wrapText="1"/>
    </xf>
    <xf numFmtId="0" fontId="1" fillId="0" borderId="17" xfId="0" applyFont="1" applyBorder="1" applyAlignment="1">
      <alignment horizontal="center"/>
    </xf>
    <xf numFmtId="0" fontId="22" fillId="27" borderId="18" xfId="0" applyFont="1" applyFill="1" applyBorder="1" applyAlignment="1">
      <alignment horizontal="center" vertical="center"/>
    </xf>
    <xf numFmtId="0" fontId="22" fillId="28" borderId="11" xfId="0" applyFont="1" applyFill="1" applyBorder="1" applyAlignment="1">
      <alignment horizontal="center" vertical="center"/>
    </xf>
    <xf numFmtId="0" fontId="22" fillId="28" borderId="18" xfId="0" applyFont="1" applyFill="1" applyBorder="1" applyAlignment="1">
      <alignment horizontal="center" vertical="center"/>
    </xf>
    <xf numFmtId="0" fontId="0" fillId="25" borderId="14" xfId="0" applyFill="1" applyBorder="1" applyAlignment="1" applyProtection="1">
      <alignment horizontal="center" vertical="center"/>
      <protection locked="0"/>
    </xf>
    <xf numFmtId="0" fontId="38" fillId="0" borderId="0" xfId="0" applyFont="1" applyAlignment="1">
      <alignment horizontal="center" wrapText="1"/>
    </xf>
    <xf numFmtId="0" fontId="50" fillId="0" borderId="0" xfId="0" applyFont="1"/>
    <xf numFmtId="0" fontId="1" fillId="0" borderId="31" xfId="0" applyFont="1" applyBorder="1" applyAlignment="1">
      <alignment vertical="center" wrapText="1" shrinkToFit="1"/>
    </xf>
    <xf numFmtId="0" fontId="40" fillId="24" borderId="32" xfId="0" applyFont="1" applyFill="1" applyBorder="1" applyAlignment="1">
      <alignment horizontal="center"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Border="1" applyAlignment="1">
      <alignment horizontal="center" vertical="center"/>
    </xf>
    <xf numFmtId="0" fontId="22" fillId="0" borderId="11" xfId="0" applyFont="1" applyBorder="1" applyAlignment="1">
      <alignment horizontal="center" vertical="center"/>
    </xf>
    <xf numFmtId="0" fontId="24" fillId="0" borderId="0" xfId="0" applyFont="1" applyAlignment="1">
      <alignment vertical="center"/>
    </xf>
    <xf numFmtId="0" fontId="21" fillId="0" borderId="0" xfId="0" applyFont="1" applyAlignment="1">
      <alignment horizontal="right" vertical="center"/>
    </xf>
    <xf numFmtId="0" fontId="0" fillId="0" borderId="0" xfId="0" applyAlignment="1">
      <alignment horizontal="center" vertical="top"/>
    </xf>
    <xf numFmtId="0" fontId="1" fillId="0" borderId="0" xfId="0" applyFont="1" applyAlignment="1">
      <alignment horizontal="center" wrapText="1"/>
    </xf>
    <xf numFmtId="0" fontId="48" fillId="0" borderId="0" xfId="0" applyFont="1" applyAlignment="1">
      <alignment wrapText="1"/>
    </xf>
    <xf numFmtId="0" fontId="22" fillId="0" borderId="0" xfId="0" applyFont="1" applyAlignment="1">
      <alignment horizontal="center" wrapText="1"/>
    </xf>
    <xf numFmtId="0" fontId="26" fillId="0" borderId="15" xfId="0" applyFont="1" applyBorder="1" applyAlignment="1">
      <alignment horizontal="center" vertical="center"/>
    </xf>
    <xf numFmtId="0" fontId="26" fillId="0" borderId="15" xfId="0" applyFont="1" applyBorder="1" applyAlignment="1">
      <alignment horizontal="center" vertical="center" wrapText="1"/>
    </xf>
    <xf numFmtId="0" fontId="26" fillId="0" borderId="30" xfId="0" applyFont="1" applyBorder="1" applyAlignment="1">
      <alignment horizontal="center" vertical="center" wrapText="1"/>
    </xf>
    <xf numFmtId="4" fontId="1" fillId="0" borderId="0" xfId="0" applyNumberFormat="1" applyFont="1" applyAlignment="1">
      <alignment horizontal="center" vertical="center"/>
    </xf>
    <xf numFmtId="0" fontId="2" fillId="0" borderId="0" xfId="0" applyFont="1"/>
    <xf numFmtId="0" fontId="1" fillId="0" borderId="0" xfId="0" applyFont="1" applyAlignment="1">
      <alignment vertical="top"/>
    </xf>
    <xf numFmtId="0" fontId="22" fillId="0" borderId="0" xfId="0" applyFont="1" applyAlignment="1">
      <alignment vertical="center"/>
    </xf>
    <xf numFmtId="4" fontId="2" fillId="0" borderId="0" xfId="0" applyNumberFormat="1" applyFont="1"/>
    <xf numFmtId="0" fontId="22" fillId="0" borderId="17" xfId="0" applyFont="1" applyBorder="1" applyAlignment="1">
      <alignment horizontal="left" vertical="center"/>
    </xf>
    <xf numFmtId="0" fontId="22" fillId="0" borderId="11" xfId="0" applyFont="1" applyBorder="1" applyAlignment="1">
      <alignment wrapText="1"/>
    </xf>
    <xf numFmtId="0" fontId="0" fillId="0" borderId="11" xfId="0" applyBorder="1"/>
    <xf numFmtId="0" fontId="0" fillId="0" borderId="11" xfId="0" quotePrefix="1" applyBorder="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Border="1" applyAlignment="1">
      <alignment horizontal="center" vertical="center"/>
    </xf>
    <xf numFmtId="0" fontId="1" fillId="0" borderId="33" xfId="0" applyFont="1" applyBorder="1" applyAlignment="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xf numFmtId="49" fontId="1" fillId="25" borderId="24" xfId="0" applyNumberFormat="1" applyFont="1" applyFill="1" applyBorder="1" applyAlignment="1" applyProtection="1">
      <alignment horizontal="center" vertical="center" wrapText="1"/>
      <protection locked="0"/>
    </xf>
    <xf numFmtId="0" fontId="26" fillId="0" borderId="0" xfId="0" applyFont="1" applyAlignment="1">
      <alignment horizontal="center" vertical="center" wrapText="1"/>
    </xf>
    <xf numFmtId="0" fontId="1" fillId="0" borderId="14" xfId="0" applyFont="1" applyBorder="1"/>
    <xf numFmtId="0" fontId="0" fillId="0" borderId="0" xfId="0" quotePrefix="1"/>
    <xf numFmtId="0" fontId="30" fillId="0" borderId="0" xfId="0" applyFont="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Font="1" applyFill="1" applyBorder="1" applyAlignment="1">
      <alignment horizontal="center" vertical="center" shrinkToFit="1"/>
    </xf>
    <xf numFmtId="0" fontId="22" fillId="24" borderId="25" xfId="0" applyFont="1" applyFill="1" applyBorder="1" applyAlignment="1">
      <alignment horizontal="center" vertical="center" shrinkToFit="1"/>
    </xf>
    <xf numFmtId="0" fontId="22" fillId="0" borderId="11" xfId="0" applyFont="1" applyBorder="1" applyAlignment="1">
      <alignment horizontal="center" vertical="center" wrapText="1" shrinkToFit="1"/>
    </xf>
    <xf numFmtId="14" fontId="26" fillId="0" borderId="11" xfId="0" applyNumberFormat="1" applyFont="1" applyBorder="1" applyAlignment="1">
      <alignment horizontal="center" vertical="center" wrapText="1"/>
    </xf>
    <xf numFmtId="0" fontId="1" fillId="0" borderId="28" xfId="0" applyFont="1" applyBorder="1" applyAlignment="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Border="1" applyAlignment="1">
      <alignment horizontal="center" vertical="center" wrapText="1"/>
    </xf>
    <xf numFmtId="0" fontId="22" fillId="0" borderId="0" xfId="0" applyFont="1" applyAlignment="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Font="1" applyFill="1" applyBorder="1" applyAlignment="1" applyProtection="1">
      <alignment horizontal="center" vertical="center" wrapText="1"/>
      <protection locked="0"/>
    </xf>
    <xf numFmtId="0" fontId="1" fillId="31" borderId="24" xfId="0"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Font="1" applyFill="1" applyBorder="1" applyAlignment="1" applyProtection="1">
      <alignment vertical="center" shrinkToFit="1"/>
      <protection locked="0"/>
    </xf>
    <xf numFmtId="0" fontId="22" fillId="0" borderId="0" xfId="72" applyFont="1" applyAlignment="1">
      <alignment horizontal="left" vertical="top"/>
    </xf>
    <xf numFmtId="4" fontId="26" fillId="0" borderId="14" xfId="71" applyNumberFormat="1" applyFont="1" applyBorder="1" applyAlignment="1">
      <alignment horizontal="center" vertical="center" wrapText="1"/>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Alignment="1">
      <alignment horizontal="left" wrapText="1" indent="3"/>
    </xf>
    <xf numFmtId="0" fontId="0" fillId="0" borderId="0" xfId="0" applyAlignment="1">
      <alignment horizontal="left" indent="3"/>
    </xf>
    <xf numFmtId="0" fontId="22" fillId="0" borderId="11" xfId="72" applyFont="1" applyBorder="1" applyAlignment="1">
      <alignment horizontal="left" vertical="top"/>
    </xf>
    <xf numFmtId="0" fontId="22" fillId="0" borderId="0" xfId="72" applyFont="1" applyAlignment="1">
      <alignment horizontal="left" vertical="top"/>
    </xf>
    <xf numFmtId="0" fontId="1" fillId="0" borderId="0" xfId="0" applyFont="1" applyAlignment="1">
      <alignment horizontal="left" wrapText="1" indent="2"/>
    </xf>
    <xf numFmtId="0" fontId="0" fillId="0" borderId="0" xfId="0" applyAlignment="1">
      <alignment horizontal="left" indent="2"/>
    </xf>
    <xf numFmtId="0" fontId="22" fillId="0" borderId="40" xfId="0" applyFont="1" applyBorder="1" applyAlignment="1">
      <alignment horizontal="left" wrapText="1"/>
    </xf>
    <xf numFmtId="0" fontId="22" fillId="0" borderId="0" xfId="0" applyFont="1" applyAlignment="1">
      <alignment horizontal="left" wrapText="1"/>
    </xf>
    <xf numFmtId="0" fontId="22" fillId="0" borderId="0" xfId="0" applyFont="1" applyAlignment="1">
      <alignment horizontal="left" wrapText="1" indent="1"/>
    </xf>
    <xf numFmtId="0" fontId="22" fillId="0" borderId="0" xfId="0" applyFont="1" applyAlignment="1">
      <alignment horizontal="left" indent="1"/>
    </xf>
    <xf numFmtId="0" fontId="22" fillId="0" borderId="12" xfId="72" applyFont="1" applyBorder="1" applyAlignment="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Alignment="1">
      <alignment horizontal="left" vertical="top" wrapText="1" indent="2"/>
    </xf>
    <xf numFmtId="0" fontId="52" fillId="29" borderId="0" xfId="0" applyFont="1" applyFill="1" applyAlignment="1">
      <alignment horizontal="left" vertical="top" wrapText="1" indent="2"/>
    </xf>
    <xf numFmtId="0" fontId="52" fillId="29" borderId="0" xfId="0" applyFont="1" applyFill="1" applyAlignment="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lignment horizontal="left" vertical="top"/>
    </xf>
    <xf numFmtId="0" fontId="38" fillId="0" borderId="12" xfId="72" applyFont="1" applyBorder="1" applyAlignment="1">
      <alignment horizontal="left" vertical="top"/>
    </xf>
    <xf numFmtId="0" fontId="21" fillId="26" borderId="17" xfId="0" applyFont="1" applyFill="1" applyBorder="1" applyAlignment="1">
      <alignment horizontal="center" vertical="center" wrapText="1"/>
    </xf>
    <xf numFmtId="0" fontId="21" fillId="26" borderId="39" xfId="0" applyFont="1" applyFill="1" applyBorder="1" applyAlignment="1">
      <alignment horizontal="center" vertical="center" wrapText="1"/>
    </xf>
    <xf numFmtId="0" fontId="21" fillId="26" borderId="13" xfId="0" applyFont="1" applyFill="1" applyBorder="1" applyAlignment="1">
      <alignment horizontal="center" vertical="center" wrapText="1"/>
    </xf>
    <xf numFmtId="0" fontId="21" fillId="26" borderId="38" xfId="0" applyFont="1" applyFill="1" applyBorder="1" applyAlignment="1">
      <alignment horizontal="center" vertical="center" wrapText="1"/>
    </xf>
    <xf numFmtId="49" fontId="0" fillId="25" borderId="0" xfId="0" applyNumberFormat="1" applyFill="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Alignment="1">
      <alignment horizontal="center" vertical="center" wrapText="1"/>
    </xf>
    <xf numFmtId="0" fontId="1" fillId="0" borderId="40" xfId="0" applyFont="1" applyBorder="1" applyAlignment="1">
      <alignment horizontal="left" vertical="top" wrapText="1"/>
    </xf>
    <xf numFmtId="0" fontId="1" fillId="0" borderId="0" xfId="0" applyFont="1" applyAlignment="1">
      <alignment horizontal="left" vertical="top" wrapText="1"/>
    </xf>
    <xf numFmtId="0" fontId="1" fillId="0" borderId="0" xfId="0" applyFont="1" applyAlignment="1">
      <alignment horizontal="left" wrapText="1"/>
    </xf>
    <xf numFmtId="0" fontId="1" fillId="0" borderId="40" xfId="0" applyFont="1" applyBorder="1" applyAlignment="1">
      <alignment horizontal="left" wrapText="1"/>
    </xf>
    <xf numFmtId="0" fontId="1" fillId="0" borderId="0" xfId="0" applyFont="1" applyAlignment="1">
      <alignment horizontal="left" wrapText="1" indent="1"/>
    </xf>
    <xf numFmtId="49" fontId="1" fillId="25" borderId="0" xfId="0" applyNumberFormat="1" applyFont="1" applyFill="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Border="1" applyAlignment="1">
      <alignment horizontal="left" vertical="top" wrapText="1"/>
    </xf>
    <xf numFmtId="49" fontId="0" fillId="0" borderId="13" xfId="0" applyNumberFormat="1" applyBorder="1" applyAlignment="1">
      <alignment horizontal="left" vertical="top" wrapText="1"/>
    </xf>
    <xf numFmtId="0" fontId="0" fillId="0" borderId="18" xfId="0" applyBorder="1" applyAlignment="1">
      <alignment horizontal="left" vertical="top" wrapText="1"/>
    </xf>
    <xf numFmtId="0" fontId="0" fillId="0" borderId="13" xfId="0" applyBorder="1" applyAlignment="1">
      <alignment horizontal="left" vertical="top" wrapText="1"/>
    </xf>
    <xf numFmtId="0" fontId="0" fillId="0" borderId="38" xfId="0" applyBorder="1" applyAlignment="1">
      <alignment horizontal="left" vertical="top" wrapText="1"/>
    </xf>
    <xf numFmtId="167" fontId="0" fillId="0" borderId="18" xfId="0" applyNumberFormat="1" applyBorder="1" applyAlignment="1">
      <alignment horizontal="center" vertical="top" wrapText="1"/>
    </xf>
    <xf numFmtId="167" fontId="0" fillId="0" borderId="38" xfId="0" applyNumberFormat="1" applyBorder="1" applyAlignment="1">
      <alignment horizontal="center" vertical="top" wrapText="1"/>
    </xf>
    <xf numFmtId="0" fontId="1" fillId="0" borderId="18" xfId="0" applyFont="1" applyBorder="1" applyAlignment="1">
      <alignment horizontal="left" vertical="top" wrapText="1"/>
    </xf>
    <xf numFmtId="0" fontId="1" fillId="0" borderId="13" xfId="0" applyFont="1" applyBorder="1" applyAlignment="1">
      <alignment horizontal="left" vertical="top" wrapText="1"/>
    </xf>
    <xf numFmtId="0" fontId="1" fillId="0" borderId="38" xfId="0" applyFont="1" applyBorder="1" applyAlignment="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Alignment="1" applyProtection="1">
      <alignment horizontal="left"/>
      <protection locked="0"/>
    </xf>
    <xf numFmtId="0" fontId="0" fillId="25" borderId="0" xfId="0" applyFill="1" applyAlignment="1" applyProtection="1">
      <alignment horizontal="left"/>
      <protection locked="0"/>
    </xf>
    <xf numFmtId="0" fontId="51" fillId="29" borderId="0" xfId="0" applyFont="1" applyFill="1" applyAlignment="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Alignment="1">
      <alignment horizontal="left"/>
    </xf>
    <xf numFmtId="0" fontId="45" fillId="0" borderId="0" xfId="71" applyFont="1" applyAlignment="1">
      <alignment horizontal="left" vertical="center" indent="1"/>
    </xf>
    <xf numFmtId="0" fontId="1" fillId="0" borderId="14" xfId="71" applyBorder="1" applyAlignment="1">
      <alignment horizontal="left" vertical="center" wrapText="1"/>
    </xf>
    <xf numFmtId="0" fontId="39" fillId="0" borderId="0" xfId="71" applyFont="1" applyAlignment="1">
      <alignment horizontal="left" vertical="center" wrapText="1"/>
    </xf>
    <xf numFmtId="2" fontId="33" fillId="0" borderId="17" xfId="71" applyNumberFormat="1" applyFont="1" applyBorder="1" applyAlignment="1">
      <alignment horizontal="center" vertical="center"/>
    </xf>
    <xf numFmtId="0" fontId="26" fillId="0" borderId="0" xfId="71" applyFont="1" applyAlignment="1">
      <alignment horizontal="left" vertical="center"/>
    </xf>
    <xf numFmtId="0" fontId="1" fillId="0" borderId="0" xfId="71" applyAlignment="1">
      <alignment horizontal="center" vertical="center"/>
    </xf>
    <xf numFmtId="0" fontId="35" fillId="0" borderId="14" xfId="71" applyFont="1" applyBorder="1" applyAlignment="1">
      <alignment horizontal="center" vertical="center" wrapText="1"/>
    </xf>
    <xf numFmtId="168" fontId="1" fillId="0" borderId="13" xfId="71" applyNumberFormat="1" applyBorder="1" applyAlignment="1">
      <alignment horizontal="left"/>
    </xf>
    <xf numFmtId="49" fontId="1" fillId="25" borderId="32" xfId="71" applyNumberFormat="1" applyFill="1" applyBorder="1" applyAlignment="1" applyProtection="1">
      <alignment horizontal="left" vertical="top" wrapText="1"/>
      <protection locked="0"/>
    </xf>
    <xf numFmtId="49" fontId="1" fillId="25" borderId="10" xfId="71" applyNumberFormat="1" applyFill="1" applyBorder="1" applyAlignment="1" applyProtection="1">
      <alignment horizontal="left" vertical="top" wrapText="1"/>
      <protection locked="0"/>
    </xf>
    <xf numFmtId="49" fontId="1" fillId="25" borderId="19" xfId="71" applyNumberFormat="1" applyFill="1" applyBorder="1" applyAlignment="1" applyProtection="1">
      <alignment horizontal="left" vertical="top" wrapText="1"/>
      <protection locked="0"/>
    </xf>
    <xf numFmtId="0" fontId="1" fillId="0" borderId="17" xfId="71" applyBorder="1" applyAlignment="1">
      <alignment horizontal="center" vertical="center"/>
    </xf>
    <xf numFmtId="49" fontId="1" fillId="0" borderId="0" xfId="71" applyNumberFormat="1" applyAlignment="1" applyProtection="1">
      <alignment horizontal="left"/>
      <protection locked="0"/>
    </xf>
    <xf numFmtId="0" fontId="47" fillId="0" borderId="0" xfId="71" applyFont="1" applyAlignment="1">
      <alignment horizontal="center" vertical="top" wrapText="1"/>
    </xf>
    <xf numFmtId="171" fontId="1" fillId="0" borderId="13" xfId="71" applyNumberFormat="1" applyBorder="1" applyAlignment="1">
      <alignment horizontal="left"/>
    </xf>
    <xf numFmtId="0" fontId="1" fillId="0" borderId="14" xfId="71" applyBorder="1" applyAlignment="1">
      <alignment horizontal="left" vertical="center"/>
    </xf>
    <xf numFmtId="0" fontId="22" fillId="0" borderId="14" xfId="71" applyFont="1" applyBorder="1" applyAlignment="1">
      <alignment horizontal="center" vertical="center"/>
    </xf>
    <xf numFmtId="0" fontId="41" fillId="0" borderId="0" xfId="0" quotePrefix="1" applyFont="1" applyAlignment="1">
      <alignment horizontal="left" vertical="center"/>
    </xf>
    <xf numFmtId="0" fontId="41" fillId="0" borderId="0" xfId="0" applyFont="1" applyAlignment="1">
      <alignment horizontal="left" vertical="center"/>
    </xf>
    <xf numFmtId="0" fontId="42" fillId="0" borderId="0" xfId="0" applyFont="1" applyAlignment="1">
      <alignment horizontal="center"/>
    </xf>
    <xf numFmtId="0" fontId="41" fillId="0" borderId="0" xfId="0" applyFont="1" applyAlignment="1">
      <alignment horizontal="center" vertical="top"/>
    </xf>
    <xf numFmtId="0" fontId="41" fillId="0" borderId="0" xfId="0" applyFont="1" applyAlignment="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Border="1" applyAlignment="1">
      <alignment horizontal="center" vertical="top" wrapText="1"/>
    </xf>
    <xf numFmtId="0" fontId="1" fillId="0" borderId="38" xfId="71" applyBorder="1" applyAlignment="1">
      <alignment horizontal="center" vertical="top" wrapText="1"/>
    </xf>
    <xf numFmtId="0" fontId="1" fillId="0" borderId="18" xfId="71" applyBorder="1" applyAlignment="1">
      <alignment horizontal="left" vertical="top" wrapText="1"/>
    </xf>
    <xf numFmtId="0" fontId="1" fillId="0" borderId="38" xfId="71" applyBorder="1" applyAlignment="1">
      <alignment horizontal="left" vertical="top" wrapText="1"/>
    </xf>
    <xf numFmtId="49" fontId="1" fillId="0" borderId="18" xfId="71" applyNumberFormat="1" applyBorder="1" applyAlignment="1">
      <alignment horizontal="left" vertical="top" wrapText="1"/>
    </xf>
    <xf numFmtId="0" fontId="1" fillId="0" borderId="13" xfId="71" applyBorder="1" applyAlignment="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Alignment="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Border="1" applyAlignment="1">
      <alignment horizontal="left"/>
    </xf>
    <xf numFmtId="0" fontId="26" fillId="0" borderId="14" xfId="71" applyFont="1" applyBorder="1" applyAlignment="1">
      <alignment horizontal="center" vertical="center"/>
    </xf>
    <xf numFmtId="0" fontId="2" fillId="0" borderId="14" xfId="71" applyFont="1" applyBorder="1" applyAlignment="1">
      <alignment horizontal="left" wrapText="1"/>
    </xf>
    <xf numFmtId="4" fontId="26" fillId="0" borderId="14" xfId="71" applyNumberFormat="1" applyFont="1" applyBorder="1" applyAlignment="1">
      <alignment horizontal="center" vertical="center" wrapText="1"/>
    </xf>
    <xf numFmtId="0" fontId="1" fillId="0" borderId="14" xfId="0" applyFont="1" applyBorder="1" applyAlignment="1">
      <alignment horizontal="center"/>
    </xf>
    <xf numFmtId="0" fontId="26" fillId="0" borderId="32" xfId="0" applyFont="1" applyBorder="1" applyAlignment="1">
      <alignment horizontal="left" wrapText="1"/>
    </xf>
    <xf numFmtId="0" fontId="26" fillId="0" borderId="10" xfId="0" applyFont="1" applyBorder="1" applyAlignment="1">
      <alignment horizontal="left" wrapText="1"/>
    </xf>
    <xf numFmtId="0" fontId="26" fillId="0" borderId="19" xfId="0" applyFont="1" applyBorder="1" applyAlignment="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lignment horizontal="left"/>
    </xf>
    <xf numFmtId="170" fontId="1" fillId="0" borderId="13" xfId="0" applyNumberFormat="1" applyFont="1" applyBorder="1" applyAlignment="1">
      <alignment horizontal="left"/>
    </xf>
    <xf numFmtId="0" fontId="49" fillId="0" borderId="0" xfId="0" applyFont="1" applyAlignment="1">
      <alignment horizontal="center" vertical="top" wrapText="1"/>
    </xf>
    <xf numFmtId="4" fontId="30" fillId="30" borderId="28" xfId="0" applyNumberFormat="1" applyFont="1" applyFill="1" applyBorder="1" applyAlignment="1">
      <alignment horizontal="center" vertical="center"/>
    </xf>
    <xf numFmtId="4" fontId="30" fillId="30" borderId="15" xfId="0" applyNumberFormat="1" applyFont="1" applyFill="1" applyBorder="1" applyAlignment="1">
      <alignment horizontal="center" vertical="center"/>
    </xf>
    <xf numFmtId="0" fontId="30" fillId="30" borderId="37" xfId="0" applyFont="1" applyFill="1" applyBorder="1" applyAlignment="1">
      <alignment horizontal="center" vertical="center" wrapText="1"/>
    </xf>
    <xf numFmtId="0" fontId="30" fillId="30" borderId="12" xfId="0" applyFont="1" applyFill="1" applyBorder="1" applyAlignment="1">
      <alignment horizontal="center" vertical="center" wrapText="1"/>
    </xf>
    <xf numFmtId="168" fontId="1" fillId="0" borderId="0" xfId="0" applyNumberFormat="1" applyFont="1" applyAlignment="1">
      <alignment horizontal="left"/>
    </xf>
    <xf numFmtId="49" fontId="1" fillId="0" borderId="0" xfId="0" applyNumberFormat="1" applyFont="1" applyAlignment="1">
      <alignment horizontal="left"/>
    </xf>
    <xf numFmtId="0" fontId="1" fillId="0" borderId="0" xfId="0" applyFont="1" applyAlignment="1">
      <alignment horizontal="left"/>
    </xf>
    <xf numFmtId="171" fontId="1" fillId="0" borderId="13" xfId="0" applyNumberFormat="1" applyFont="1" applyBorder="1" applyAlignment="1">
      <alignment horizontal="left" vertical="center"/>
    </xf>
    <xf numFmtId="0" fontId="30" fillId="30" borderId="36" xfId="0" applyFont="1" applyFill="1" applyBorder="1" applyAlignment="1">
      <alignment horizontal="center" vertical="center" shrinkToFit="1"/>
    </xf>
    <xf numFmtId="0" fontId="30" fillId="30" borderId="11" xfId="0" applyFont="1" applyFill="1" applyBorder="1" applyAlignment="1">
      <alignment horizontal="center" vertical="center" shrinkToFit="1"/>
    </xf>
    <xf numFmtId="170" fontId="1" fillId="0" borderId="13" xfId="0" applyNumberFormat="1" applyFont="1" applyBorder="1" applyAlignment="1">
      <alignment horizontal="left" vertical="center"/>
    </xf>
    <xf numFmtId="0" fontId="26" fillId="24" borderId="21" xfId="0" applyFont="1" applyFill="1" applyBorder="1" applyAlignment="1">
      <alignment horizontal="center" vertical="center" wrapText="1"/>
    </xf>
    <xf numFmtId="0" fontId="26" fillId="24" borderId="39" xfId="0"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12" xfId="0" applyFont="1" applyFill="1" applyBorder="1" applyAlignment="1">
      <alignment horizontal="center" vertical="center" wrapText="1"/>
    </xf>
    <xf numFmtId="0" fontId="26" fillId="24" borderId="18" xfId="0" applyFont="1" applyFill="1" applyBorder="1" applyAlignment="1">
      <alignment horizontal="center" vertical="center" wrapText="1"/>
    </xf>
    <xf numFmtId="0" fontId="26" fillId="24" borderId="38" xfId="0" applyFont="1" applyFill="1" applyBorder="1" applyAlignment="1">
      <alignment horizontal="center" vertical="center" wrapText="1"/>
    </xf>
    <xf numFmtId="4" fontId="26" fillId="24" borderId="30" xfId="0" applyNumberFormat="1" applyFont="1" applyFill="1" applyBorder="1" applyAlignment="1">
      <alignment horizontal="center" vertical="center" shrinkToFit="1"/>
    </xf>
    <xf numFmtId="4" fontId="26" fillId="24" borderId="15" xfId="0" applyNumberFormat="1" applyFont="1" applyFill="1" applyBorder="1" applyAlignment="1">
      <alignment horizontal="center" vertical="center" shrinkToFit="1"/>
    </xf>
    <xf numFmtId="4" fontId="26" fillId="24" borderId="16" xfId="0" applyNumberFormat="1" applyFont="1" applyFill="1" applyBorder="1" applyAlignment="1">
      <alignment horizontal="center" vertical="center" shrinkToFit="1"/>
    </xf>
    <xf numFmtId="0" fontId="2" fillId="28" borderId="23" xfId="0" applyFont="1" applyFill="1" applyBorder="1" applyAlignment="1" applyProtection="1">
      <alignment vertical="center" wrapText="1"/>
    </xf>
    <xf numFmtId="0" fontId="2" fillId="25" borderId="23" xfId="0"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Font="1" applyFill="1" applyBorder="1" applyAlignment="1" applyProtection="1">
      <alignment vertical="center" wrapText="1"/>
    </xf>
    <xf numFmtId="0" fontId="1" fillId="31" borderId="24" xfId="0" applyFont="1" applyFill="1" applyBorder="1" applyAlignment="1" applyProtection="1">
      <alignment horizontal="center" vertical="center" wrapText="1"/>
    </xf>
    <xf numFmtId="164" fontId="1" fillId="25" borderId="24" xfId="87"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1030">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8.emf"/><Relationship Id="rId5" Type="http://schemas.openxmlformats.org/officeDocument/2006/relationships/image" Target="../media/image2.emf"/><Relationship Id="rId4"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3.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9.emf"/><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30488"/>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a:extLst>
            <a:ext uri="{FF2B5EF4-FFF2-40B4-BE49-F238E27FC236}">
              <a16:creationId xmlns:a16="http://schemas.microsoft.com/office/drawing/2014/main" id="{00000000-0008-0000-0100-000002000000}"/>
            </a:ext>
          </a:extLst>
        </xdr:cNvPr>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 uri="{FF2B5EF4-FFF2-40B4-BE49-F238E27FC236}">
              <a16:creationId xmlns:a16="http://schemas.microsoft.com/office/drawing/2014/main" id="{00000000-0008-0000-0100-0000DC610200}"/>
            </a:ext>
          </a:extLst>
        </xdr:cNvPr>
        <xdr:cNvSpPr/>
      </xdr:nvSpPr>
      <xdr:spPr>
        <a:xfrm>
          <a:off x="28575" y="19050"/>
          <a:ext cx="1790700" cy="38100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9525</xdr:rowOff>
        </xdr:to>
        <xdr:pic>
          <xdr:nvPicPr>
            <xdr:cNvPr id="4" name="SigiloPic">
              <a:extLst>
                <a:ext uri="{FF2B5EF4-FFF2-40B4-BE49-F238E27FC236}">
                  <a16:creationId xmlns:a16="http://schemas.microsoft.com/office/drawing/2014/main" id="{00000000-0008-0000-0100-000099630200}"/>
                </a:ext>
              </a:extLst>
            </xdr:cNvPr>
            <xdr:cNvPicPr>
              <a:picLocks noChangeArrowheads="1"/>
              <a:extLst>
                <a:ext uri="{84589F7E-364E-4C9E-8A38-B11213B215E9}">
                  <a14:cameraTool cellRange="PO!$T$1:$T$2" spid="_x0000_s216557"/>
                </a:ext>
              </a:extLst>
            </xdr:cNvPicPr>
          </xdr:nvPicPr>
          <xdr:blipFill>
            <a:blip xmlns:r="http://schemas.openxmlformats.org/officeDocument/2006/relationships" r:embed="rId1"/>
            <a:srcRect/>
            <a:stretch>
              <a:fillRect/>
            </a:stretch>
          </xdr:blipFill>
          <xdr:spPr bwMode="auto">
            <a:xfrm>
              <a:off x="6172200" y="28575"/>
              <a:ext cx="1047750" cy="3333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Picture 476">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a:extLst>
                <a:ext uri="{FF2B5EF4-FFF2-40B4-BE49-F238E27FC236}">
                  <a16:creationId xmlns:a16="http://schemas.microsoft.com/office/drawing/2014/main" id="{00000000-0008-0000-0200-0000B9070300}"/>
                </a:ext>
              </a:extLst>
            </xdr:cNvPr>
            <xdr:cNvPicPr>
              <a:picLocks noChangeArrowheads="1"/>
              <a:extLst>
                <a:ext uri="{84589F7E-364E-4C9E-8A38-B11213B215E9}">
                  <a14:cameraTool cellRange="DADOS!$A$220:$X$230" spid="_x0000_s225671"/>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 uri="{FF2B5EF4-FFF2-40B4-BE49-F238E27FC236}">
              <a16:creationId xmlns:a16="http://schemas.microsoft.com/office/drawing/2014/main" id="{00000000-0008-0000-0200-00002BD6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13</xdr:col>
          <xdr:colOff>3686175</xdr:colOff>
          <xdr:row>613</xdr:row>
          <xdr:rowOff>0</xdr:rowOff>
        </xdr:from>
        <xdr:to>
          <xdr:col>19</xdr:col>
          <xdr:colOff>123825</xdr:colOff>
          <xdr:row>617</xdr:row>
          <xdr:rowOff>142875</xdr:rowOff>
        </xdr:to>
        <xdr:pic>
          <xdr:nvPicPr>
            <xdr:cNvPr id="198588" name="Picture 483">
              <a:extLst>
                <a:ext uri="{FF2B5EF4-FFF2-40B4-BE49-F238E27FC236}">
                  <a16:creationId xmlns:a16="http://schemas.microsoft.com/office/drawing/2014/main" id="{00000000-0008-0000-0200-0000BC070300}"/>
                </a:ext>
              </a:extLst>
            </xdr:cNvPr>
            <xdr:cNvPicPr>
              <a:picLocks noChangeArrowheads="1"/>
              <a:extLst>
                <a:ext uri="{84589F7E-364E-4C9E-8A38-B11213B215E9}">
                  <a14:cameraTool cellRange="DADOS!$A$53:$K$57" spid="_x0000_s225672"/>
                </a:ext>
              </a:extLst>
            </xdr:cNvPicPr>
          </xdr:nvPicPr>
          <xdr:blipFill>
            <a:blip xmlns:r="http://schemas.openxmlformats.org/officeDocument/2006/relationships" r:embed="rId2"/>
            <a:srcRect/>
            <a:stretch>
              <a:fillRect/>
            </a:stretch>
          </xdr:blipFill>
          <xdr:spPr bwMode="auto">
            <a:xfrm>
              <a:off x="7210425" y="20728781"/>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 uri="{FF2B5EF4-FFF2-40B4-BE49-F238E27FC236}">
              <a16:creationId xmlns:a16="http://schemas.microsoft.com/office/drawing/2014/main" id="{00000000-0008-0000-0300-0000A0F40200}"/>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a:extLst>
                <a:ext uri="{FF2B5EF4-FFF2-40B4-BE49-F238E27FC236}">
                  <a16:creationId xmlns:a16="http://schemas.microsoft.com/office/drawing/2014/main" id="{00000000-0008-0000-0300-0000E20A0300}"/>
                </a:ext>
              </a:extLst>
            </xdr:cNvPr>
            <xdr:cNvPicPr>
              <a:picLocks noChangeArrowheads="1"/>
              <a:extLst>
                <a:ext uri="{84589F7E-364E-4C9E-8A38-B11213B215E9}">
                  <a14:cameraTool cellRange="DADOS!$A$220:$X$230" spid="_x0000_s235849"/>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a:extLst>
                <a:ext uri="{FF2B5EF4-FFF2-40B4-BE49-F238E27FC236}">
                  <a16:creationId xmlns:a16="http://schemas.microsoft.com/office/drawing/2014/main" id="{00000000-0008-0000-0300-0000E30A0300}"/>
                </a:ext>
              </a:extLst>
            </xdr:cNvPr>
            <xdr:cNvPicPr>
              <a:picLocks noChangeArrowheads="1"/>
              <a:extLst>
                <a:ext uri="{84589F7E-364E-4C9E-8A38-B11213B215E9}">
                  <a14:cameraTool cellRange="DADOS!$A$220:$X$230" spid="_x0000_s235850"/>
                </a:ext>
              </a:extLst>
            </xdr:cNvPicPr>
          </xdr:nvPicPr>
          <xdr:blipFill>
            <a:blip xmlns:r="http://schemas.openxmlformats.org/officeDocument/2006/relationships" r:embed="rId2"/>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a:extLst>
            <a:ext uri="{FF2B5EF4-FFF2-40B4-BE49-F238E27FC236}">
              <a16:creationId xmlns:a16="http://schemas.microsoft.com/office/drawing/2014/main" id="{00000000-0008-0000-0300-000005000000}"/>
            </a:ext>
          </a:extLst>
        </xdr:cNvPr>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604</xdr:row>
          <xdr:rowOff>9525</xdr:rowOff>
        </xdr:from>
        <xdr:to>
          <xdr:col>14</xdr:col>
          <xdr:colOff>28575</xdr:colOff>
          <xdr:row>608</xdr:row>
          <xdr:rowOff>152400</xdr:rowOff>
        </xdr:to>
        <xdr:pic>
          <xdr:nvPicPr>
            <xdr:cNvPr id="199399" name="Picture 483">
              <a:extLst>
                <a:ext uri="{FF2B5EF4-FFF2-40B4-BE49-F238E27FC236}">
                  <a16:creationId xmlns:a16="http://schemas.microsoft.com/office/drawing/2014/main" id="{00000000-0008-0000-0300-0000E70A0300}"/>
                </a:ext>
              </a:extLst>
            </xdr:cNvPr>
            <xdr:cNvPicPr>
              <a:picLocks noChangeArrowheads="1"/>
              <a:extLst>
                <a:ext uri="{84589F7E-364E-4C9E-8A38-B11213B215E9}">
                  <a14:cameraTool cellRange="DADOS!$A$53:$K$57" spid="_x0000_s235851"/>
                </a:ext>
              </a:extLst>
            </xdr:cNvPicPr>
          </xdr:nvPicPr>
          <xdr:blipFill>
            <a:blip xmlns:r="http://schemas.openxmlformats.org/officeDocument/2006/relationships" r:embed="rId3"/>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a:extLst>
                <a:ext uri="{FF2B5EF4-FFF2-40B4-BE49-F238E27FC236}">
                  <a16:creationId xmlns:a16="http://schemas.microsoft.com/office/drawing/2014/main" id="{00000000-0008-0000-0300-0000E80A0300}"/>
                </a:ext>
              </a:extLst>
            </xdr:cNvPr>
            <xdr:cNvPicPr>
              <a:picLocks noChangeArrowheads="1"/>
              <a:extLst>
                <a:ext uri="{84589F7E-364E-4C9E-8A38-B11213B215E9}">
                  <a14:cameraTool cellRange="PO!$T$1:$T$2" spid="_x0000_s235852"/>
                </a:ext>
              </a:extLst>
            </xdr:cNvPicPr>
          </xdr:nvPicPr>
          <xdr:blipFill>
            <a:blip xmlns:r="http://schemas.openxmlformats.org/officeDocument/2006/relationships" r:embed="rId4"/>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 uri="{FF2B5EF4-FFF2-40B4-BE49-F238E27FC236}">
              <a16:creationId xmlns:a16="http://schemas.microsoft.com/office/drawing/2014/main" id="{00000000-0008-0000-0400-0000C2F30200}"/>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a:extLst>
            <a:ext uri="{FF2B5EF4-FFF2-40B4-BE49-F238E27FC236}">
              <a16:creationId xmlns:a16="http://schemas.microsoft.com/office/drawing/2014/main" id="{00000000-0008-0000-0400-000007000000}"/>
            </a:ext>
          </a:extLst>
        </xdr:cNvPr>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a:extLst>
                <a:ext uri="{FF2B5EF4-FFF2-40B4-BE49-F238E27FC236}">
                  <a16:creationId xmlns:a16="http://schemas.microsoft.com/office/drawing/2014/main" id="{00000000-0008-0000-0400-0000E00F0300}"/>
                </a:ext>
              </a:extLst>
            </xdr:cNvPr>
            <xdr:cNvPicPr>
              <a:picLocks noChangeArrowheads="1"/>
              <a:extLst>
                <a:ext uri="{84589F7E-364E-4C9E-8A38-B11213B215E9}">
                  <a14:cameraTool cellRange="DADOS!$A$220:$X$230" spid="_x0000_s237831"/>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a:extLst>
                <a:ext uri="{FF2B5EF4-FFF2-40B4-BE49-F238E27FC236}">
                  <a16:creationId xmlns:a16="http://schemas.microsoft.com/office/drawing/2014/main" id="{00000000-0008-0000-0400-0000E10F0300}"/>
                </a:ext>
              </a:extLst>
            </xdr:cNvPr>
            <xdr:cNvPicPr>
              <a:picLocks noChangeArrowheads="1"/>
              <a:extLst>
                <a:ext uri="{84589F7E-364E-4C9E-8A38-B11213B215E9}">
                  <a14:cameraTool cellRange="DADOS!$A$220:$X$230" spid="_x0000_s237832"/>
                </a:ext>
              </a:extLst>
            </xdr:cNvPicPr>
          </xdr:nvPicPr>
          <xdr:blipFill>
            <a:blip xmlns:r="http://schemas.openxmlformats.org/officeDocument/2006/relationships" r:embed="rId2"/>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304</xdr:row>
          <xdr:rowOff>0</xdr:rowOff>
        </xdr:from>
        <xdr:to>
          <xdr:col>22</xdr:col>
          <xdr:colOff>28575</xdr:colOff>
          <xdr:row>308</xdr:row>
          <xdr:rowOff>142875</xdr:rowOff>
        </xdr:to>
        <xdr:pic>
          <xdr:nvPicPr>
            <xdr:cNvPr id="200674" name="Picture 483">
              <a:extLst>
                <a:ext uri="{FF2B5EF4-FFF2-40B4-BE49-F238E27FC236}">
                  <a16:creationId xmlns:a16="http://schemas.microsoft.com/office/drawing/2014/main" id="{00000000-0008-0000-0400-0000E20F0300}"/>
                </a:ext>
              </a:extLst>
            </xdr:cNvPr>
            <xdr:cNvPicPr>
              <a:picLocks noChangeArrowheads="1"/>
              <a:extLst>
                <a:ext uri="{84589F7E-364E-4C9E-8A38-B11213B215E9}">
                  <a14:cameraTool cellRange="DADOS!$A$53:$K$57" spid="_x0000_s237833"/>
                </a:ext>
              </a:extLst>
            </xdr:cNvPicPr>
          </xdr:nvPicPr>
          <xdr:blipFill>
            <a:blip xmlns:r="http://schemas.openxmlformats.org/officeDocument/2006/relationships" r:embed="rId3"/>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a:extLst>
                <a:ext uri="{FF2B5EF4-FFF2-40B4-BE49-F238E27FC236}">
                  <a16:creationId xmlns:a16="http://schemas.microsoft.com/office/drawing/2014/main" id="{00000000-0008-0000-0400-0000E30F0300}"/>
                </a:ext>
              </a:extLst>
            </xdr:cNvPr>
            <xdr:cNvPicPr>
              <a:picLocks noChangeArrowheads="1"/>
              <a:extLst>
                <a:ext uri="{84589F7E-364E-4C9E-8A38-B11213B215E9}">
                  <a14:cameraTool cellRange="PO!$T$1:$T$2" spid="_x0000_s237834"/>
                </a:ext>
              </a:extLst>
            </xdr:cNvPicPr>
          </xdr:nvPicPr>
          <xdr:blipFill>
            <a:blip xmlns:r="http://schemas.openxmlformats.org/officeDocument/2006/relationships" r:embed="rId4"/>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76" name="Picture 483">
              <a:extLst>
                <a:ext uri="{FF2B5EF4-FFF2-40B4-BE49-F238E27FC236}">
                  <a16:creationId xmlns:a16="http://schemas.microsoft.com/office/drawing/2014/main" id="{00000000-0008-0000-0400-0000E40F0300}"/>
                </a:ext>
              </a:extLst>
            </xdr:cNvPr>
            <xdr:cNvPicPr>
              <a:picLocks noChangeArrowheads="1"/>
              <a:extLst>
                <a:ext uri="{84589F7E-364E-4C9E-8A38-B11213B215E9}">
                  <a14:cameraTool cellRange="DADOS!$A$53:$K$57" spid="_x0000_s237835"/>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a:extLst>
                <a:ext uri="{FF2B5EF4-FFF2-40B4-BE49-F238E27FC236}">
                  <a16:creationId xmlns:a16="http://schemas.microsoft.com/office/drawing/2014/main" id="{00000000-0008-0000-0400-0000E50F0300}"/>
                </a:ext>
              </a:extLst>
            </xdr:cNvPr>
            <xdr:cNvPicPr>
              <a:picLocks noChangeArrowheads="1"/>
              <a:extLst>
                <a:ext uri="{84589F7E-364E-4C9E-8A38-B11213B215E9}">
                  <a14:cameraTool cellRange="PO!$T$1:$T$2" spid="_x0000_s237836"/>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78" name="Picture 483">
              <a:extLst>
                <a:ext uri="{FF2B5EF4-FFF2-40B4-BE49-F238E27FC236}">
                  <a16:creationId xmlns:a16="http://schemas.microsoft.com/office/drawing/2014/main" id="{00000000-0008-0000-0400-0000E60F0300}"/>
                </a:ext>
              </a:extLst>
            </xdr:cNvPr>
            <xdr:cNvPicPr>
              <a:picLocks noChangeArrowheads="1"/>
              <a:extLst>
                <a:ext uri="{84589F7E-364E-4C9E-8A38-B11213B215E9}">
                  <a14:cameraTool cellRange="DADOS!$A$53:$K$57" spid="_x0000_s237837"/>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a:extLst>
                <a:ext uri="{FF2B5EF4-FFF2-40B4-BE49-F238E27FC236}">
                  <a16:creationId xmlns:a16="http://schemas.microsoft.com/office/drawing/2014/main" id="{00000000-0008-0000-0400-0000E70F0300}"/>
                </a:ext>
              </a:extLst>
            </xdr:cNvPr>
            <xdr:cNvPicPr>
              <a:picLocks noChangeArrowheads="1"/>
              <a:extLst>
                <a:ext uri="{84589F7E-364E-4C9E-8A38-B11213B215E9}">
                  <a14:cameraTool cellRange="PO!$T$1:$T$2" spid="_x0000_s237838"/>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80" name="Picture 483">
              <a:extLst>
                <a:ext uri="{FF2B5EF4-FFF2-40B4-BE49-F238E27FC236}">
                  <a16:creationId xmlns:a16="http://schemas.microsoft.com/office/drawing/2014/main" id="{00000000-0008-0000-0400-0000E80F0300}"/>
                </a:ext>
              </a:extLst>
            </xdr:cNvPr>
            <xdr:cNvPicPr>
              <a:picLocks noChangeArrowheads="1"/>
              <a:extLst>
                <a:ext uri="{84589F7E-364E-4C9E-8A38-B11213B215E9}">
                  <a14:cameraTool cellRange="DADOS!$A$53:$K$57" spid="_x0000_s237839"/>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a:extLst>
                <a:ext uri="{FF2B5EF4-FFF2-40B4-BE49-F238E27FC236}">
                  <a16:creationId xmlns:a16="http://schemas.microsoft.com/office/drawing/2014/main" id="{00000000-0008-0000-0400-0000E90F0300}"/>
                </a:ext>
              </a:extLst>
            </xdr:cNvPr>
            <xdr:cNvPicPr>
              <a:picLocks noChangeArrowheads="1"/>
              <a:extLst>
                <a:ext uri="{84589F7E-364E-4C9E-8A38-B11213B215E9}">
                  <a14:cameraTool cellRange="PO!$T$1:$T$2" spid="_x0000_s237840"/>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82" name="Picture 483">
              <a:extLst>
                <a:ext uri="{FF2B5EF4-FFF2-40B4-BE49-F238E27FC236}">
                  <a16:creationId xmlns:a16="http://schemas.microsoft.com/office/drawing/2014/main" id="{00000000-0008-0000-0400-0000EA0F0300}"/>
                </a:ext>
              </a:extLst>
            </xdr:cNvPr>
            <xdr:cNvPicPr>
              <a:picLocks noChangeArrowheads="1"/>
              <a:extLst>
                <a:ext uri="{84589F7E-364E-4C9E-8A38-B11213B215E9}">
                  <a14:cameraTool cellRange="DADOS!$A$53:$K$57" spid="_x0000_s237841"/>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a:extLst>
                <a:ext uri="{FF2B5EF4-FFF2-40B4-BE49-F238E27FC236}">
                  <a16:creationId xmlns:a16="http://schemas.microsoft.com/office/drawing/2014/main" id="{00000000-0008-0000-0400-0000EB0F0300}"/>
                </a:ext>
              </a:extLst>
            </xdr:cNvPr>
            <xdr:cNvPicPr>
              <a:picLocks noChangeArrowheads="1"/>
              <a:extLst>
                <a:ext uri="{84589F7E-364E-4C9E-8A38-B11213B215E9}">
                  <a14:cameraTool cellRange="PO!$T$1:$T$2" spid="_x0000_s237842"/>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304</xdr:row>
          <xdr:rowOff>0</xdr:rowOff>
        </xdr:from>
        <xdr:to>
          <xdr:col>23</xdr:col>
          <xdr:colOff>0</xdr:colOff>
          <xdr:row>308</xdr:row>
          <xdr:rowOff>142875</xdr:rowOff>
        </xdr:to>
        <xdr:pic>
          <xdr:nvPicPr>
            <xdr:cNvPr id="200684" name="Picture 483">
              <a:extLst>
                <a:ext uri="{FF2B5EF4-FFF2-40B4-BE49-F238E27FC236}">
                  <a16:creationId xmlns:a16="http://schemas.microsoft.com/office/drawing/2014/main" id="{00000000-0008-0000-0400-0000EC0F0300}"/>
                </a:ext>
              </a:extLst>
            </xdr:cNvPr>
            <xdr:cNvPicPr>
              <a:picLocks noChangeArrowheads="1"/>
              <a:extLst>
                <a:ext uri="{84589F7E-364E-4C9E-8A38-B11213B215E9}">
                  <a14:cameraTool cellRange="DADOS!$A$53:$K$57" spid="_x0000_s237843"/>
                </a:ext>
              </a:extLst>
            </xdr:cNvPicPr>
          </xdr:nvPicPr>
          <xdr:blipFill>
            <a:blip xmlns:r="http://schemas.openxmlformats.org/officeDocument/2006/relationships" r:embed="rId3"/>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a:extLst>
                <a:ext uri="{FF2B5EF4-FFF2-40B4-BE49-F238E27FC236}">
                  <a16:creationId xmlns:a16="http://schemas.microsoft.com/office/drawing/2014/main" id="{00000000-0008-0000-0400-0000ED0F0300}"/>
                </a:ext>
              </a:extLst>
            </xdr:cNvPr>
            <xdr:cNvPicPr>
              <a:picLocks noChangeArrowheads="1"/>
              <a:extLst>
                <a:ext uri="{84589F7E-364E-4C9E-8A38-B11213B215E9}">
                  <a14:cameraTool cellRange="PO!$T$1:$T$2" spid="_x0000_s237844"/>
                </a:ext>
              </a:extLst>
            </xdr:cNvPicPr>
          </xdr:nvPicPr>
          <xdr:blipFill>
            <a:blip xmlns:r="http://schemas.openxmlformats.org/officeDocument/2006/relationships" r:embed="rId4"/>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25" zoomScaleNormal="100" zoomScaleSheetLayoutView="100" workbookViewId="0">
      <selection activeCell="J43" sqref="J43"/>
    </sheetView>
  </sheetViews>
  <sheetFormatPr defaultColWidth="9.109375" defaultRowHeight="13.2" x14ac:dyDescent="0.25"/>
  <cols>
    <col min="1" max="2" width="8.6640625" style="5" customWidth="1"/>
    <col min="3" max="5" width="8.6640625" customWidth="1"/>
    <col min="6" max="8" width="8.6640625" style="4" customWidth="1"/>
    <col min="9" max="24" width="8.6640625" customWidth="1"/>
  </cols>
  <sheetData>
    <row r="1" spans="1:25" ht="12.75" customHeight="1" x14ac:dyDescent="0.25">
      <c r="A1" s="88">
        <v>27476</v>
      </c>
      <c r="B1" s="224" t="s">
        <v>2</v>
      </c>
      <c r="C1" s="224"/>
      <c r="D1" s="224"/>
      <c r="E1" s="224"/>
      <c r="F1" s="224"/>
      <c r="G1" s="224"/>
      <c r="H1" s="224"/>
      <c r="I1" s="224"/>
      <c r="J1" s="224"/>
      <c r="K1" s="224"/>
      <c r="L1" s="224"/>
      <c r="M1" s="224"/>
      <c r="N1" s="224"/>
      <c r="O1" s="224"/>
      <c r="P1" s="224"/>
      <c r="Q1" s="224"/>
      <c r="R1" s="224"/>
      <c r="S1" s="224"/>
      <c r="T1" s="224"/>
      <c r="U1" s="224"/>
      <c r="V1" s="224"/>
      <c r="W1" s="224"/>
      <c r="X1" s="225"/>
    </row>
    <row r="2" spans="1:25" ht="13.5" customHeight="1" x14ac:dyDescent="0.25">
      <c r="A2" s="90" t="s">
        <v>228</v>
      </c>
      <c r="B2" s="226"/>
      <c r="C2" s="226"/>
      <c r="D2" s="226"/>
      <c r="E2" s="226"/>
      <c r="F2" s="226"/>
      <c r="G2" s="226"/>
      <c r="H2" s="226"/>
      <c r="I2" s="226"/>
      <c r="J2" s="226"/>
      <c r="K2" s="226"/>
      <c r="L2" s="226"/>
      <c r="M2" s="226"/>
      <c r="N2" s="226"/>
      <c r="O2" s="226"/>
      <c r="P2" s="226"/>
      <c r="Q2" s="226"/>
      <c r="R2" s="226"/>
      <c r="S2" s="226"/>
      <c r="T2" s="226"/>
      <c r="U2" s="226"/>
      <c r="V2" s="226"/>
      <c r="W2" s="226"/>
      <c r="X2" s="227"/>
    </row>
    <row r="3" spans="1:25" ht="13.5" customHeight="1" x14ac:dyDescent="0.25">
      <c r="A3"/>
      <c r="B3"/>
      <c r="F3"/>
      <c r="G3"/>
      <c r="H3"/>
    </row>
    <row r="4" spans="1:25" ht="12.75" customHeight="1" x14ac:dyDescent="0.25">
      <c r="A4" s="236" t="s">
        <v>168</v>
      </c>
      <c r="B4" s="236"/>
      <c r="C4" s="236"/>
      <c r="D4" s="236"/>
      <c r="E4" s="236"/>
      <c r="F4" s="236"/>
      <c r="G4" s="236"/>
      <c r="H4" s="236"/>
      <c r="I4" s="236"/>
      <c r="J4" s="236"/>
      <c r="K4" s="236"/>
      <c r="L4" s="236"/>
      <c r="M4" s="236"/>
      <c r="N4" s="236"/>
      <c r="O4" s="236"/>
      <c r="P4" s="236"/>
      <c r="Q4" s="236"/>
      <c r="R4" s="236"/>
      <c r="S4" s="236"/>
      <c r="T4" s="236"/>
      <c r="U4" s="236"/>
      <c r="V4" s="236"/>
      <c r="W4" s="236"/>
      <c r="X4" s="236"/>
    </row>
    <row r="6" spans="1:25" s="5" customFormat="1" ht="24.9" customHeight="1" x14ac:dyDescent="0.25">
      <c r="A6" s="237" t="s">
        <v>179</v>
      </c>
      <c r="B6" s="238"/>
      <c r="C6" s="238"/>
      <c r="D6" s="238"/>
      <c r="E6" s="238"/>
      <c r="F6" s="238"/>
      <c r="G6" s="238"/>
      <c r="H6" s="238"/>
      <c r="I6" s="238"/>
      <c r="J6" s="238"/>
      <c r="K6" s="238"/>
      <c r="L6" s="238"/>
      <c r="M6" s="238"/>
      <c r="N6" s="238"/>
      <c r="O6" s="238"/>
      <c r="P6" s="238"/>
      <c r="Q6" s="238"/>
      <c r="R6" s="238"/>
      <c r="S6" s="238"/>
      <c r="T6" s="238"/>
      <c r="U6" s="238"/>
      <c r="V6" s="238"/>
      <c r="W6" s="238"/>
      <c r="X6" s="238"/>
    </row>
    <row r="7" spans="1:25" ht="12.75" customHeight="1" x14ac:dyDescent="0.25"/>
    <row r="8" spans="1:25" ht="12.75" customHeight="1" x14ac:dyDescent="0.25">
      <c r="A8" s="239" t="s">
        <v>23</v>
      </c>
      <c r="B8" s="239"/>
      <c r="C8" s="239"/>
      <c r="D8" s="239"/>
      <c r="E8" s="239"/>
      <c r="F8" s="239"/>
      <c r="G8" s="239"/>
      <c r="H8" s="239"/>
      <c r="I8" s="239"/>
      <c r="J8" s="239"/>
      <c r="K8" s="239"/>
      <c r="L8" s="239"/>
      <c r="M8" s="239"/>
      <c r="N8" s="239"/>
      <c r="O8" s="239"/>
      <c r="P8" s="239"/>
      <c r="Q8" s="239"/>
      <c r="R8" s="239"/>
      <c r="S8" s="239"/>
      <c r="T8" s="239"/>
      <c r="U8" s="239"/>
      <c r="V8" s="239"/>
      <c r="W8" s="239"/>
      <c r="X8" s="239"/>
      <c r="Y8" s="16"/>
    </row>
    <row r="9" spans="1:25" ht="6" customHeight="1" x14ac:dyDescent="0.25">
      <c r="A9" s="38"/>
      <c r="B9" s="38"/>
      <c r="C9" s="38"/>
      <c r="D9" s="38"/>
      <c r="E9" s="38"/>
      <c r="F9" s="38"/>
      <c r="G9" s="38"/>
      <c r="H9" s="38"/>
      <c r="I9" s="38"/>
      <c r="J9" s="38"/>
      <c r="K9" s="38"/>
      <c r="L9" s="38"/>
      <c r="M9" s="38"/>
      <c r="N9" s="38"/>
      <c r="O9" s="38"/>
      <c r="P9" s="38"/>
      <c r="Q9" s="38"/>
      <c r="R9" s="38"/>
      <c r="S9" s="38"/>
      <c r="T9" s="38"/>
      <c r="U9" s="38"/>
      <c r="V9" s="38"/>
      <c r="W9" s="38"/>
      <c r="X9" s="38"/>
      <c r="Y9" s="16"/>
    </row>
    <row r="10" spans="1:25" ht="12.75" customHeight="1" x14ac:dyDescent="0.25">
      <c r="A10" s="241" t="s">
        <v>169</v>
      </c>
      <c r="B10" s="241"/>
      <c r="C10" s="241"/>
      <c r="D10" s="241"/>
      <c r="E10" s="241"/>
      <c r="F10" s="241"/>
      <c r="G10" s="241"/>
      <c r="H10" s="241"/>
      <c r="I10" s="241"/>
      <c r="J10" s="241"/>
      <c r="K10" s="241"/>
      <c r="L10" s="241"/>
      <c r="M10" s="241"/>
      <c r="N10" s="241"/>
      <c r="O10" s="241"/>
      <c r="P10" s="241"/>
      <c r="Q10" s="241"/>
      <c r="R10" s="241"/>
      <c r="S10" s="241"/>
      <c r="T10" s="241"/>
      <c r="U10" s="241"/>
      <c r="V10" s="241"/>
      <c r="W10" s="241"/>
      <c r="X10" s="241"/>
    </row>
    <row r="11" spans="1:25" ht="6" customHeight="1" x14ac:dyDescent="0.25">
      <c r="A11" s="39"/>
      <c r="B11" s="39"/>
      <c r="C11" s="39"/>
      <c r="D11" s="39"/>
      <c r="E11" s="39"/>
      <c r="F11" s="39"/>
      <c r="G11" s="39"/>
      <c r="H11" s="39"/>
      <c r="I11" s="39"/>
      <c r="J11" s="39"/>
      <c r="K11" s="39"/>
      <c r="L11" s="39"/>
      <c r="M11" s="39"/>
      <c r="N11" s="39"/>
      <c r="O11" s="39"/>
      <c r="P11" s="39"/>
      <c r="Q11" s="39"/>
      <c r="R11" s="39"/>
      <c r="S11" s="39"/>
      <c r="T11" s="39"/>
      <c r="U11" s="39"/>
      <c r="V11" s="39"/>
      <c r="W11" s="39"/>
      <c r="X11" s="39"/>
    </row>
    <row r="12" spans="1:25" ht="24.9" customHeight="1" x14ac:dyDescent="0.25">
      <c r="A12" s="241" t="s">
        <v>1</v>
      </c>
      <c r="B12" s="241"/>
      <c r="C12" s="241"/>
      <c r="D12" s="241"/>
      <c r="E12" s="241"/>
      <c r="F12" s="241"/>
      <c r="G12" s="241"/>
      <c r="H12" s="241"/>
      <c r="I12" s="241"/>
      <c r="J12" s="241"/>
      <c r="K12" s="241"/>
      <c r="L12" s="241"/>
      <c r="M12" s="241"/>
      <c r="N12" s="241"/>
      <c r="O12" s="241"/>
      <c r="P12" s="241"/>
      <c r="Q12" s="241"/>
      <c r="R12" s="241"/>
      <c r="S12" s="241"/>
      <c r="T12" s="241"/>
      <c r="U12" s="241"/>
      <c r="V12" s="241"/>
      <c r="W12" s="241"/>
      <c r="X12" s="241"/>
    </row>
    <row r="14" spans="1:25" x14ac:dyDescent="0.25">
      <c r="A14" s="240" t="s">
        <v>24</v>
      </c>
      <c r="B14" s="239"/>
      <c r="C14" s="239"/>
      <c r="D14" s="239"/>
      <c r="E14" s="239"/>
      <c r="F14" s="239"/>
      <c r="G14" s="239"/>
      <c r="H14" s="239"/>
      <c r="I14" s="239"/>
      <c r="J14" s="239"/>
      <c r="K14" s="239"/>
      <c r="L14" s="239"/>
      <c r="M14" s="239"/>
      <c r="N14" s="239"/>
      <c r="O14" s="239"/>
      <c r="P14" s="239"/>
      <c r="Q14" s="239"/>
      <c r="R14" s="239"/>
      <c r="S14" s="239"/>
      <c r="T14" s="239"/>
      <c r="U14" s="239"/>
      <c r="V14" s="239"/>
      <c r="W14" s="239"/>
      <c r="X14" s="239"/>
    </row>
    <row r="16" spans="1:25" x14ac:dyDescent="0.25">
      <c r="A16" s="211" t="s">
        <v>186</v>
      </c>
      <c r="B16" s="212"/>
      <c r="C16" s="212"/>
      <c r="D16" s="212"/>
      <c r="E16" s="212"/>
      <c r="F16" s="212"/>
      <c r="G16" s="212"/>
      <c r="H16" s="212"/>
      <c r="I16" s="212"/>
      <c r="J16" s="212"/>
      <c r="K16" s="212"/>
      <c r="L16" s="212"/>
      <c r="M16" s="212"/>
      <c r="N16" s="212"/>
      <c r="O16" s="212"/>
      <c r="P16" s="212"/>
      <c r="Q16" s="212"/>
      <c r="R16" s="212"/>
      <c r="S16" s="212"/>
      <c r="T16" s="212"/>
      <c r="U16" s="212"/>
      <c r="V16" s="212"/>
      <c r="W16" s="212"/>
      <c r="X16" s="212"/>
    </row>
    <row r="17" spans="1:25" ht="6" customHeight="1" x14ac:dyDescent="0.25">
      <c r="A17" s="38"/>
      <c r="B17" s="38"/>
      <c r="C17" s="38"/>
      <c r="D17" s="38"/>
      <c r="E17" s="38"/>
      <c r="F17" s="38"/>
      <c r="G17" s="38"/>
      <c r="H17" s="38"/>
      <c r="I17" s="38"/>
      <c r="J17" s="38"/>
      <c r="K17" s="38"/>
      <c r="L17" s="38"/>
      <c r="M17" s="38"/>
      <c r="N17" s="38"/>
      <c r="O17" s="38"/>
      <c r="P17" s="38"/>
      <c r="Q17" s="38"/>
      <c r="R17" s="38"/>
      <c r="S17" s="38"/>
      <c r="T17" s="38"/>
      <c r="U17" s="38"/>
      <c r="V17" s="38"/>
      <c r="W17" s="38"/>
      <c r="X17" s="38"/>
    </row>
    <row r="18" spans="1:25" x14ac:dyDescent="0.25">
      <c r="A18" s="213" t="s">
        <v>187</v>
      </c>
      <c r="B18" s="213"/>
      <c r="C18" s="214"/>
      <c r="D18" s="214"/>
      <c r="E18" s="214"/>
      <c r="F18" s="214"/>
      <c r="G18" s="214"/>
      <c r="H18" s="214"/>
      <c r="I18" s="214"/>
      <c r="J18" s="214"/>
      <c r="K18" s="214"/>
      <c r="L18" s="214"/>
      <c r="M18" s="214"/>
      <c r="N18" s="214"/>
      <c r="O18" s="214"/>
      <c r="P18" s="214"/>
      <c r="Q18" s="214"/>
      <c r="R18" s="214"/>
      <c r="S18" s="214"/>
      <c r="T18" s="214"/>
      <c r="U18" s="214"/>
      <c r="V18" s="214"/>
      <c r="W18" s="214"/>
      <c r="X18" s="214"/>
    </row>
    <row r="21" spans="1:25" x14ac:dyDescent="0.25">
      <c r="A21"/>
    </row>
    <row r="22" spans="1:25" ht="12.75" customHeight="1" x14ac:dyDescent="0.25">
      <c r="A22" s="211" t="s">
        <v>189</v>
      </c>
      <c r="B22" s="212"/>
      <c r="C22" s="212"/>
      <c r="D22" s="212"/>
      <c r="E22" s="212"/>
      <c r="F22" s="212"/>
      <c r="G22" s="212"/>
      <c r="H22" s="212"/>
      <c r="I22" s="212"/>
      <c r="J22" s="190"/>
      <c r="K22" s="190"/>
      <c r="L22" s="190"/>
      <c r="M22" s="190"/>
      <c r="N22" s="190"/>
      <c r="O22" s="190"/>
      <c r="P22" s="190"/>
      <c r="Q22" s="190"/>
      <c r="R22" s="190"/>
      <c r="S22" s="190"/>
      <c r="T22" s="190"/>
      <c r="U22" s="190"/>
      <c r="V22" s="190"/>
      <c r="W22" s="190"/>
      <c r="X22" s="190"/>
      <c r="Y22" s="190"/>
    </row>
    <row r="23" spans="1:25" ht="6" customHeight="1" x14ac:dyDescent="0.25">
      <c r="A23" s="38"/>
      <c r="B23"/>
      <c r="F23"/>
      <c r="G23"/>
      <c r="H23"/>
    </row>
    <row r="24" spans="1:25" ht="12.75" customHeight="1" x14ac:dyDescent="0.25">
      <c r="A24" s="213" t="s">
        <v>190</v>
      </c>
      <c r="B24" s="213"/>
      <c r="C24" s="214"/>
      <c r="D24" s="214"/>
      <c r="E24" s="214"/>
      <c r="F24" s="214"/>
      <c r="G24" s="214"/>
      <c r="H24" s="214"/>
      <c r="I24" s="214"/>
      <c r="J24" s="214"/>
      <c r="K24" s="214"/>
      <c r="L24" s="214"/>
      <c r="M24" s="214"/>
      <c r="N24" s="214"/>
      <c r="O24" s="214"/>
      <c r="P24" s="214"/>
      <c r="Q24" s="214"/>
      <c r="R24" s="214"/>
      <c r="S24" s="214"/>
      <c r="T24" s="214"/>
      <c r="U24" s="214"/>
      <c r="V24" s="214"/>
      <c r="W24" s="214"/>
      <c r="X24" s="214"/>
    </row>
    <row r="25" spans="1:25" ht="6" customHeight="1" x14ac:dyDescent="0.25">
      <c r="A25" s="40"/>
      <c r="B25" s="40"/>
      <c r="C25" s="41"/>
      <c r="D25" s="41"/>
      <c r="E25" s="41"/>
      <c r="F25" s="41"/>
      <c r="G25" s="41"/>
      <c r="H25" s="41"/>
      <c r="I25" s="41"/>
      <c r="J25" s="41"/>
      <c r="K25" s="41"/>
      <c r="L25" s="41"/>
      <c r="M25" s="41"/>
      <c r="N25" s="41"/>
      <c r="O25" s="41"/>
      <c r="P25" s="41"/>
      <c r="Q25" s="41"/>
      <c r="R25" s="41"/>
      <c r="S25" s="41"/>
      <c r="T25" s="41"/>
      <c r="U25" s="41"/>
      <c r="V25" s="41"/>
      <c r="W25" s="41"/>
      <c r="X25" s="41"/>
    </row>
    <row r="26" spans="1:25" ht="12.75" customHeight="1" x14ac:dyDescent="0.25">
      <c r="A26" s="209" t="s">
        <v>191</v>
      </c>
      <c r="B26" s="209"/>
      <c r="C26" s="210"/>
      <c r="D26" s="210"/>
      <c r="E26" s="210"/>
      <c r="F26" s="210"/>
      <c r="G26" s="210"/>
      <c r="H26" s="210"/>
      <c r="I26" s="210"/>
      <c r="J26" s="210"/>
      <c r="K26" s="210"/>
      <c r="L26" s="210"/>
      <c r="M26" s="210"/>
      <c r="N26" s="210"/>
      <c r="O26" s="210"/>
      <c r="P26" s="210"/>
      <c r="Q26" s="210"/>
      <c r="R26" s="210"/>
      <c r="S26" s="210"/>
      <c r="T26" s="210"/>
      <c r="U26" s="210"/>
      <c r="V26" s="210"/>
      <c r="W26" s="210"/>
      <c r="X26" s="210"/>
    </row>
    <row r="27" spans="1:25" ht="6" customHeight="1" x14ac:dyDescent="0.25">
      <c r="A27" s="17"/>
      <c r="B27" s="17"/>
    </row>
    <row r="28" spans="1:25" ht="12.75" customHeight="1" x14ac:dyDescent="0.25">
      <c r="A28" s="207" t="s">
        <v>177</v>
      </c>
      <c r="B28" s="215"/>
      <c r="C28" s="207" t="s">
        <v>170</v>
      </c>
      <c r="D28" s="208"/>
      <c r="E28" s="215"/>
      <c r="F28" s="207" t="s">
        <v>171</v>
      </c>
      <c r="G28" s="208"/>
      <c r="H28" s="208"/>
      <c r="I28" s="215"/>
      <c r="J28" s="207" t="s">
        <v>172</v>
      </c>
      <c r="K28" s="208"/>
      <c r="L28" s="208"/>
      <c r="M28" s="208"/>
      <c r="N28" s="208"/>
      <c r="O28" s="215"/>
      <c r="P28" s="207" t="s">
        <v>0</v>
      </c>
      <c r="Q28" s="208"/>
      <c r="R28" s="208"/>
      <c r="S28" s="208"/>
      <c r="T28" s="208"/>
      <c r="U28" s="208"/>
      <c r="V28" s="208"/>
      <c r="W28" s="208"/>
      <c r="X28" s="215"/>
    </row>
    <row r="29" spans="1:25" ht="12.75" customHeight="1" x14ac:dyDescent="0.25">
      <c r="A29" s="202" t="s">
        <v>857</v>
      </c>
      <c r="B29" s="216"/>
      <c r="C29" s="202" t="s">
        <v>858</v>
      </c>
      <c r="D29" s="203"/>
      <c r="E29" s="204"/>
      <c r="F29" s="202" t="s">
        <v>859</v>
      </c>
      <c r="G29" s="271"/>
      <c r="H29" s="271"/>
      <c r="I29" s="216"/>
      <c r="J29" s="202" t="s">
        <v>860</v>
      </c>
      <c r="K29" s="271"/>
      <c r="L29" s="271"/>
      <c r="M29" s="271"/>
      <c r="N29" s="271"/>
      <c r="O29" s="216"/>
      <c r="P29" s="202" t="s">
        <v>242</v>
      </c>
      <c r="Q29" s="271"/>
      <c r="R29" s="271"/>
      <c r="S29" s="271"/>
      <c r="T29" s="271"/>
      <c r="U29" s="271"/>
      <c r="V29" s="271"/>
      <c r="W29" s="271"/>
      <c r="X29" s="216"/>
    </row>
    <row r="30" spans="1:25" ht="6" customHeight="1" x14ac:dyDescent="0.25">
      <c r="A30"/>
      <c r="B30"/>
      <c r="F30"/>
      <c r="G30"/>
      <c r="H30"/>
    </row>
    <row r="31" spans="1:25" x14ac:dyDescent="0.25">
      <c r="A31" s="207" t="s">
        <v>173</v>
      </c>
      <c r="B31" s="208"/>
      <c r="C31" s="208"/>
      <c r="D31" s="208"/>
      <c r="E31" s="208"/>
      <c r="F31" s="215"/>
      <c r="G31" s="207" t="s">
        <v>174</v>
      </c>
      <c r="H31" s="208"/>
      <c r="I31" s="208"/>
      <c r="J31" s="215"/>
      <c r="K31" s="207" t="s">
        <v>175</v>
      </c>
      <c r="L31" s="208"/>
      <c r="M31" s="208"/>
      <c r="N31" s="208"/>
      <c r="O31" s="208"/>
      <c r="P31" s="215"/>
      <c r="Q31" s="207" t="s">
        <v>180</v>
      </c>
      <c r="R31" s="208"/>
      <c r="S31" s="208"/>
      <c r="T31" s="208"/>
      <c r="U31" s="208"/>
      <c r="V31" s="208"/>
      <c r="W31" s="208"/>
      <c r="X31" s="215"/>
    </row>
    <row r="32" spans="1:25" x14ac:dyDescent="0.25">
      <c r="A32" s="272" t="s">
        <v>230</v>
      </c>
      <c r="B32" s="273"/>
      <c r="C32" s="273"/>
      <c r="D32" s="273"/>
      <c r="E32" s="273"/>
      <c r="F32" s="274"/>
      <c r="G32" s="202" t="s">
        <v>232</v>
      </c>
      <c r="H32" s="203"/>
      <c r="I32" s="203"/>
      <c r="J32" s="204"/>
      <c r="K32" s="202" t="s">
        <v>238</v>
      </c>
      <c r="L32" s="271"/>
      <c r="M32" s="271"/>
      <c r="N32" s="271"/>
      <c r="O32" s="271"/>
      <c r="P32" s="216"/>
      <c r="Q32" s="202" t="s">
        <v>243</v>
      </c>
      <c r="R32" s="271"/>
      <c r="S32" s="271"/>
      <c r="T32" s="271"/>
      <c r="U32" s="271"/>
      <c r="V32" s="271"/>
      <c r="W32" s="271"/>
      <c r="X32" s="216"/>
    </row>
    <row r="33" spans="1:24" ht="9" customHeight="1" x14ac:dyDescent="0.25"/>
    <row r="34" spans="1:24" s="19" customFormat="1" x14ac:dyDescent="0.25"/>
    <row r="35" spans="1:24" ht="12.75" customHeight="1" x14ac:dyDescent="0.25">
      <c r="A35" s="209" t="s">
        <v>192</v>
      </c>
      <c r="B35" s="209"/>
      <c r="C35" s="210"/>
      <c r="D35" s="210"/>
      <c r="E35" s="210"/>
      <c r="F35" s="210"/>
      <c r="G35" s="210"/>
      <c r="H35" s="210"/>
      <c r="I35" s="210"/>
      <c r="J35" s="210"/>
      <c r="K35" s="210"/>
      <c r="L35" s="210"/>
      <c r="M35" s="210"/>
      <c r="N35" s="210"/>
      <c r="O35" s="210"/>
      <c r="P35" s="210"/>
      <c r="Q35" s="210"/>
      <c r="R35" s="210"/>
      <c r="S35" s="210"/>
      <c r="T35" s="210"/>
      <c r="U35" s="210"/>
      <c r="V35" s="210"/>
      <c r="W35" s="210"/>
      <c r="X35" s="210"/>
    </row>
    <row r="36" spans="1:24" ht="6" customHeight="1" x14ac:dyDescent="0.25">
      <c r="A36" s="18"/>
      <c r="B36" s="18"/>
      <c r="C36" s="24"/>
      <c r="D36" s="24"/>
      <c r="E36" s="24"/>
      <c r="F36" s="24"/>
      <c r="G36" s="24"/>
      <c r="H36" s="24"/>
      <c r="I36" s="24"/>
      <c r="J36" s="24"/>
      <c r="K36" s="24"/>
      <c r="L36" s="24"/>
      <c r="M36" s="24"/>
      <c r="N36" s="24"/>
      <c r="O36" s="24"/>
      <c r="P36" s="24"/>
      <c r="Q36" s="24"/>
      <c r="R36" s="24"/>
      <c r="S36" s="24"/>
      <c r="T36" s="24"/>
      <c r="U36" s="24"/>
      <c r="V36" s="24"/>
      <c r="W36" s="24"/>
      <c r="X36" s="24"/>
    </row>
    <row r="37" spans="1:24" ht="12.75" customHeight="1" x14ac:dyDescent="0.25">
      <c r="A37" s="207" t="s">
        <v>16</v>
      </c>
      <c r="B37" s="215"/>
      <c r="C37" s="78" t="s">
        <v>91</v>
      </c>
      <c r="D37" s="207" t="s">
        <v>14</v>
      </c>
      <c r="E37" s="208"/>
      <c r="F37" s="215"/>
      <c r="G37" s="207" t="s">
        <v>12</v>
      </c>
      <c r="H37" s="208"/>
      <c r="I37" s="208"/>
      <c r="J37" s="208"/>
      <c r="K37" s="208"/>
      <c r="L37" s="208"/>
      <c r="M37" s="208"/>
      <c r="N37" s="208"/>
      <c r="O37" s="208"/>
      <c r="P37" s="208"/>
      <c r="Q37" s="208"/>
      <c r="R37" s="208"/>
      <c r="S37" s="215"/>
      <c r="T37" s="79" t="s">
        <v>7</v>
      </c>
      <c r="U37" s="79" t="s">
        <v>8</v>
      </c>
      <c r="V37" s="79" t="s">
        <v>9</v>
      </c>
      <c r="W37" s="79" t="s">
        <v>10</v>
      </c>
      <c r="X37" s="79" t="s">
        <v>11</v>
      </c>
    </row>
    <row r="38" spans="1:24" ht="12.75" customHeight="1" x14ac:dyDescent="0.25">
      <c r="A38" s="220">
        <v>45575</v>
      </c>
      <c r="B38" s="221"/>
      <c r="C38" s="77" t="s">
        <v>235</v>
      </c>
      <c r="D38" s="202" t="s">
        <v>78</v>
      </c>
      <c r="E38" s="203"/>
      <c r="F38" s="204"/>
      <c r="G38" s="202" t="s">
        <v>244</v>
      </c>
      <c r="H38" s="203"/>
      <c r="I38" s="203"/>
      <c r="J38" s="203"/>
      <c r="K38" s="203"/>
      <c r="L38" s="203"/>
      <c r="M38" s="203"/>
      <c r="N38" s="203"/>
      <c r="O38" s="203"/>
      <c r="P38" s="203"/>
      <c r="Q38" s="203"/>
      <c r="R38" s="203"/>
      <c r="S38" s="204"/>
      <c r="T38" s="80">
        <f ca="1">IF(ISERROR(INDIRECT("'BDI ("&amp;RIGHT(T37,1)&amp;")'!N27")),"",INDIRECT("'BDI ("&amp;RIGHT(T37,1)&amp;")'!N27"))</f>
        <v>0.25</v>
      </c>
      <c r="U38" s="81">
        <f ca="1">IF(ISERROR(INDIRECT("'BDI ("&amp;RIGHT(U37,1)&amp;")'!N27")),"",INDIRECT("'BDI ("&amp;RIGHT(U37,1)&amp;")'!N27"))</f>
        <v>0.09</v>
      </c>
      <c r="V38" s="81" t="str">
        <f ca="1">IF(ISERROR(INDIRECT("'BDI ("&amp;RIGHT(V37,1)&amp;")'!N27")),"",INDIRECT("'BDI ("&amp;RIGHT(V37,1)&amp;")'!N27"))</f>
        <v/>
      </c>
      <c r="W38" s="81" t="str">
        <f ca="1">IF(ISERROR(INDIRECT("'BDI ("&amp;RIGHT(W37,1)&amp;")'!N27")),"",INDIRECT("'BDI ("&amp;RIGHT(W37,1)&amp;")'!N27"))</f>
        <v/>
      </c>
      <c r="X38" s="81" t="str">
        <f ca="1">IF(ISERROR(INDIRECT("'BDI ("&amp;RIGHT(X37,1)&amp;")'!N27")),"",INDIRECT("'BDI ("&amp;RIGHT(X37,1)&amp;")'!N27"))</f>
        <v/>
      </c>
    </row>
    <row r="39" spans="1:24" ht="11.25" customHeight="1" x14ac:dyDescent="0.25">
      <c r="A39" s="18"/>
      <c r="B39" s="18"/>
      <c r="C39" s="24"/>
      <c r="D39" s="24"/>
      <c r="E39" s="24"/>
      <c r="F39" s="24"/>
      <c r="G39" s="24"/>
      <c r="H39" s="24"/>
      <c r="I39" s="24"/>
      <c r="J39" s="24"/>
      <c r="K39" s="24"/>
      <c r="L39" s="24"/>
      <c r="M39" s="24"/>
      <c r="N39" s="24"/>
      <c r="O39" s="24"/>
      <c r="P39" s="24"/>
      <c r="Q39" s="24"/>
      <c r="R39" s="24"/>
      <c r="S39" s="24"/>
      <c r="T39" s="24"/>
      <c r="U39" s="24"/>
      <c r="V39" s="24"/>
      <c r="W39" s="24"/>
      <c r="X39" s="24"/>
    </row>
    <row r="40" spans="1:24" ht="12.75" customHeight="1" x14ac:dyDescent="0.25">
      <c r="A40" s="209" t="s">
        <v>162</v>
      </c>
      <c r="B40" s="209"/>
      <c r="C40" s="210"/>
      <c r="D40" s="210"/>
      <c r="E40" s="210"/>
      <c r="F40" s="210"/>
      <c r="G40" s="210"/>
      <c r="H40" s="210"/>
      <c r="I40" s="210"/>
      <c r="J40" s="210"/>
      <c r="K40" s="210"/>
      <c r="L40" s="210"/>
      <c r="M40" s="210"/>
      <c r="N40" s="210"/>
      <c r="O40" s="210"/>
      <c r="P40" s="210"/>
      <c r="Q40" s="210"/>
      <c r="R40" s="210"/>
      <c r="S40" s="210"/>
      <c r="T40" s="210"/>
      <c r="U40" s="210"/>
      <c r="V40" s="210"/>
      <c r="W40" s="210"/>
      <c r="X40" s="210"/>
    </row>
    <row r="41" spans="1:24" ht="6" customHeight="1" x14ac:dyDescent="0.25">
      <c r="A41" s="18"/>
      <c r="B41" s="18"/>
      <c r="C41" s="24"/>
      <c r="D41" s="24"/>
      <c r="E41" s="24"/>
      <c r="F41" s="24"/>
      <c r="G41" s="24"/>
      <c r="H41" s="24"/>
      <c r="I41" s="24"/>
      <c r="J41" s="24"/>
      <c r="K41" s="24"/>
      <c r="L41" s="24"/>
      <c r="M41" s="24"/>
      <c r="N41" s="24"/>
      <c r="O41" s="24"/>
      <c r="P41" s="24"/>
      <c r="Q41" s="24"/>
      <c r="R41" s="24"/>
      <c r="S41" s="24"/>
      <c r="T41" s="24"/>
      <c r="U41" s="24"/>
      <c r="V41" s="24"/>
      <c r="W41" s="24"/>
      <c r="X41" s="24"/>
    </row>
    <row r="42" spans="1:24" ht="12.75" customHeight="1" x14ac:dyDescent="0.25">
      <c r="A42" s="207" t="s">
        <v>87</v>
      </c>
      <c r="B42" s="215"/>
      <c r="C42" s="207" t="s">
        <v>111</v>
      </c>
      <c r="D42" s="208"/>
      <c r="E42" s="208"/>
      <c r="F42" s="208"/>
      <c r="G42" s="208"/>
      <c r="H42" s="207" t="s">
        <v>16</v>
      </c>
      <c r="I42" s="208"/>
      <c r="J42" s="20" t="s">
        <v>91</v>
      </c>
      <c r="K42" s="207" t="s">
        <v>88</v>
      </c>
      <c r="L42" s="208"/>
      <c r="M42" s="215"/>
      <c r="N42" s="20" t="s">
        <v>92</v>
      </c>
      <c r="O42" s="207" t="s">
        <v>93</v>
      </c>
      <c r="P42" s="208"/>
      <c r="Q42" s="208"/>
      <c r="R42" s="208"/>
      <c r="S42" s="208"/>
      <c r="T42" s="215"/>
      <c r="U42" s="222" t="s">
        <v>89</v>
      </c>
      <c r="V42" s="223"/>
      <c r="W42" s="222" t="s">
        <v>90</v>
      </c>
      <c r="X42" s="223"/>
    </row>
    <row r="43" spans="1:24" ht="12.75" customHeight="1" x14ac:dyDescent="0.25">
      <c r="A43" s="243"/>
      <c r="B43" s="244"/>
      <c r="C43" s="202"/>
      <c r="D43" s="203"/>
      <c r="E43" s="203"/>
      <c r="F43" s="203"/>
      <c r="G43" s="203"/>
      <c r="H43" s="220"/>
      <c r="I43" s="221"/>
      <c r="J43" s="74"/>
      <c r="K43" s="275"/>
      <c r="L43" s="276"/>
      <c r="M43" s="277"/>
      <c r="N43" s="89"/>
      <c r="O43" s="231"/>
      <c r="P43" s="232"/>
      <c r="Q43" s="232"/>
      <c r="R43" s="233"/>
      <c r="S43" s="233"/>
      <c r="T43" s="234"/>
      <c r="U43" s="229"/>
      <c r="V43" s="235"/>
      <c r="W43" s="229"/>
      <c r="X43" s="230"/>
    </row>
    <row r="44" spans="1:24" ht="12.75" customHeight="1" x14ac:dyDescent="0.25">
      <c r="A44" s="18"/>
      <c r="B44" s="18"/>
      <c r="C44" s="24"/>
      <c r="D44" s="24"/>
      <c r="E44" s="24"/>
      <c r="F44" s="24"/>
      <c r="G44" s="24"/>
      <c r="H44" s="24"/>
      <c r="I44" s="24"/>
      <c r="J44" s="24"/>
      <c r="K44" s="24"/>
      <c r="L44" s="24"/>
      <c r="M44" s="24"/>
      <c r="N44" s="24"/>
      <c r="O44" s="24"/>
      <c r="P44" s="24"/>
      <c r="Q44" s="24"/>
      <c r="R44" s="24"/>
      <c r="S44" s="24"/>
      <c r="T44" s="24"/>
      <c r="U44" s="24"/>
      <c r="V44" s="24"/>
      <c r="W44" s="24"/>
      <c r="X44" s="24"/>
    </row>
    <row r="45" spans="1:24" ht="12.75" customHeight="1" x14ac:dyDescent="0.25">
      <c r="A45" s="209" t="s">
        <v>193</v>
      </c>
      <c r="B45" s="209"/>
      <c r="C45" s="210"/>
      <c r="D45" s="210"/>
      <c r="E45" s="210"/>
      <c r="F45" s="210"/>
      <c r="G45" s="210"/>
      <c r="H45" s="210"/>
      <c r="I45" s="210"/>
      <c r="J45" s="210"/>
      <c r="K45" s="210"/>
      <c r="L45" s="210"/>
      <c r="M45" s="210"/>
      <c r="N45" s="210"/>
      <c r="O45" s="210"/>
      <c r="P45" s="210"/>
      <c r="Q45" s="210"/>
      <c r="R45" s="210"/>
      <c r="S45" s="210"/>
      <c r="T45" s="210"/>
      <c r="U45" s="210"/>
      <c r="V45" s="210"/>
      <c r="W45" s="210"/>
      <c r="X45" s="210"/>
    </row>
    <row r="46" spans="1:24" ht="6" customHeight="1" x14ac:dyDescent="0.25">
      <c r="A46" s="18"/>
      <c r="B46" s="18"/>
      <c r="C46" s="24"/>
      <c r="D46" s="24"/>
      <c r="E46" s="24"/>
      <c r="F46" s="24"/>
      <c r="G46" s="24"/>
      <c r="H46" s="24"/>
      <c r="I46" s="24"/>
      <c r="J46" s="24"/>
      <c r="K46" s="24"/>
      <c r="L46" s="24"/>
      <c r="M46" s="24"/>
      <c r="N46" s="24"/>
      <c r="O46" s="24"/>
      <c r="P46" s="24"/>
      <c r="Q46" s="24"/>
      <c r="R46" s="24"/>
      <c r="S46" s="24"/>
      <c r="T46" s="24"/>
      <c r="U46" s="24"/>
      <c r="V46" s="24"/>
      <c r="W46" s="24"/>
      <c r="X46" s="24"/>
    </row>
    <row r="47" spans="1:24" x14ac:dyDescent="0.25">
      <c r="A47" s="20" t="s">
        <v>15</v>
      </c>
      <c r="B47" s="21"/>
      <c r="C47" s="22"/>
      <c r="F47"/>
      <c r="G47"/>
      <c r="H47"/>
    </row>
    <row r="48" spans="1:24" x14ac:dyDescent="0.25">
      <c r="A48" s="255">
        <v>45717</v>
      </c>
      <c r="B48" s="256"/>
      <c r="C48" s="257"/>
      <c r="E48" s="29"/>
      <c r="F48"/>
      <c r="G48"/>
      <c r="H48"/>
    </row>
    <row r="49" spans="1:24" x14ac:dyDescent="0.25">
      <c r="F49" s="25"/>
      <c r="G49" s="26"/>
      <c r="H49" s="27"/>
    </row>
    <row r="50" spans="1:24" x14ac:dyDescent="0.25">
      <c r="A50" s="209" t="s">
        <v>194</v>
      </c>
      <c r="B50" s="209"/>
      <c r="C50" s="210"/>
      <c r="D50" s="210"/>
      <c r="E50" s="210"/>
      <c r="F50" s="210"/>
      <c r="G50" s="210"/>
      <c r="H50" s="210"/>
      <c r="I50" s="210"/>
      <c r="J50" s="210"/>
      <c r="K50" s="210"/>
      <c r="L50" s="210"/>
      <c r="M50" s="210"/>
      <c r="N50" s="210"/>
      <c r="O50" s="210"/>
      <c r="P50" s="210"/>
      <c r="Q50" s="210"/>
      <c r="R50" s="210"/>
      <c r="S50" s="210"/>
      <c r="T50" s="210"/>
      <c r="U50" s="210"/>
      <c r="V50" s="210"/>
      <c r="W50" s="210"/>
      <c r="X50" s="210"/>
    </row>
    <row r="51" spans="1:24" x14ac:dyDescent="0.25">
      <c r="A51" s="18"/>
      <c r="B51" s="18"/>
      <c r="C51" s="24"/>
      <c r="D51" s="24"/>
      <c r="E51" s="24"/>
      <c r="F51" s="24"/>
      <c r="G51" s="24"/>
      <c r="H51" s="24"/>
      <c r="I51" s="24"/>
      <c r="J51" s="24"/>
      <c r="K51" s="24"/>
      <c r="L51" s="24"/>
    </row>
    <row r="52" spans="1:24" x14ac:dyDescent="0.25">
      <c r="A52" s="18"/>
      <c r="B52" s="18"/>
      <c r="C52" s="24"/>
      <c r="D52" s="24"/>
      <c r="E52" s="24"/>
      <c r="F52" s="24"/>
      <c r="G52" s="5" t="s">
        <v>18</v>
      </c>
      <c r="H52" s="24"/>
      <c r="I52" s="24"/>
      <c r="K52" s="72" t="s">
        <v>229</v>
      </c>
      <c r="L52" s="24"/>
    </row>
    <row r="53" spans="1:24" x14ac:dyDescent="0.25">
      <c r="A53" s="30"/>
      <c r="B53" s="30"/>
      <c r="C53" s="31"/>
      <c r="D53" s="31"/>
      <c r="E53" s="31"/>
      <c r="F53" s="25"/>
      <c r="G53" s="30"/>
      <c r="H53" s="30"/>
      <c r="I53" s="31"/>
      <c r="J53" s="31"/>
      <c r="K53" s="31"/>
    </row>
    <row r="54" spans="1:24" x14ac:dyDescent="0.25">
      <c r="A54" s="86" t="s">
        <v>140</v>
      </c>
      <c r="B54" s="258"/>
      <c r="C54" s="259"/>
      <c r="D54" s="259"/>
      <c r="E54" s="259"/>
      <c r="F54" s="25"/>
      <c r="G54" s="86" t="s">
        <v>140</v>
      </c>
      <c r="H54" s="259"/>
      <c r="I54" s="259"/>
      <c r="J54" s="259"/>
      <c r="K54" s="259"/>
    </row>
    <row r="55" spans="1:24" x14ac:dyDescent="0.25">
      <c r="A55" s="86" t="str">
        <f>IF(OR(TipoOrçamento="BASE",TipoOrçamento="REPROGRAMADONPL"),"Título:","Cargo:")</f>
        <v>Cargo:</v>
      </c>
      <c r="B55" s="258"/>
      <c r="C55" s="259"/>
      <c r="D55" s="259"/>
      <c r="E55" s="259"/>
      <c r="F55" s="25"/>
      <c r="G55" s="86" t="str">
        <f>A55</f>
        <v>Cargo:</v>
      </c>
      <c r="H55" s="259"/>
      <c r="I55" s="259"/>
      <c r="J55" s="259"/>
      <c r="K55" s="259"/>
    </row>
    <row r="56" spans="1:24" x14ac:dyDescent="0.25">
      <c r="A56" s="86" t="str">
        <f>IF(OR(TipoOrçamento="BASE",TipoOrçamento="REPROGRAMADONPL"),"CREA/CAU:","Empresa:")</f>
        <v>Empresa:</v>
      </c>
      <c r="B56" s="242"/>
      <c r="C56" s="228"/>
      <c r="D56" s="228"/>
      <c r="E56" s="228"/>
      <c r="F56" s="25"/>
      <c r="G56" s="86" t="str">
        <f>A56</f>
        <v>Empresa:</v>
      </c>
      <c r="H56" s="228"/>
      <c r="I56" s="228"/>
      <c r="J56" s="228"/>
      <c r="K56" s="228"/>
    </row>
    <row r="57" spans="1:24" x14ac:dyDescent="0.25">
      <c r="A57" s="86" t="str">
        <f>IF(OR(TipoOrçamento="BASE",TipoOrçamento="REPROGRAMADONPL"),"ART/RRT:","CNPJ:")</f>
        <v>CNPJ:</v>
      </c>
      <c r="B57" s="242"/>
      <c r="C57" s="228"/>
      <c r="D57" s="228"/>
      <c r="E57" s="228"/>
      <c r="F57" s="25"/>
      <c r="G57" s="86" t="str">
        <f>A57</f>
        <v>CNPJ:</v>
      </c>
      <c r="H57" s="228"/>
      <c r="I57" s="228"/>
      <c r="J57" s="228"/>
      <c r="K57" s="228"/>
    </row>
    <row r="58" spans="1:24" x14ac:dyDescent="0.25">
      <c r="F58" s="25"/>
      <c r="G58" s="26"/>
      <c r="H58" s="27"/>
    </row>
    <row r="59" spans="1:24" x14ac:dyDescent="0.25">
      <c r="F59" s="25"/>
      <c r="G59" s="26"/>
      <c r="H59" s="27"/>
    </row>
    <row r="60" spans="1:24" ht="12.75" customHeight="1" x14ac:dyDescent="0.25">
      <c r="A60" s="213" t="s">
        <v>195</v>
      </c>
      <c r="B60" s="213"/>
      <c r="C60" s="214"/>
      <c r="D60" s="214"/>
      <c r="E60" s="214"/>
      <c r="F60" s="214"/>
      <c r="G60" s="214"/>
      <c r="H60" s="214"/>
      <c r="I60" s="214"/>
      <c r="J60" s="214"/>
      <c r="K60" s="214"/>
      <c r="L60" s="214"/>
      <c r="M60" s="214"/>
      <c r="N60" s="214"/>
      <c r="O60" s="214"/>
      <c r="P60" s="214"/>
      <c r="Q60" s="214"/>
      <c r="R60" s="214"/>
      <c r="S60" s="214"/>
      <c r="T60" s="214"/>
      <c r="U60" s="214"/>
      <c r="V60" s="214"/>
      <c r="W60" s="214"/>
      <c r="X60" s="214"/>
    </row>
    <row r="61" spans="1:24" x14ac:dyDescent="0.25">
      <c r="A61" s="40"/>
      <c r="B61" s="40"/>
      <c r="C61" s="41"/>
      <c r="D61" s="41"/>
      <c r="E61" s="41"/>
      <c r="F61" s="41"/>
      <c r="G61" s="41"/>
      <c r="H61" s="41"/>
      <c r="I61" s="41"/>
      <c r="J61" s="41"/>
      <c r="K61" s="41"/>
      <c r="L61" s="41"/>
      <c r="M61" s="41"/>
      <c r="N61" s="41"/>
      <c r="O61" s="41"/>
      <c r="P61" s="41"/>
      <c r="Q61" s="41"/>
      <c r="R61" s="41"/>
      <c r="S61" s="41"/>
      <c r="T61" s="41"/>
      <c r="U61" s="41"/>
      <c r="V61" s="41"/>
      <c r="W61" s="41"/>
      <c r="X61" s="41"/>
    </row>
    <row r="62" spans="1:24" s="137" customFormat="1" ht="12.75" customHeight="1" x14ac:dyDescent="0.25">
      <c r="A62" s="217" t="s">
        <v>196</v>
      </c>
      <c r="B62" s="218"/>
      <c r="C62" s="219"/>
      <c r="D62" s="219"/>
      <c r="E62" s="219"/>
      <c r="F62" s="219"/>
      <c r="G62" s="219"/>
      <c r="H62" s="219"/>
      <c r="I62" s="219"/>
      <c r="J62" s="219"/>
      <c r="K62" s="219"/>
      <c r="L62" s="219"/>
      <c r="M62" s="219"/>
      <c r="N62" s="219"/>
      <c r="O62" s="219"/>
      <c r="P62" s="219"/>
      <c r="Q62" s="219"/>
      <c r="R62" s="219"/>
      <c r="S62" s="219"/>
      <c r="T62" s="219"/>
      <c r="U62" s="219"/>
      <c r="V62" s="219"/>
      <c r="W62" s="219"/>
      <c r="X62" s="219"/>
    </row>
    <row r="63" spans="1:24" ht="30" customHeight="1" x14ac:dyDescent="0.25">
      <c r="A63" s="217" t="s">
        <v>197</v>
      </c>
      <c r="B63" s="217"/>
      <c r="C63" s="260"/>
      <c r="D63" s="260"/>
      <c r="E63" s="260"/>
      <c r="F63" s="260"/>
      <c r="G63" s="260"/>
      <c r="H63" s="260"/>
      <c r="I63" s="260"/>
      <c r="J63" s="260"/>
      <c r="K63" s="260"/>
      <c r="L63" s="260"/>
      <c r="M63" s="260"/>
      <c r="N63" s="260"/>
      <c r="O63" s="260"/>
      <c r="P63" s="260"/>
      <c r="Q63" s="260"/>
      <c r="R63" s="260"/>
      <c r="S63" s="260"/>
      <c r="T63" s="260"/>
      <c r="U63" s="260"/>
      <c r="V63" s="260"/>
      <c r="W63" s="260"/>
      <c r="X63" s="260"/>
    </row>
    <row r="64" spans="1:24" x14ac:dyDescent="0.25">
      <c r="F64" s="25"/>
      <c r="G64" s="26"/>
      <c r="H64" s="27"/>
    </row>
    <row r="65" spans="1:24" ht="12.75" customHeight="1" x14ac:dyDescent="0.25">
      <c r="A65" s="213" t="s">
        <v>198</v>
      </c>
      <c r="B65" s="213"/>
      <c r="C65" s="214"/>
      <c r="D65" s="214"/>
      <c r="E65" s="214"/>
      <c r="F65" s="214"/>
      <c r="G65" s="214"/>
      <c r="H65" s="214"/>
      <c r="I65" s="214"/>
      <c r="J65" s="214"/>
      <c r="K65" s="214"/>
      <c r="L65" s="214"/>
      <c r="M65" s="214"/>
      <c r="N65" s="214"/>
      <c r="O65" s="214"/>
      <c r="P65" s="214"/>
      <c r="Q65" s="214"/>
      <c r="R65" s="214"/>
      <c r="S65" s="214"/>
      <c r="T65" s="214"/>
      <c r="U65" s="214"/>
      <c r="V65" s="214"/>
      <c r="W65" s="214"/>
      <c r="X65" s="214"/>
    </row>
    <row r="66" spans="1:24" x14ac:dyDescent="0.25">
      <c r="A66" s="40"/>
      <c r="B66" s="40"/>
      <c r="C66" s="41"/>
      <c r="D66" s="41"/>
      <c r="E66" s="41"/>
      <c r="F66" s="41"/>
      <c r="G66" s="41"/>
      <c r="H66" s="41"/>
      <c r="I66" s="41"/>
      <c r="J66" s="41"/>
      <c r="K66" s="41"/>
      <c r="L66" s="41"/>
      <c r="M66" s="41"/>
      <c r="N66" s="41"/>
      <c r="O66" s="41"/>
      <c r="P66" s="41"/>
      <c r="Q66" s="41"/>
      <c r="R66" s="41"/>
      <c r="S66" s="41"/>
      <c r="T66" s="41"/>
      <c r="U66" s="41"/>
      <c r="V66" s="41"/>
      <c r="W66" s="41"/>
      <c r="X66" s="41"/>
    </row>
    <row r="67" spans="1:24" ht="12.75" customHeight="1" x14ac:dyDescent="0.25">
      <c r="A67" s="209" t="s">
        <v>199</v>
      </c>
      <c r="B67" s="209"/>
      <c r="C67" s="210"/>
      <c r="D67" s="210"/>
      <c r="E67" s="210"/>
      <c r="F67" s="210"/>
      <c r="G67" s="210"/>
      <c r="H67" s="210"/>
      <c r="I67" s="210"/>
      <c r="J67" s="210"/>
      <c r="K67" s="210"/>
      <c r="L67" s="210"/>
      <c r="M67" s="210"/>
      <c r="N67" s="210"/>
      <c r="O67" s="210"/>
      <c r="P67" s="210"/>
      <c r="Q67" s="210"/>
      <c r="R67" s="210"/>
      <c r="S67" s="210"/>
      <c r="T67" s="210"/>
      <c r="U67" s="210"/>
      <c r="V67" s="210"/>
      <c r="W67" s="210"/>
      <c r="X67" s="210"/>
    </row>
    <row r="68" spans="1:24" x14ac:dyDescent="0.25">
      <c r="A68" s="209" t="s">
        <v>200</v>
      </c>
      <c r="B68" s="209"/>
      <c r="C68" s="210"/>
      <c r="D68" s="210"/>
      <c r="E68" s="210"/>
      <c r="F68" s="210"/>
      <c r="G68" s="210"/>
      <c r="H68" s="210"/>
      <c r="I68" s="210"/>
      <c r="J68" s="210"/>
      <c r="K68" s="210"/>
      <c r="L68" s="210"/>
      <c r="M68" s="210"/>
      <c r="N68" s="210"/>
      <c r="O68" s="210"/>
      <c r="P68" s="210"/>
      <c r="Q68" s="210"/>
      <c r="R68" s="210"/>
      <c r="S68" s="210"/>
      <c r="T68" s="210"/>
      <c r="U68" s="210"/>
      <c r="V68" s="210"/>
      <c r="W68" s="210"/>
      <c r="X68" s="210"/>
    </row>
    <row r="69" spans="1:24" ht="12.75" customHeight="1" x14ac:dyDescent="0.25">
      <c r="A69" s="209" t="s">
        <v>201</v>
      </c>
      <c r="B69" s="209"/>
      <c r="C69" s="210"/>
      <c r="D69" s="210"/>
      <c r="E69" s="210"/>
      <c r="F69" s="210"/>
      <c r="G69" s="210"/>
      <c r="H69" s="210"/>
      <c r="I69" s="210"/>
      <c r="J69" s="210"/>
      <c r="K69" s="210"/>
      <c r="L69" s="210"/>
      <c r="M69" s="210"/>
      <c r="N69" s="210"/>
      <c r="O69" s="210"/>
      <c r="P69" s="210"/>
      <c r="Q69" s="210"/>
      <c r="R69" s="210"/>
      <c r="S69" s="210"/>
      <c r="T69" s="210"/>
      <c r="U69" s="210"/>
      <c r="V69" s="210"/>
      <c r="W69" s="210"/>
      <c r="X69" s="210"/>
    </row>
    <row r="70" spans="1:24" ht="12.75" customHeight="1" x14ac:dyDescent="0.25">
      <c r="A70" s="209" t="s">
        <v>202</v>
      </c>
      <c r="B70" s="209"/>
      <c r="C70" s="210"/>
      <c r="D70" s="210"/>
      <c r="E70" s="210"/>
      <c r="F70" s="210"/>
      <c r="G70" s="210"/>
      <c r="H70" s="210"/>
      <c r="I70" s="210"/>
      <c r="J70" s="210"/>
      <c r="K70" s="210"/>
      <c r="L70" s="210"/>
      <c r="M70" s="210"/>
      <c r="N70" s="210"/>
      <c r="O70" s="210"/>
      <c r="P70" s="210"/>
      <c r="Q70" s="210"/>
      <c r="R70" s="210"/>
      <c r="S70" s="210"/>
      <c r="T70" s="210"/>
      <c r="U70" s="210"/>
      <c r="V70" s="210"/>
      <c r="W70" s="210"/>
      <c r="X70" s="210"/>
    </row>
    <row r="71" spans="1:24" ht="12.75" customHeight="1" x14ac:dyDescent="0.25">
      <c r="A71" s="209" t="s">
        <v>203</v>
      </c>
      <c r="B71" s="209"/>
      <c r="C71" s="210"/>
      <c r="D71" s="210"/>
      <c r="E71" s="210"/>
      <c r="F71" s="210"/>
      <c r="G71" s="210"/>
      <c r="H71" s="210"/>
      <c r="I71" s="210"/>
      <c r="J71" s="210"/>
      <c r="K71" s="210"/>
      <c r="L71" s="210"/>
      <c r="M71" s="210"/>
      <c r="N71" s="210"/>
      <c r="O71" s="210"/>
      <c r="P71" s="210"/>
      <c r="Q71" s="210"/>
      <c r="R71" s="210"/>
      <c r="S71" s="210"/>
      <c r="T71" s="210"/>
      <c r="U71" s="210"/>
      <c r="V71" s="210"/>
      <c r="W71" s="210"/>
      <c r="X71" s="210"/>
    </row>
    <row r="72" spans="1:24" ht="12.75" customHeight="1" x14ac:dyDescent="0.25">
      <c r="A72" s="209" t="s">
        <v>204</v>
      </c>
      <c r="B72" s="209"/>
      <c r="C72" s="210"/>
      <c r="D72" s="210"/>
      <c r="E72" s="210"/>
      <c r="F72" s="210"/>
      <c r="G72" s="210"/>
      <c r="H72" s="210"/>
      <c r="I72" s="210"/>
      <c r="J72" s="210"/>
      <c r="K72" s="210"/>
      <c r="L72" s="210"/>
      <c r="M72" s="210"/>
      <c r="N72" s="210"/>
      <c r="O72" s="210"/>
      <c r="P72" s="210"/>
      <c r="Q72" s="210"/>
      <c r="R72" s="210"/>
      <c r="S72" s="210"/>
      <c r="T72" s="210"/>
      <c r="U72" s="210"/>
      <c r="V72" s="210"/>
      <c r="W72" s="210"/>
      <c r="X72" s="210"/>
    </row>
    <row r="73" spans="1:24" x14ac:dyDescent="0.25">
      <c r="F73" s="25"/>
      <c r="G73" s="26"/>
      <c r="H73" s="27"/>
    </row>
    <row r="74" spans="1:24" ht="12.75" customHeight="1" x14ac:dyDescent="0.25">
      <c r="A74" s="213" t="s">
        <v>205</v>
      </c>
      <c r="B74" s="213"/>
      <c r="C74" s="214"/>
      <c r="D74" s="214"/>
      <c r="E74" s="214"/>
      <c r="F74" s="214"/>
      <c r="G74" s="214"/>
      <c r="H74" s="214"/>
      <c r="I74" s="214"/>
      <c r="J74" s="214"/>
      <c r="K74" s="214"/>
      <c r="L74" s="214"/>
      <c r="M74" s="214"/>
      <c r="N74" s="214"/>
      <c r="O74" s="214"/>
      <c r="P74" s="214"/>
      <c r="Q74" s="214"/>
      <c r="R74" s="214"/>
      <c r="S74" s="214"/>
      <c r="T74" s="214"/>
      <c r="U74" s="214"/>
      <c r="V74" s="214"/>
      <c r="W74" s="214"/>
      <c r="X74" s="214"/>
    </row>
    <row r="75" spans="1:24" x14ac:dyDescent="0.25">
      <c r="A75" s="40"/>
      <c r="B75" s="40"/>
      <c r="C75" s="41"/>
      <c r="D75" s="41"/>
      <c r="E75" s="41"/>
      <c r="F75" s="41"/>
      <c r="G75" s="41"/>
      <c r="H75" s="41"/>
      <c r="I75" s="41"/>
      <c r="J75" s="41"/>
      <c r="K75" s="41"/>
      <c r="L75" s="41"/>
      <c r="M75" s="41"/>
      <c r="N75" s="41"/>
      <c r="O75" s="41"/>
      <c r="P75" s="41"/>
      <c r="Q75" s="41"/>
      <c r="R75" s="41"/>
      <c r="S75" s="41"/>
      <c r="T75" s="41"/>
      <c r="U75" s="41"/>
      <c r="V75" s="41"/>
      <c r="W75" s="41"/>
      <c r="X75" s="41"/>
    </row>
    <row r="76" spans="1:24" ht="12.75" customHeight="1" x14ac:dyDescent="0.25">
      <c r="A76" s="209" t="s">
        <v>206</v>
      </c>
      <c r="B76" s="209"/>
      <c r="C76" s="210"/>
      <c r="D76" s="210"/>
      <c r="E76" s="210"/>
      <c r="F76" s="210"/>
      <c r="G76" s="210"/>
      <c r="H76" s="210"/>
      <c r="I76" s="210"/>
      <c r="J76" s="210"/>
      <c r="K76" s="210"/>
      <c r="L76" s="210"/>
      <c r="M76" s="210"/>
      <c r="N76" s="210"/>
      <c r="O76" s="210"/>
      <c r="P76" s="210"/>
      <c r="Q76" s="210"/>
      <c r="R76" s="210"/>
      <c r="S76" s="210"/>
      <c r="T76" s="210"/>
      <c r="U76" s="210"/>
      <c r="V76" s="210"/>
      <c r="W76" s="210"/>
      <c r="X76" s="210"/>
    </row>
    <row r="77" spans="1:24" ht="26.1" customHeight="1" x14ac:dyDescent="0.25">
      <c r="A77" s="205" t="s">
        <v>207</v>
      </c>
      <c r="B77" s="205"/>
      <c r="C77" s="206"/>
      <c r="D77" s="206"/>
      <c r="E77" s="206"/>
      <c r="F77" s="206"/>
      <c r="G77" s="206"/>
      <c r="H77" s="206"/>
      <c r="I77" s="206"/>
      <c r="J77" s="206"/>
      <c r="K77" s="206"/>
      <c r="L77" s="206"/>
      <c r="M77" s="206"/>
      <c r="N77" s="206"/>
      <c r="O77" s="206"/>
      <c r="P77" s="206"/>
      <c r="Q77" s="206"/>
      <c r="R77" s="206"/>
      <c r="S77" s="206"/>
      <c r="T77" s="206"/>
      <c r="U77" s="206"/>
      <c r="V77" s="206"/>
      <c r="W77" s="206"/>
      <c r="X77" s="206"/>
    </row>
    <row r="78" spans="1:24" ht="12.75" customHeight="1" x14ac:dyDescent="0.25">
      <c r="A78" s="209" t="s">
        <v>208</v>
      </c>
      <c r="B78" s="209"/>
      <c r="C78" s="210"/>
      <c r="D78" s="210"/>
      <c r="E78" s="210"/>
      <c r="F78" s="210"/>
      <c r="G78" s="210"/>
      <c r="H78" s="210"/>
      <c r="I78" s="210"/>
      <c r="J78" s="210"/>
      <c r="K78" s="210"/>
      <c r="L78" s="210"/>
      <c r="M78" s="210"/>
      <c r="N78" s="210"/>
      <c r="O78" s="210"/>
      <c r="P78" s="210"/>
      <c r="Q78" s="210"/>
      <c r="R78" s="210"/>
      <c r="S78" s="210"/>
      <c r="T78" s="210"/>
      <c r="U78" s="210"/>
      <c r="V78" s="210"/>
      <c r="W78" s="210"/>
      <c r="X78" s="210"/>
    </row>
    <row r="79" spans="1:24" ht="25.5" customHeight="1" x14ac:dyDescent="0.25">
      <c r="A79" s="209" t="s">
        <v>209</v>
      </c>
      <c r="B79" s="209"/>
      <c r="C79" s="210"/>
      <c r="D79" s="210"/>
      <c r="E79" s="210"/>
      <c r="F79" s="210"/>
      <c r="G79" s="210"/>
      <c r="H79" s="210"/>
      <c r="I79" s="210"/>
      <c r="J79" s="210"/>
      <c r="K79" s="210"/>
      <c r="L79" s="210"/>
      <c r="M79" s="210"/>
      <c r="N79" s="210"/>
      <c r="O79" s="210"/>
      <c r="P79" s="210"/>
      <c r="Q79" s="210"/>
      <c r="R79" s="210"/>
      <c r="S79" s="210"/>
      <c r="T79" s="210"/>
      <c r="U79" s="210"/>
      <c r="V79" s="210"/>
      <c r="W79" s="210"/>
      <c r="X79" s="210"/>
    </row>
    <row r="80" spans="1:24" x14ac:dyDescent="0.25">
      <c r="A80" s="205" t="s">
        <v>210</v>
      </c>
      <c r="B80" s="205"/>
      <c r="C80" s="206"/>
      <c r="D80" s="206"/>
      <c r="E80" s="206"/>
      <c r="F80" s="206"/>
      <c r="G80" s="206"/>
      <c r="H80" s="206"/>
      <c r="I80" s="206"/>
      <c r="J80" s="206"/>
      <c r="K80" s="206"/>
      <c r="L80" s="206"/>
      <c r="M80" s="206"/>
      <c r="N80" s="206"/>
      <c r="O80" s="206"/>
      <c r="P80" s="206"/>
      <c r="Q80" s="206"/>
      <c r="R80" s="206"/>
      <c r="S80" s="206"/>
      <c r="T80" s="206"/>
      <c r="U80" s="206"/>
      <c r="V80" s="206"/>
      <c r="W80" s="206"/>
      <c r="X80" s="206"/>
    </row>
    <row r="81" spans="1:24" ht="12.75" customHeight="1" x14ac:dyDescent="0.25">
      <c r="A81" s="209" t="s">
        <v>211</v>
      </c>
      <c r="B81" s="209"/>
      <c r="C81" s="210"/>
      <c r="D81" s="210"/>
      <c r="E81" s="210"/>
      <c r="F81" s="210"/>
      <c r="G81" s="210"/>
      <c r="H81" s="210"/>
      <c r="I81" s="210"/>
      <c r="J81" s="210"/>
      <c r="K81" s="210"/>
      <c r="L81" s="210"/>
      <c r="M81" s="210"/>
      <c r="N81" s="210"/>
      <c r="O81" s="210"/>
      <c r="P81" s="210"/>
      <c r="Q81" s="210"/>
      <c r="R81" s="210"/>
      <c r="S81" s="210"/>
      <c r="T81" s="210"/>
      <c r="U81" s="210"/>
      <c r="V81" s="210"/>
      <c r="W81" s="210"/>
      <c r="X81" s="210"/>
    </row>
    <row r="82" spans="1:24" ht="26.1" customHeight="1" x14ac:dyDescent="0.25">
      <c r="A82" s="209" t="s">
        <v>212</v>
      </c>
      <c r="B82" s="209"/>
      <c r="C82" s="210"/>
      <c r="D82" s="210"/>
      <c r="E82" s="210"/>
      <c r="F82" s="210"/>
      <c r="G82" s="210"/>
      <c r="H82" s="210"/>
      <c r="I82" s="210"/>
      <c r="J82" s="210"/>
      <c r="K82" s="210"/>
      <c r="L82" s="210"/>
      <c r="M82" s="210"/>
      <c r="N82" s="210"/>
      <c r="O82" s="210"/>
      <c r="P82" s="210"/>
      <c r="Q82" s="210"/>
      <c r="R82" s="210"/>
      <c r="S82" s="210"/>
      <c r="T82" s="210"/>
      <c r="U82" s="210"/>
      <c r="V82" s="210"/>
      <c r="W82" s="210"/>
      <c r="X82" s="210"/>
    </row>
    <row r="83" spans="1:24" ht="26.1" customHeight="1" x14ac:dyDescent="0.25">
      <c r="A83" s="209" t="s">
        <v>213</v>
      </c>
      <c r="B83" s="209"/>
      <c r="C83" s="210"/>
      <c r="D83" s="210"/>
      <c r="E83" s="210"/>
      <c r="F83" s="210"/>
      <c r="G83" s="210"/>
      <c r="H83" s="210"/>
      <c r="I83" s="210"/>
      <c r="J83" s="210"/>
      <c r="K83" s="210"/>
      <c r="L83" s="210"/>
      <c r="M83" s="210"/>
      <c r="N83" s="210"/>
      <c r="O83" s="210"/>
      <c r="P83" s="210"/>
      <c r="Q83" s="210"/>
      <c r="R83" s="210"/>
      <c r="S83" s="210"/>
      <c r="T83" s="210"/>
      <c r="U83" s="210"/>
      <c r="V83" s="210"/>
      <c r="W83" s="210"/>
      <c r="X83" s="210"/>
    </row>
    <row r="84" spans="1:24" ht="12.75" customHeight="1" x14ac:dyDescent="0.25">
      <c r="A84" s="209" t="s">
        <v>214</v>
      </c>
      <c r="B84" s="209"/>
      <c r="C84" s="210"/>
      <c r="D84" s="210"/>
      <c r="E84" s="210"/>
      <c r="F84" s="210"/>
      <c r="G84" s="210"/>
      <c r="H84" s="210"/>
      <c r="I84" s="210"/>
      <c r="J84" s="210"/>
      <c r="K84" s="210"/>
      <c r="L84" s="210"/>
      <c r="M84" s="210"/>
      <c r="N84" s="210"/>
      <c r="O84" s="210"/>
      <c r="P84" s="210"/>
      <c r="Q84" s="210"/>
      <c r="R84" s="210"/>
      <c r="S84" s="210"/>
      <c r="T84" s="210"/>
      <c r="U84" s="210"/>
      <c r="V84" s="210"/>
      <c r="W84" s="210"/>
      <c r="X84" s="210"/>
    </row>
    <row r="85" spans="1:24" x14ac:dyDescent="0.25">
      <c r="A85" s="209" t="s">
        <v>215</v>
      </c>
      <c r="B85" s="209"/>
      <c r="C85" s="210"/>
      <c r="D85" s="210"/>
      <c r="E85" s="210"/>
      <c r="F85" s="210"/>
      <c r="G85" s="210"/>
      <c r="H85" s="210"/>
      <c r="I85" s="210"/>
      <c r="J85" s="210"/>
      <c r="K85" s="210"/>
      <c r="L85" s="210"/>
      <c r="M85" s="210"/>
      <c r="N85" s="210"/>
      <c r="O85" s="210"/>
      <c r="P85" s="210"/>
      <c r="Q85" s="210"/>
      <c r="R85" s="210"/>
      <c r="S85" s="210"/>
      <c r="T85" s="210"/>
      <c r="U85" s="210"/>
      <c r="V85" s="210"/>
      <c r="W85" s="210"/>
      <c r="X85" s="210"/>
    </row>
    <row r="86" spans="1:24" ht="12.75" customHeight="1" x14ac:dyDescent="0.25">
      <c r="A86" s="205" t="s">
        <v>216</v>
      </c>
      <c r="B86" s="205"/>
      <c r="C86" s="206"/>
      <c r="D86" s="206"/>
      <c r="E86" s="206"/>
      <c r="F86" s="206"/>
      <c r="G86" s="206"/>
      <c r="H86" s="206"/>
      <c r="I86" s="206"/>
      <c r="J86" s="206"/>
      <c r="K86" s="206"/>
      <c r="L86" s="206"/>
      <c r="M86" s="206"/>
      <c r="N86" s="206"/>
      <c r="O86" s="206"/>
      <c r="P86" s="206"/>
      <c r="Q86" s="206"/>
      <c r="R86" s="206"/>
      <c r="S86" s="206"/>
      <c r="T86" s="206"/>
      <c r="U86" s="206"/>
      <c r="V86" s="206"/>
      <c r="W86" s="206"/>
      <c r="X86" s="206"/>
    </row>
    <row r="87" spans="1:24" x14ac:dyDescent="0.25">
      <c r="A87" s="209" t="s">
        <v>217</v>
      </c>
      <c r="B87" s="209"/>
      <c r="C87" s="210"/>
      <c r="D87" s="210"/>
      <c r="E87" s="210"/>
      <c r="F87" s="210"/>
      <c r="G87" s="210"/>
      <c r="H87" s="210"/>
      <c r="I87" s="210"/>
      <c r="J87" s="210"/>
      <c r="K87" s="210"/>
      <c r="L87" s="210"/>
      <c r="M87" s="210"/>
      <c r="N87" s="210"/>
      <c r="O87" s="210"/>
      <c r="P87" s="210"/>
      <c r="Q87" s="210"/>
      <c r="R87" s="210"/>
      <c r="S87" s="210"/>
      <c r="T87" s="210"/>
      <c r="U87" s="210"/>
      <c r="V87" s="210"/>
      <c r="W87" s="210"/>
      <c r="X87" s="210"/>
    </row>
    <row r="88" spans="1:24" x14ac:dyDescent="0.25">
      <c r="A88" s="209" t="s">
        <v>218</v>
      </c>
      <c r="B88" s="209"/>
      <c r="C88" s="210"/>
      <c r="D88" s="210"/>
      <c r="E88" s="210"/>
      <c r="F88" s="210"/>
      <c r="G88" s="210"/>
      <c r="H88" s="210"/>
      <c r="I88" s="210"/>
      <c r="J88" s="210"/>
      <c r="K88" s="210"/>
      <c r="L88" s="210"/>
      <c r="M88" s="210"/>
      <c r="N88" s="210"/>
      <c r="O88" s="210"/>
      <c r="P88" s="210"/>
      <c r="Q88" s="210"/>
      <c r="R88" s="210"/>
      <c r="S88" s="210"/>
      <c r="T88" s="210"/>
      <c r="U88" s="210"/>
      <c r="V88" s="210"/>
      <c r="W88" s="210"/>
      <c r="X88" s="210"/>
    </row>
    <row r="90" spans="1:24" x14ac:dyDescent="0.25">
      <c r="A90" s="213" t="s">
        <v>219</v>
      </c>
      <c r="B90" s="213"/>
      <c r="C90" s="214"/>
      <c r="D90" s="214"/>
      <c r="E90" s="214"/>
      <c r="F90" s="214"/>
      <c r="G90" s="214"/>
      <c r="H90" s="214"/>
      <c r="I90" s="214"/>
      <c r="J90" s="214"/>
      <c r="K90" s="214"/>
      <c r="L90" s="214"/>
      <c r="M90" s="214"/>
      <c r="N90" s="214"/>
      <c r="O90" s="214"/>
      <c r="P90" s="214"/>
      <c r="Q90" s="214"/>
      <c r="R90" s="214"/>
      <c r="S90" s="214"/>
      <c r="T90" s="214"/>
      <c r="U90" s="214"/>
      <c r="V90" s="214"/>
      <c r="W90" s="214"/>
      <c r="X90" s="214"/>
    </row>
    <row r="91" spans="1:24" x14ac:dyDescent="0.25">
      <c r="A91" s="40"/>
      <c r="B91" s="40"/>
      <c r="C91" s="41"/>
      <c r="D91" s="41"/>
      <c r="E91" s="41"/>
      <c r="F91" s="41"/>
      <c r="G91" s="41"/>
      <c r="H91" s="41"/>
      <c r="I91" s="41"/>
      <c r="J91" s="41"/>
      <c r="K91" s="41"/>
      <c r="L91" s="41"/>
      <c r="M91" s="41"/>
      <c r="N91" s="41"/>
      <c r="O91" s="41"/>
      <c r="P91" s="41"/>
      <c r="Q91" s="41"/>
      <c r="R91" s="41"/>
      <c r="S91" s="41"/>
      <c r="T91" s="41"/>
      <c r="U91" s="41"/>
      <c r="V91" s="41"/>
      <c r="W91" s="41"/>
      <c r="X91" s="41"/>
    </row>
    <row r="92" spans="1:24" x14ac:dyDescent="0.25">
      <c r="A92" s="209" t="s">
        <v>220</v>
      </c>
      <c r="B92" s="209"/>
      <c r="C92" s="210"/>
      <c r="D92" s="210"/>
      <c r="E92" s="210"/>
      <c r="F92" s="210"/>
      <c r="G92" s="210"/>
      <c r="H92" s="210"/>
      <c r="I92" s="210"/>
      <c r="J92" s="210"/>
      <c r="K92" s="210"/>
      <c r="L92" s="210"/>
      <c r="M92" s="210"/>
      <c r="N92" s="210"/>
      <c r="O92" s="210"/>
      <c r="P92" s="210"/>
      <c r="Q92" s="210"/>
      <c r="R92" s="210"/>
      <c r="S92" s="210"/>
      <c r="T92" s="210"/>
      <c r="U92" s="210"/>
      <c r="V92" s="210"/>
      <c r="W92" s="210"/>
      <c r="X92" s="210"/>
    </row>
    <row r="93" spans="1:24" ht="12.75" customHeight="1" x14ac:dyDescent="0.25">
      <c r="A93" s="205" t="s">
        <v>221</v>
      </c>
      <c r="B93" s="205"/>
      <c r="C93" s="206"/>
      <c r="D93" s="206"/>
      <c r="E93" s="206"/>
      <c r="F93" s="206"/>
      <c r="G93" s="206"/>
      <c r="H93" s="206"/>
      <c r="I93" s="206"/>
      <c r="J93" s="206"/>
      <c r="K93" s="206"/>
      <c r="L93" s="206"/>
      <c r="M93" s="206"/>
      <c r="N93" s="206"/>
      <c r="O93" s="206"/>
      <c r="P93" s="206"/>
      <c r="Q93" s="206"/>
      <c r="R93" s="206"/>
      <c r="S93" s="206"/>
      <c r="T93" s="206"/>
      <c r="U93" s="206"/>
      <c r="V93" s="206"/>
      <c r="W93" s="206"/>
      <c r="X93" s="206"/>
    </row>
    <row r="94" spans="1:24" ht="12.75" customHeight="1" x14ac:dyDescent="0.25">
      <c r="A94" s="209" t="s">
        <v>222</v>
      </c>
      <c r="B94" s="209"/>
      <c r="C94" s="210"/>
      <c r="D94" s="210"/>
      <c r="E94" s="210"/>
      <c r="F94" s="210"/>
      <c r="G94" s="210"/>
      <c r="H94" s="210"/>
      <c r="I94" s="210"/>
      <c r="J94" s="210"/>
      <c r="K94" s="210"/>
      <c r="L94" s="210"/>
      <c r="M94" s="210"/>
      <c r="N94" s="210"/>
      <c r="O94" s="210"/>
      <c r="P94" s="210"/>
      <c r="Q94" s="210"/>
      <c r="R94" s="210"/>
      <c r="S94" s="210"/>
      <c r="T94" s="210"/>
      <c r="U94" s="210"/>
      <c r="V94" s="210"/>
      <c r="W94" s="210"/>
      <c r="X94" s="210"/>
    </row>
    <row r="95" spans="1:24" x14ac:dyDescent="0.25">
      <c r="A95" s="209" t="s">
        <v>223</v>
      </c>
      <c r="B95" s="209"/>
      <c r="C95" s="210"/>
      <c r="D95" s="210"/>
      <c r="E95" s="210"/>
      <c r="F95" s="210"/>
      <c r="G95" s="210"/>
      <c r="H95" s="210"/>
      <c r="I95" s="210"/>
      <c r="J95" s="210"/>
      <c r="K95" s="210"/>
      <c r="L95" s="210"/>
      <c r="M95" s="210"/>
      <c r="N95" s="210"/>
      <c r="O95" s="210"/>
      <c r="P95" s="210"/>
      <c r="Q95" s="210"/>
      <c r="R95" s="210"/>
      <c r="S95" s="210"/>
      <c r="T95" s="210"/>
      <c r="U95" s="210"/>
      <c r="V95" s="210"/>
      <c r="W95" s="210"/>
      <c r="X95" s="210"/>
    </row>
    <row r="96" spans="1:24" ht="12.75" customHeight="1" x14ac:dyDescent="0.25">
      <c r="A96" s="205"/>
      <c r="B96" s="205"/>
      <c r="C96" s="206"/>
      <c r="D96" s="206"/>
      <c r="E96" s="206"/>
      <c r="F96" s="206"/>
      <c r="G96" s="206"/>
      <c r="H96" s="206"/>
      <c r="I96" s="206"/>
      <c r="J96" s="206"/>
      <c r="K96" s="206"/>
      <c r="L96" s="206"/>
      <c r="M96" s="206"/>
      <c r="N96" s="206"/>
      <c r="O96" s="206"/>
      <c r="P96" s="206"/>
      <c r="Q96" s="206"/>
      <c r="R96" s="206"/>
      <c r="S96" s="206"/>
      <c r="T96" s="206"/>
      <c r="U96" s="206"/>
      <c r="V96" s="206"/>
      <c r="W96" s="206"/>
      <c r="X96" s="206"/>
    </row>
    <row r="97" spans="1:24" x14ac:dyDescent="0.25">
      <c r="A97" s="213" t="s">
        <v>224</v>
      </c>
      <c r="B97" s="213"/>
      <c r="C97" s="214"/>
      <c r="D97" s="214"/>
      <c r="E97" s="214"/>
      <c r="F97" s="214"/>
      <c r="G97" s="214"/>
      <c r="H97" s="214"/>
      <c r="I97" s="214"/>
      <c r="J97" s="214"/>
      <c r="K97" s="214"/>
      <c r="L97" s="214"/>
      <c r="M97" s="214"/>
      <c r="N97" s="214"/>
      <c r="O97" s="214"/>
      <c r="P97" s="214"/>
      <c r="Q97" s="214"/>
      <c r="R97" s="214"/>
      <c r="S97" s="214"/>
      <c r="T97" s="214"/>
      <c r="U97" s="214"/>
      <c r="V97" s="214"/>
      <c r="W97" s="214"/>
      <c r="X97" s="214"/>
    </row>
    <row r="98" spans="1:24" ht="12.75" customHeight="1" x14ac:dyDescent="0.25">
      <c r="A98" s="205"/>
      <c r="B98" s="205"/>
      <c r="C98" s="206"/>
      <c r="D98" s="206"/>
      <c r="E98" s="206"/>
      <c r="F98" s="206"/>
      <c r="G98" s="206"/>
      <c r="H98" s="206"/>
      <c r="I98" s="206"/>
      <c r="J98" s="206"/>
      <c r="K98" s="206"/>
      <c r="L98" s="206"/>
      <c r="M98" s="206"/>
      <c r="N98" s="206"/>
      <c r="O98" s="206"/>
      <c r="P98" s="206"/>
      <c r="Q98" s="206"/>
      <c r="R98" s="206"/>
      <c r="S98" s="206"/>
      <c r="T98" s="206"/>
      <c r="U98" s="206"/>
      <c r="V98" s="206"/>
      <c r="W98" s="206"/>
      <c r="X98" s="206"/>
    </row>
    <row r="99" spans="1:24" ht="12.75" customHeight="1" x14ac:dyDescent="0.25">
      <c r="A99" s="209" t="s">
        <v>225</v>
      </c>
      <c r="B99" s="209"/>
      <c r="C99" s="210"/>
      <c r="D99" s="210"/>
      <c r="E99" s="210"/>
      <c r="F99" s="210"/>
      <c r="G99" s="210"/>
      <c r="H99" s="210"/>
      <c r="I99" s="210"/>
      <c r="J99" s="210"/>
      <c r="K99" s="210"/>
      <c r="L99" s="210"/>
      <c r="M99" s="210"/>
      <c r="N99" s="210"/>
      <c r="O99" s="210"/>
      <c r="P99" s="210"/>
      <c r="Q99" s="210"/>
      <c r="R99" s="210"/>
      <c r="S99" s="210"/>
      <c r="T99" s="210"/>
      <c r="U99" s="210"/>
      <c r="V99" s="210"/>
      <c r="W99" s="210"/>
      <c r="X99" s="210"/>
    </row>
    <row r="100" spans="1:24" ht="12.75" customHeight="1" x14ac:dyDescent="0.25">
      <c r="A100" s="209" t="s">
        <v>226</v>
      </c>
      <c r="B100" s="209"/>
      <c r="C100" s="210"/>
      <c r="D100" s="210"/>
      <c r="E100" s="210"/>
      <c r="F100" s="210"/>
      <c r="G100" s="210"/>
      <c r="H100" s="210"/>
      <c r="I100" s="210"/>
      <c r="J100" s="210"/>
      <c r="K100" s="210"/>
      <c r="L100" s="210"/>
      <c r="M100" s="210"/>
      <c r="N100" s="210"/>
      <c r="O100" s="210"/>
      <c r="P100" s="210"/>
      <c r="Q100" s="210"/>
      <c r="R100" s="210"/>
      <c r="S100" s="210"/>
      <c r="T100" s="210"/>
      <c r="U100" s="210"/>
      <c r="V100" s="210"/>
      <c r="W100" s="210"/>
      <c r="X100" s="210"/>
    </row>
    <row r="101" spans="1:24" x14ac:dyDescent="0.25">
      <c r="A101" s="209" t="s">
        <v>227</v>
      </c>
      <c r="B101" s="209"/>
      <c r="C101" s="210"/>
      <c r="D101" s="210"/>
      <c r="E101" s="210"/>
      <c r="F101" s="210"/>
      <c r="G101" s="210"/>
      <c r="H101" s="210"/>
      <c r="I101" s="210"/>
      <c r="J101" s="210"/>
      <c r="K101" s="210"/>
      <c r="L101" s="210"/>
      <c r="M101" s="210"/>
      <c r="N101" s="210"/>
      <c r="O101" s="210"/>
      <c r="P101" s="210"/>
      <c r="Q101" s="210"/>
      <c r="R101" s="210"/>
      <c r="S101" s="210"/>
      <c r="T101" s="210"/>
      <c r="U101" s="210"/>
      <c r="V101" s="210"/>
      <c r="W101" s="210"/>
      <c r="X101" s="210"/>
    </row>
    <row r="102" spans="1:24" ht="12.75" customHeight="1" x14ac:dyDescent="0.25">
      <c r="A102" s="18"/>
      <c r="B102" s="18"/>
      <c r="C102" s="24"/>
      <c r="D102" s="24"/>
      <c r="E102" s="24"/>
      <c r="F102" s="24"/>
      <c r="G102" s="24"/>
      <c r="H102" s="24"/>
      <c r="I102" s="24"/>
      <c r="J102" s="24"/>
      <c r="K102" s="24"/>
      <c r="L102" s="24"/>
      <c r="M102" s="24"/>
      <c r="N102" s="24"/>
      <c r="O102" s="24"/>
      <c r="P102" s="24"/>
      <c r="Q102" s="24"/>
      <c r="R102" s="24"/>
      <c r="S102" s="24"/>
      <c r="T102" s="24"/>
      <c r="U102" s="24"/>
      <c r="V102" s="24"/>
      <c r="W102" s="24"/>
      <c r="X102" s="24"/>
    </row>
    <row r="103" spans="1:24" ht="12.75" customHeight="1" x14ac:dyDescent="0.25">
      <c r="A103" s="18"/>
      <c r="B103" s="18"/>
      <c r="C103" s="24"/>
      <c r="D103" s="24"/>
      <c r="E103" s="24"/>
      <c r="F103" s="24"/>
      <c r="G103" s="24"/>
      <c r="H103" s="24"/>
      <c r="I103" s="24"/>
      <c r="J103" s="24"/>
      <c r="K103" s="24"/>
      <c r="L103" s="24"/>
      <c r="M103" s="24"/>
      <c r="N103" s="24"/>
      <c r="O103" s="24"/>
      <c r="P103" s="24"/>
      <c r="Q103" s="24"/>
      <c r="R103" s="24"/>
      <c r="S103" s="24"/>
      <c r="T103" s="24"/>
      <c r="U103" s="24"/>
      <c r="V103" s="24"/>
      <c r="W103" s="24"/>
      <c r="X103" s="24"/>
    </row>
    <row r="104" spans="1:24" ht="12.75" customHeight="1" x14ac:dyDescent="0.25">
      <c r="A104" s="18"/>
      <c r="B104" s="18"/>
      <c r="C104" s="24"/>
      <c r="D104" s="24"/>
      <c r="E104" s="24"/>
      <c r="F104" s="24"/>
      <c r="G104" s="24"/>
      <c r="H104" s="24"/>
      <c r="I104" s="24"/>
      <c r="J104" s="24"/>
      <c r="K104" s="24"/>
      <c r="L104" s="24"/>
      <c r="M104" s="24"/>
      <c r="N104" s="24"/>
      <c r="O104" s="24"/>
      <c r="P104" s="24"/>
      <c r="Q104" s="24"/>
      <c r="R104" s="24"/>
      <c r="S104" s="24"/>
      <c r="T104" s="24"/>
      <c r="U104" s="24"/>
      <c r="V104" s="24"/>
      <c r="W104" s="24"/>
      <c r="X104" s="24"/>
    </row>
    <row r="105" spans="1:24" ht="12.75" customHeight="1" x14ac:dyDescent="0.25">
      <c r="A105" s="18"/>
      <c r="B105" s="18"/>
      <c r="C105" s="24"/>
      <c r="D105" s="24"/>
      <c r="E105" s="24"/>
      <c r="F105" s="24"/>
      <c r="G105" s="24"/>
      <c r="H105" s="24"/>
      <c r="I105" s="24"/>
      <c r="J105" s="24"/>
      <c r="K105" s="24"/>
      <c r="L105" s="24"/>
      <c r="M105" s="24"/>
      <c r="N105" s="24"/>
      <c r="O105" s="24"/>
      <c r="P105" s="24"/>
      <c r="Q105" s="24"/>
      <c r="R105" s="24"/>
      <c r="S105" s="24"/>
      <c r="T105" s="24"/>
      <c r="U105" s="24"/>
      <c r="V105" s="24"/>
      <c r="W105" s="24"/>
      <c r="X105" s="24"/>
    </row>
    <row r="106" spans="1:24" ht="12.75" customHeight="1" x14ac:dyDescent="0.25"/>
    <row r="107" spans="1:24" x14ac:dyDescent="0.25">
      <c r="A107"/>
      <c r="F107"/>
      <c r="H107" s="10"/>
      <c r="L107" s="1" t="s">
        <v>131</v>
      </c>
      <c r="O107" s="1"/>
      <c r="P107" s="10"/>
      <c r="Q107" s="1"/>
    </row>
    <row r="108" spans="1:24" ht="12.75" customHeight="1" x14ac:dyDescent="0.25">
      <c r="A108"/>
      <c r="F108"/>
      <c r="G108" s="23"/>
      <c r="H108" s="23"/>
      <c r="L108" s="1" t="s">
        <v>132</v>
      </c>
      <c r="P108" s="23"/>
      <c r="S108" s="175">
        <f ca="1">T38</f>
        <v>0.25</v>
      </c>
    </row>
    <row r="109" spans="1:24" x14ac:dyDescent="0.25">
      <c r="A109"/>
      <c r="F109"/>
      <c r="G109" s="23"/>
      <c r="H109" s="23"/>
      <c r="L109" s="1" t="s">
        <v>133</v>
      </c>
      <c r="P109" s="23"/>
      <c r="S109" s="175">
        <f ca="1">U38</f>
        <v>0.09</v>
      </c>
    </row>
    <row r="110" spans="1:24" ht="12.75" customHeight="1" x14ac:dyDescent="0.25">
      <c r="A110"/>
      <c r="F110"/>
      <c r="G110" s="23"/>
      <c r="H110" s="23"/>
      <c r="L110" s="1" t="s">
        <v>134</v>
      </c>
      <c r="P110" s="23"/>
      <c r="S110" s="175" t="str">
        <f ca="1">V38</f>
        <v/>
      </c>
    </row>
    <row r="111" spans="1:24" x14ac:dyDescent="0.25">
      <c r="A111"/>
      <c r="F111"/>
      <c r="G111" s="23"/>
      <c r="H111" s="23"/>
      <c r="L111" s="1" t="s">
        <v>135</v>
      </c>
      <c r="P111" s="23"/>
      <c r="S111" s="175" t="str">
        <f ca="1">W38</f>
        <v/>
      </c>
    </row>
    <row r="112" spans="1:24" ht="12.75" customHeight="1" x14ac:dyDescent="0.25">
      <c r="A112"/>
      <c r="F112"/>
      <c r="G112" s="23"/>
      <c r="H112" s="23"/>
      <c r="L112" s="1" t="s">
        <v>136</v>
      </c>
      <c r="P112" s="23"/>
      <c r="S112" s="175" t="str">
        <f ca="1">X38</f>
        <v/>
      </c>
    </row>
    <row r="113" spans="1:16" x14ac:dyDescent="0.25">
      <c r="A113"/>
      <c r="H113" s="10"/>
      <c r="L113" s="1" t="s">
        <v>66</v>
      </c>
    </row>
    <row r="114" spans="1:16" ht="12.75" customHeight="1" x14ac:dyDescent="0.25">
      <c r="A114"/>
      <c r="H114" s="10"/>
      <c r="L114" s="1" t="s">
        <v>67</v>
      </c>
    </row>
    <row r="115" spans="1:16" x14ac:dyDescent="0.25">
      <c r="A115"/>
      <c r="H115" s="10"/>
      <c r="L115" s="1" t="s">
        <v>68</v>
      </c>
      <c r="P115" t="s">
        <v>112</v>
      </c>
    </row>
    <row r="116" spans="1:16" x14ac:dyDescent="0.25">
      <c r="A116"/>
      <c r="H116" s="10"/>
      <c r="L116" s="1" t="s">
        <v>69</v>
      </c>
      <c r="P116" t="s">
        <v>113</v>
      </c>
    </row>
    <row r="117" spans="1:16" x14ac:dyDescent="0.25">
      <c r="A117"/>
      <c r="L117" s="1" t="s">
        <v>70</v>
      </c>
      <c r="P117" t="s">
        <v>114</v>
      </c>
    </row>
    <row r="118" spans="1:16" x14ac:dyDescent="0.25">
      <c r="A118"/>
      <c r="L118" s="1" t="s">
        <v>71</v>
      </c>
      <c r="P118" t="s">
        <v>94</v>
      </c>
    </row>
    <row r="119" spans="1:16" x14ac:dyDescent="0.25">
      <c r="A119"/>
      <c r="L119" s="1" t="s">
        <v>72</v>
      </c>
      <c r="P119" t="s">
        <v>95</v>
      </c>
    </row>
    <row r="120" spans="1:16" x14ac:dyDescent="0.25">
      <c r="A120"/>
      <c r="L120" s="1" t="s">
        <v>73</v>
      </c>
      <c r="P120" t="s">
        <v>96</v>
      </c>
    </row>
    <row r="121" spans="1:16" x14ac:dyDescent="0.25">
      <c r="A121"/>
      <c r="L121" s="1" t="s">
        <v>74</v>
      </c>
    </row>
    <row r="122" spans="1:16" x14ac:dyDescent="0.25">
      <c r="A122"/>
      <c r="L122" s="1" t="s">
        <v>75</v>
      </c>
      <c r="P122" t="s">
        <v>97</v>
      </c>
    </row>
    <row r="123" spans="1:16" x14ac:dyDescent="0.25">
      <c r="A123"/>
      <c r="L123" s="1" t="s">
        <v>76</v>
      </c>
      <c r="P123" t="s">
        <v>98</v>
      </c>
    </row>
    <row r="124" spans="1:16" x14ac:dyDescent="0.25">
      <c r="A124"/>
      <c r="L124" s="1" t="s">
        <v>77</v>
      </c>
    </row>
    <row r="125" spans="1:16" x14ac:dyDescent="0.25">
      <c r="A125"/>
      <c r="L125" s="1" t="s">
        <v>78</v>
      </c>
    </row>
    <row r="126" spans="1:16" x14ac:dyDescent="0.25">
      <c r="A126"/>
      <c r="L126" s="1" t="s">
        <v>79</v>
      </c>
    </row>
    <row r="127" spans="1:16" x14ac:dyDescent="0.25">
      <c r="A127"/>
      <c r="L127" s="1" t="s">
        <v>80</v>
      </c>
    </row>
    <row r="128" spans="1:16" x14ac:dyDescent="0.25">
      <c r="A128"/>
      <c r="L128" s="1" t="s">
        <v>81</v>
      </c>
    </row>
    <row r="129" spans="1:12" x14ac:dyDescent="0.25">
      <c r="A129"/>
      <c r="L129" s="1" t="s">
        <v>82</v>
      </c>
    </row>
    <row r="130" spans="1:12" x14ac:dyDescent="0.25">
      <c r="A130"/>
      <c r="L130" s="1" t="s">
        <v>83</v>
      </c>
    </row>
    <row r="131" spans="1:12" x14ac:dyDescent="0.25">
      <c r="A131"/>
      <c r="L131" s="1" t="s">
        <v>84</v>
      </c>
    </row>
    <row r="132" spans="1:12" x14ac:dyDescent="0.25">
      <c r="A132"/>
      <c r="L132" s="1" t="s">
        <v>65</v>
      </c>
    </row>
    <row r="133" spans="1:12" x14ac:dyDescent="0.25">
      <c r="A133"/>
      <c r="L133" s="1" t="s">
        <v>85</v>
      </c>
    </row>
    <row r="134" spans="1:12" x14ac:dyDescent="0.25">
      <c r="A134"/>
      <c r="L134" s="1"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07" t="str">
        <f>A28</f>
        <v>Nº OPERAÇÃO</v>
      </c>
      <c r="B220" s="215"/>
      <c r="C220" s="207" t="str">
        <f>C28</f>
        <v>GESTOR</v>
      </c>
      <c r="D220" s="208"/>
      <c r="E220" s="215"/>
      <c r="F220" s="207" t="str">
        <f>F28</f>
        <v>PROGRAMA</v>
      </c>
      <c r="G220" s="208"/>
      <c r="H220" s="208"/>
      <c r="I220" s="215"/>
      <c r="J220" s="207" t="str">
        <f>J28</f>
        <v>AÇÃO / MODALIDADE</v>
      </c>
      <c r="K220" s="208"/>
      <c r="L220" s="208"/>
      <c r="M220" s="208"/>
      <c r="N220" s="208"/>
      <c r="O220" s="215"/>
      <c r="P220" s="207" t="str">
        <f>P28</f>
        <v>OBJETO</v>
      </c>
      <c r="Q220" s="208"/>
      <c r="R220" s="208"/>
      <c r="S220" s="208"/>
      <c r="T220" s="208"/>
      <c r="U220" s="208"/>
      <c r="V220" s="208"/>
      <c r="W220" s="208"/>
      <c r="X220" s="215"/>
    </row>
    <row r="221" spans="1:24" ht="12.75" customHeight="1" x14ac:dyDescent="0.25">
      <c r="A221" s="247" t="str">
        <f>IF(A29="","",A29)</f>
        <v>1095000-05</v>
      </c>
      <c r="B221" s="249"/>
      <c r="C221" s="247" t="str">
        <f>IF(C29="","",C29)</f>
        <v>Ministerio da Educação</v>
      </c>
      <c r="D221" s="248"/>
      <c r="E221" s="249"/>
      <c r="F221" s="247" t="str">
        <f>IF(F29="","",F29)</f>
        <v>PRÓINFANCIA - PROJETO TIPO 2</v>
      </c>
      <c r="G221" s="248"/>
      <c r="H221" s="248"/>
      <c r="I221" s="249"/>
      <c r="J221" s="247" t="str">
        <f>IF(J29="","",J29)</f>
        <v>Convênio: 962010/2024</v>
      </c>
      <c r="K221" s="248"/>
      <c r="L221" s="248" t="e">
        <f>IF(#REF!="","",#REF!)</f>
        <v>#REF!</v>
      </c>
      <c r="M221" s="248"/>
      <c r="N221" s="248" t="e">
        <f>IF(#REF!="","",#REF!)</f>
        <v>#REF!</v>
      </c>
      <c r="O221" s="249"/>
      <c r="P221" s="247" t="str">
        <f>IF(P29="","",P29)</f>
        <v>CONSTRUÇÃO DA EMI FENAVINHO</v>
      </c>
      <c r="Q221" s="248"/>
      <c r="R221" s="248"/>
      <c r="S221" s="248"/>
      <c r="T221" s="248"/>
      <c r="U221" s="248"/>
      <c r="V221" s="248"/>
      <c r="W221" s="248"/>
      <c r="X221" s="249"/>
    </row>
    <row r="222" spans="1:24" ht="6" customHeight="1" x14ac:dyDescent="0.25">
      <c r="A222"/>
      <c r="B222"/>
      <c r="F222"/>
      <c r="G222"/>
      <c r="H222"/>
    </row>
    <row r="223" spans="1:24" x14ac:dyDescent="0.25">
      <c r="A223" s="207" t="str">
        <f>A31</f>
        <v>PROPONENTE / TOMADOR</v>
      </c>
      <c r="B223" s="208"/>
      <c r="C223" s="208"/>
      <c r="D223" s="208"/>
      <c r="E223" s="208"/>
      <c r="F223" s="208"/>
      <c r="G223" s="207" t="str">
        <f>G31</f>
        <v>MUNICÍPIO / UF</v>
      </c>
      <c r="H223" s="208"/>
      <c r="I223" s="208"/>
      <c r="J223" s="215"/>
      <c r="K223" s="207" t="str">
        <f>K31</f>
        <v>LOCALIDADE / ENDEREÇO</v>
      </c>
      <c r="L223" s="208"/>
      <c r="M223" s="208"/>
      <c r="N223" s="208"/>
      <c r="O223" s="208"/>
      <c r="P223" s="215"/>
      <c r="Q223" s="207" t="str">
        <f>Q31</f>
        <v>APELIDO DO EMPREENDIMENTO</v>
      </c>
      <c r="R223" s="208"/>
      <c r="S223" s="208"/>
      <c r="T223" s="208"/>
      <c r="U223" s="208"/>
      <c r="V223" s="208"/>
      <c r="W223" s="208"/>
      <c r="X223" s="215"/>
    </row>
    <row r="224" spans="1:24" ht="12.75" customHeight="1" x14ac:dyDescent="0.25">
      <c r="A224" s="245" t="str">
        <f>IF(A32="","",A32)</f>
        <v>MUNICIPIO DE BENTO GONÇALVES</v>
      </c>
      <c r="B224" s="246"/>
      <c r="C224" s="246"/>
      <c r="D224" s="246"/>
      <c r="E224" s="246"/>
      <c r="F224" s="246"/>
      <c r="G224" s="247" t="str">
        <f>IF(G32="","",G32)</f>
        <v>BENTO GONÇALVES/RS</v>
      </c>
      <c r="H224" s="248" t="str">
        <f>IF(I32="","",I32)</f>
        <v/>
      </c>
      <c r="I224" s="248"/>
      <c r="J224" s="249" t="e">
        <f>IF(#REF!="","",#REF!)</f>
        <v>#REF!</v>
      </c>
      <c r="K224" s="247" t="str">
        <f>IF(K32="","",K32)</f>
        <v>DISTRITO DO VALE DOS VINHEDOS</v>
      </c>
      <c r="L224" s="248"/>
      <c r="M224" s="248"/>
      <c r="N224" s="248"/>
      <c r="O224" s="248"/>
      <c r="P224" s="249"/>
      <c r="Q224" s="247" t="str">
        <f>IF(Q32="","",Q32)</f>
        <v>EMI FENAVINHO</v>
      </c>
      <c r="R224" s="248"/>
      <c r="S224" s="248"/>
      <c r="T224" s="248"/>
      <c r="U224" s="248"/>
      <c r="V224" s="248"/>
      <c r="W224" s="248"/>
      <c r="X224" s="249"/>
    </row>
    <row r="225" spans="1:24" ht="6" hidden="1" customHeight="1" x14ac:dyDescent="0.25">
      <c r="A225"/>
      <c r="B225"/>
      <c r="F225"/>
      <c r="G225"/>
      <c r="H225"/>
    </row>
    <row r="226" spans="1:24" hidden="1" x14ac:dyDescent="0.25">
      <c r="A226" s="207" t="str">
        <f>A37</f>
        <v>DATA BASE</v>
      </c>
      <c r="B226" s="215"/>
      <c r="C226" s="78" t="str">
        <f>C37</f>
        <v>DESON.</v>
      </c>
      <c r="D226" s="207" t="str">
        <f>D37</f>
        <v>LOCALIDADE DO SINAPI</v>
      </c>
      <c r="E226" s="208"/>
      <c r="F226" s="215"/>
      <c r="G226" s="207" t="str">
        <f>G37</f>
        <v>DESCRIÇÃO DO LOTE</v>
      </c>
      <c r="H226" s="208"/>
      <c r="I226" s="208"/>
      <c r="J226" s="208"/>
      <c r="K226" s="208"/>
      <c r="L226" s="208"/>
      <c r="M226" s="208"/>
      <c r="N226" s="208"/>
      <c r="O226" s="208"/>
      <c r="P226" s="208"/>
      <c r="Q226" s="208"/>
      <c r="R226" s="208"/>
      <c r="S226" s="215"/>
      <c r="T226" s="79" t="str">
        <f>T37</f>
        <v>BDI 1</v>
      </c>
      <c r="U226" s="79" t="str">
        <f>U37</f>
        <v>BDI 2</v>
      </c>
      <c r="V226" s="79" t="str">
        <f>V37</f>
        <v>BDI 3</v>
      </c>
      <c r="W226" s="79" t="str">
        <f>W37</f>
        <v>BDI 4</v>
      </c>
      <c r="X226" s="79" t="str">
        <f>X37</f>
        <v>BDI 5</v>
      </c>
    </row>
    <row r="227" spans="1:24" ht="12.75" hidden="1" customHeight="1" x14ac:dyDescent="0.25">
      <c r="A227" s="250">
        <f>IF(A38="","",A38)</f>
        <v>45575</v>
      </c>
      <c r="B227" s="251"/>
      <c r="C227" s="115" t="str">
        <f t="shared" ref="C227:X227" si="0">IF(C38="","",C38)</f>
        <v>Não</v>
      </c>
      <c r="D227" s="252" t="str">
        <f t="shared" si="0"/>
        <v>Porto Alegre / RS</v>
      </c>
      <c r="E227" s="253" t="str">
        <f t="shared" si="0"/>
        <v/>
      </c>
      <c r="F227" s="254" t="str">
        <f t="shared" si="0"/>
        <v/>
      </c>
      <c r="G227" s="252" t="str">
        <f t="shared" si="0"/>
        <v>ESCOLA MUNICIPAL DE EDUCAÇÃO INFANTIL - EMI FENAVINHO</v>
      </c>
      <c r="H227" s="253" t="str">
        <f t="shared" si="0"/>
        <v/>
      </c>
      <c r="I227" s="253" t="str">
        <f t="shared" si="0"/>
        <v/>
      </c>
      <c r="J227" s="253" t="str">
        <f t="shared" si="0"/>
        <v/>
      </c>
      <c r="K227" s="253" t="str">
        <f t="shared" si="0"/>
        <v/>
      </c>
      <c r="L227" s="253" t="str">
        <f t="shared" si="0"/>
        <v/>
      </c>
      <c r="M227" s="253" t="str">
        <f t="shared" si="0"/>
        <v/>
      </c>
      <c r="N227" s="253" t="str">
        <f t="shared" si="0"/>
        <v/>
      </c>
      <c r="O227" s="253" t="str">
        <f t="shared" si="0"/>
        <v/>
      </c>
      <c r="P227" s="253" t="str">
        <f t="shared" si="0"/>
        <v/>
      </c>
      <c r="Q227" s="253" t="str">
        <f t="shared" si="0"/>
        <v/>
      </c>
      <c r="R227" s="253" t="str">
        <f t="shared" si="0"/>
        <v/>
      </c>
      <c r="S227" s="254" t="str">
        <f t="shared" si="0"/>
        <v/>
      </c>
      <c r="T227" s="117">
        <f t="shared" ca="1" si="0"/>
        <v>0.25</v>
      </c>
      <c r="U227" s="81">
        <f t="shared" ca="1" si="0"/>
        <v>0.09</v>
      </c>
      <c r="V227" s="81" t="str">
        <f t="shared" ca="1" si="0"/>
        <v/>
      </c>
      <c r="W227" s="81" t="str">
        <f t="shared" ca="1" si="0"/>
        <v/>
      </c>
      <c r="X227" s="81" t="str">
        <f t="shared" ca="1" si="0"/>
        <v/>
      </c>
    </row>
    <row r="228" spans="1:24" ht="6" customHeight="1" x14ac:dyDescent="0.25">
      <c r="A228"/>
      <c r="B228"/>
      <c r="F228"/>
      <c r="G228"/>
      <c r="H228"/>
    </row>
    <row r="229" spans="1:24" ht="12.75" customHeight="1" x14ac:dyDescent="0.25">
      <c r="A229" s="207" t="s">
        <v>87</v>
      </c>
      <c r="B229" s="215"/>
      <c r="C229" s="207" t="s">
        <v>163</v>
      </c>
      <c r="D229" s="208"/>
      <c r="E229" s="208"/>
      <c r="F229" s="208"/>
      <c r="G229" s="208"/>
      <c r="H229" s="207" t="s">
        <v>16</v>
      </c>
      <c r="I229" s="208"/>
      <c r="J229" s="20" t="s">
        <v>91</v>
      </c>
      <c r="K229" s="207" t="s">
        <v>88</v>
      </c>
      <c r="L229" s="208"/>
      <c r="M229" s="215"/>
      <c r="N229" s="20" t="s">
        <v>92</v>
      </c>
      <c r="O229" s="207" t="s">
        <v>93</v>
      </c>
      <c r="P229" s="208"/>
      <c r="Q229" s="208"/>
      <c r="R229" s="208"/>
      <c r="S229" s="208"/>
      <c r="T229" s="215"/>
      <c r="U229" s="222" t="s">
        <v>89</v>
      </c>
      <c r="V229" s="223"/>
      <c r="W229" s="222" t="s">
        <v>90</v>
      </c>
      <c r="X229" s="223"/>
    </row>
    <row r="230" spans="1:24" ht="12.75" customHeight="1" x14ac:dyDescent="0.25">
      <c r="A230" s="252" t="str">
        <f>IF(A43="","",A43)</f>
        <v/>
      </c>
      <c r="B230" s="254"/>
      <c r="C230" s="252" t="str">
        <f>IF(C43="","",C43)</f>
        <v/>
      </c>
      <c r="D230" s="253"/>
      <c r="E230" s="253" t="str">
        <f>IF(E43="","",E43)</f>
        <v/>
      </c>
      <c r="F230" s="253"/>
      <c r="G230" s="253" t="str">
        <f>IF(G43="","",G43)</f>
        <v/>
      </c>
      <c r="H230" s="269" t="str">
        <f>IF(H43="","",H43)</f>
        <v/>
      </c>
      <c r="I230" s="270" t="str">
        <f>IF(I43="","",I43)</f>
        <v/>
      </c>
      <c r="J230" s="116" t="str">
        <f>IF(J43="","",J43)</f>
        <v/>
      </c>
      <c r="K230" s="261" t="str">
        <f>IF(K43="","",K43)</f>
        <v/>
      </c>
      <c r="L230" s="263"/>
      <c r="M230" s="264" t="str">
        <f>IF(M43="","",M43)</f>
        <v/>
      </c>
      <c r="N230" s="118" t="str">
        <f>IF(N43="","",N43)</f>
        <v/>
      </c>
      <c r="O230" s="261" t="str">
        <f>IF(O43="","",O43)</f>
        <v/>
      </c>
      <c r="P230" s="262"/>
      <c r="Q230" s="262" t="str">
        <f>IF(Q43="","",Q43)</f>
        <v/>
      </c>
      <c r="R230" s="263"/>
      <c r="S230" s="263" t="str">
        <f>IF(S43="","",S43)</f>
        <v/>
      </c>
      <c r="T230" s="264"/>
      <c r="U230" s="267" t="str">
        <f>IF(U43="","",U43)</f>
        <v/>
      </c>
      <c r="V230" s="268"/>
      <c r="W230" s="265" t="str">
        <f>IF(W43="","",W43)</f>
        <v/>
      </c>
      <c r="X230" s="266"/>
    </row>
    <row r="232" spans="1:24" ht="6" customHeight="1" x14ac:dyDescent="0.25">
      <c r="A232"/>
      <c r="B232"/>
      <c r="F232"/>
      <c r="G232"/>
      <c r="H232"/>
    </row>
    <row r="233" spans="1:24" x14ac:dyDescent="0.25">
      <c r="A233"/>
      <c r="B233"/>
      <c r="F233"/>
      <c r="G233"/>
      <c r="H233"/>
    </row>
    <row r="234" spans="1:24" x14ac:dyDescent="0.25">
      <c r="A234"/>
      <c r="B234"/>
      <c r="F234"/>
      <c r="G234"/>
      <c r="H234"/>
    </row>
    <row r="235" spans="1:24" x14ac:dyDescent="0.25">
      <c r="A235"/>
      <c r="B235"/>
      <c r="F235"/>
      <c r="G235"/>
      <c r="H235"/>
    </row>
    <row r="236" spans="1:24" ht="12.75" hidden="1" customHeight="1" x14ac:dyDescent="0.25">
      <c r="A236"/>
      <c r="B236"/>
      <c r="F236"/>
      <c r="G236"/>
      <c r="H236"/>
    </row>
    <row r="237" spans="1:24" ht="6" hidden="1" customHeight="1" x14ac:dyDescent="0.25">
      <c r="A237"/>
      <c r="B237"/>
      <c r="F237"/>
      <c r="G237"/>
      <c r="H237"/>
    </row>
    <row r="238" spans="1:24" ht="12.75" hidden="1" customHeight="1" x14ac:dyDescent="0.25">
      <c r="A238"/>
      <c r="B238"/>
      <c r="F238"/>
      <c r="G238"/>
      <c r="H238"/>
    </row>
    <row r="239" spans="1:24" ht="12.75" hidden="1" customHeight="1" x14ac:dyDescent="0.25">
      <c r="A239"/>
      <c r="B239"/>
      <c r="F239"/>
      <c r="G239"/>
      <c r="H239"/>
    </row>
    <row r="240" spans="1:24" ht="6" hidden="1" customHeight="1" x14ac:dyDescent="0.25">
      <c r="A240"/>
      <c r="B240"/>
      <c r="F240"/>
      <c r="G240"/>
      <c r="H240"/>
    </row>
    <row r="241" customFormat="1" ht="12.75" hidden="1" customHeight="1" x14ac:dyDescent="0.25"/>
    <row r="242" customFormat="1" ht="12.75" hidden="1" customHeight="1" x14ac:dyDescent="0.25"/>
    <row r="243" customFormat="1" ht="12.75" hidden="1" customHeight="1" x14ac:dyDescent="0.25"/>
    <row r="244" customFormat="1" ht="12.75" customHeight="1" x14ac:dyDescent="0.25"/>
    <row r="245" customFormat="1" ht="6" customHeight="1" x14ac:dyDescent="0.25"/>
    <row r="246" customFormat="1" ht="12.75" customHeight="1" x14ac:dyDescent="0.25"/>
    <row r="247" customFormat="1" ht="12.75" customHeight="1" x14ac:dyDescent="0.25"/>
    <row r="248" customFormat="1" ht="12.75" customHeight="1" x14ac:dyDescent="0.25"/>
    <row r="249" customFormat="1" ht="12.75" customHeight="1" x14ac:dyDescent="0.25"/>
    <row r="250" customFormat="1" ht="6" customHeight="1" x14ac:dyDescent="0.25"/>
    <row r="251" customFormat="1" x14ac:dyDescent="0.25"/>
    <row r="252" customFormat="1" x14ac:dyDescent="0.25"/>
    <row r="253" customFormat="1" x14ac:dyDescent="0.25"/>
    <row r="254" customFormat="1" x14ac:dyDescent="0.25"/>
    <row r="255" customFormat="1" x14ac:dyDescent="0.25"/>
    <row r="256" customFormat="1" x14ac:dyDescent="0.25"/>
    <row r="257" customFormat="1" x14ac:dyDescent="0.25"/>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1029" priority="42" stopIfTrue="1">
      <formula>$B54&lt;&gt;""</formula>
    </cfRule>
  </conditionalFormatting>
  <conditionalFormatting sqref="A48 H54:K54 H55:H56 H57:K57 A29:C29 J29 F29 A32 P29 G32 K32">
    <cfRule type="expression" dxfId="1028" priority="48" stopIfTrue="1">
      <formula>A29&lt;&gt;""</formula>
    </cfRule>
  </conditionalFormatting>
  <conditionalFormatting sqref="G53:K54 G55:H56 G57:K57">
    <cfRule type="expression" dxfId="1027" priority="43" stopIfTrue="1">
      <formula>$K$52&lt;&gt;"SIM"</formula>
    </cfRule>
  </conditionalFormatting>
  <conditionalFormatting sqref="A40:X43">
    <cfRule type="expression" dxfId="1026" priority="56" stopIfTrue="1">
      <formula>OR(TipoOrçamento="BASE",TipoOrçamento="REPROGRAMADONPL")</formula>
    </cfRule>
    <cfRule type="expression" dxfId="1025" priority="57" stopIfTrue="1">
      <formula>A40&lt;&gt;""</formula>
    </cfRule>
  </conditionalFormatting>
  <conditionalFormatting sqref="A35:X38">
    <cfRule type="expression" dxfId="1024" priority="58" stopIfTrue="1">
      <formula>OR(TipoOrçamento="LICITADO",TipoOrçamento="REPROGRAMADOAC")</formula>
    </cfRule>
    <cfRule type="expression" dxfId="1023" priority="59" stopIfTrue="1">
      <formula>A35&lt;&gt;""</formula>
    </cfRule>
  </conditionalFormatting>
  <conditionalFormatting sqref="Q32">
    <cfRule type="expression" dxfId="1022"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Normal="100" zoomScaleSheetLayoutView="100" zoomScalePageLayoutView="70" workbookViewId="0">
      <selection activeCell="N24" sqref="N24"/>
    </sheetView>
  </sheetViews>
  <sheetFormatPr defaultColWidth="0" defaultRowHeight="13.2" zeroHeight="1" x14ac:dyDescent="0.25"/>
  <cols>
    <col min="1" max="1" width="30.33203125" style="42" hidden="1" customWidth="1"/>
    <col min="2" max="3" width="9.109375" style="42" hidden="1" customWidth="1"/>
    <col min="4" max="4" width="23.5546875" style="42" hidden="1" customWidth="1"/>
    <col min="5" max="8" width="9.109375" style="42" hidden="1" customWidth="1"/>
    <col min="9" max="14" width="10.6640625" style="42" customWidth="1"/>
    <col min="15" max="15" width="12.88671875" style="42" customWidth="1"/>
    <col min="16" max="18" width="10.6640625" style="42" customWidth="1"/>
    <col min="19" max="19" width="3.6640625" style="42" customWidth="1"/>
    <col min="20" max="20" width="29.5546875" style="42" customWidth="1"/>
    <col min="21" max="21" width="13.6640625" style="42" customWidth="1"/>
    <col min="22" max="16384" width="9.109375" style="42" hidden="1"/>
  </cols>
  <sheetData>
    <row r="1" spans="1:29" ht="15" customHeight="1" x14ac:dyDescent="0.3">
      <c r="E1" s="43" t="s">
        <v>25</v>
      </c>
      <c r="F1" s="43" t="s">
        <v>26</v>
      </c>
      <c r="G1" s="43" t="s">
        <v>27</v>
      </c>
      <c r="N1" s="46" t="str">
        <f ca="1">"Quadro de Composição do BDI "&amp;MID(CELL("nome.arquivo",N1),5+FIND("BDI (",CELL("nome.arquivo",N1)),1)</f>
        <v>Quadro de Composição do BDI 1</v>
      </c>
      <c r="Q1"/>
      <c r="R1"/>
    </row>
    <row r="2" spans="1:29" x14ac:dyDescent="0.25">
      <c r="A2" s="42" t="s">
        <v>28</v>
      </c>
      <c r="B2" s="44" t="s">
        <v>29</v>
      </c>
      <c r="C2" s="42" t="str">
        <f t="shared" ref="C2:C49" si="0">CONCATENATE(A2,"-",B2)</f>
        <v>Construção e Reforma de Edifícios-AC</v>
      </c>
      <c r="E2" s="45">
        <v>0.03</v>
      </c>
      <c r="F2" s="45">
        <v>0.04</v>
      </c>
      <c r="G2" s="45">
        <v>5.5E-2</v>
      </c>
      <c r="Q2"/>
      <c r="R2"/>
    </row>
    <row r="3" spans="1:29" x14ac:dyDescent="0.25">
      <c r="A3" s="42" t="str">
        <f>A2</f>
        <v>Construção e Reforma de Edifícios</v>
      </c>
      <c r="B3" s="44" t="s">
        <v>30</v>
      </c>
      <c r="C3" s="42" t="str">
        <f t="shared" si="0"/>
        <v>Construção e Reforma de Edifícios-SG</v>
      </c>
      <c r="E3" s="45">
        <v>8.0000000000000002E-3</v>
      </c>
      <c r="F3" s="45">
        <v>8.0000000000000002E-3</v>
      </c>
      <c r="G3" s="45">
        <v>0.01</v>
      </c>
    </row>
    <row r="4" spans="1:29" x14ac:dyDescent="0.25">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5">
      <c r="A5" s="42" t="str">
        <f>A4</f>
        <v>Construção e Reforma de Edifícios</v>
      </c>
      <c r="B5" s="44" t="s">
        <v>32</v>
      </c>
      <c r="C5" s="42" t="str">
        <f t="shared" si="0"/>
        <v>Construção e Reforma de Edifícios-DF</v>
      </c>
      <c r="E5" s="45">
        <v>5.8999999999999999E-3</v>
      </c>
      <c r="F5" s="45">
        <v>1.23E-2</v>
      </c>
      <c r="G5" s="45">
        <v>1.3899999999999999E-2</v>
      </c>
      <c r="I5" s="306" t="str">
        <f>DADOS!A29</f>
        <v>1095000-05</v>
      </c>
      <c r="J5" s="307"/>
      <c r="K5" s="308" t="str">
        <f>DADOS!A32</f>
        <v>MUNICIPIO DE BENTO GONÇALVES</v>
      </c>
      <c r="L5" s="309"/>
      <c r="M5" s="309"/>
      <c r="N5" s="309"/>
      <c r="O5" s="309"/>
      <c r="P5" s="309"/>
      <c r="Q5" s="309"/>
      <c r="R5" s="307"/>
      <c r="S5" s="47"/>
    </row>
    <row r="6" spans="1:29" ht="6" customHeight="1" x14ac:dyDescent="0.25">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5">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5">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10" t="str">
        <f>DADOS!P29</f>
        <v>CONSTRUÇÃO DA EMI FENAVINHO</v>
      </c>
      <c r="J8" s="310"/>
      <c r="K8" s="310"/>
      <c r="L8" s="310"/>
      <c r="M8" s="310"/>
      <c r="N8" s="310"/>
      <c r="O8" s="310"/>
      <c r="P8" s="310"/>
      <c r="Q8" s="310"/>
      <c r="R8" s="310"/>
    </row>
    <row r="9" spans="1:29" ht="6" customHeight="1" x14ac:dyDescent="0.25">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x14ac:dyDescent="0.25">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x14ac:dyDescent="0.25">
      <c r="A11" s="42" t="s">
        <v>34</v>
      </c>
      <c r="B11" s="44" t="s">
        <v>32</v>
      </c>
      <c r="C11" s="42" t="str">
        <f t="shared" si="0"/>
        <v>Construção de Praças Urbanas, Rodovias, Ferrovias e recapeamento e pavimentação de vias urbanas-DF</v>
      </c>
      <c r="E11" s="45">
        <v>1.0200000000000001E-2</v>
      </c>
      <c r="F11" s="45">
        <v>1.11E-2</v>
      </c>
      <c r="G11" s="45">
        <v>1.21E-2</v>
      </c>
      <c r="I11" s="301" t="s">
        <v>28</v>
      </c>
      <c r="J11" s="302"/>
      <c r="K11" s="302"/>
      <c r="L11" s="302"/>
      <c r="M11" s="302"/>
      <c r="N11" s="302"/>
      <c r="O11" s="302"/>
      <c r="P11" s="303"/>
      <c r="Q11" s="304" t="str">
        <f>DADOS!$C$38</f>
        <v>Não</v>
      </c>
      <c r="R11" s="305"/>
    </row>
    <row r="12" spans="1:29" x14ac:dyDescent="0.25">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5">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5" t="s">
        <v>36</v>
      </c>
      <c r="J13" s="315"/>
      <c r="K13" s="315"/>
      <c r="L13" s="315"/>
      <c r="M13" s="315"/>
      <c r="N13" s="315"/>
      <c r="O13" s="315"/>
      <c r="P13" s="315"/>
      <c r="Q13" s="312">
        <v>0.45</v>
      </c>
      <c r="R13" s="312"/>
    </row>
    <row r="14" spans="1:29" ht="15" customHeight="1" x14ac:dyDescent="0.25">
      <c r="A14" s="42" t="s">
        <v>37</v>
      </c>
      <c r="B14" s="44" t="s">
        <v>29</v>
      </c>
      <c r="C14" s="42" t="str">
        <f t="shared" si="0"/>
        <v>Construção de Redes de Abastecimento de Água, Coleta de Esgoto-AC</v>
      </c>
      <c r="E14" s="45">
        <v>3.4300000000000004E-2</v>
      </c>
      <c r="F14" s="45">
        <v>4.9299999999999997E-2</v>
      </c>
      <c r="G14" s="45">
        <v>6.7099999999999993E-2</v>
      </c>
      <c r="I14" s="313" t="s">
        <v>38</v>
      </c>
      <c r="J14" s="313"/>
      <c r="K14" s="313"/>
      <c r="L14" s="313"/>
      <c r="M14" s="313"/>
      <c r="N14" s="313"/>
      <c r="O14" s="313"/>
      <c r="P14" s="313"/>
      <c r="Q14" s="312">
        <v>0.03</v>
      </c>
      <c r="R14" s="312"/>
    </row>
    <row r="15" spans="1:29" x14ac:dyDescent="0.25">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5">
      <c r="B16" s="44"/>
      <c r="E16" s="45"/>
      <c r="F16" s="45"/>
      <c r="G16" s="45"/>
      <c r="I16" s="314" t="s">
        <v>39</v>
      </c>
      <c r="J16" s="314"/>
      <c r="K16" s="314"/>
      <c r="L16" s="314"/>
      <c r="M16" s="314" t="s">
        <v>40</v>
      </c>
      <c r="N16" s="316" t="s">
        <v>41</v>
      </c>
      <c r="O16" s="316" t="s">
        <v>42</v>
      </c>
      <c r="P16" s="314" t="s">
        <v>43</v>
      </c>
      <c r="Q16" s="314" t="s">
        <v>44</v>
      </c>
      <c r="R16" s="295" t="s">
        <v>45</v>
      </c>
      <c r="T16" s="292" t="str">
        <f>IF(V27,"Para BDI fora do intervalo estatístico, deve ser apresentado Relatório Técnico Circunstanciado justificando a adoção do percentual de cada parcela do BDI.","")</f>
        <v/>
      </c>
      <c r="U16" s="292"/>
      <c r="V16" s="93"/>
      <c r="W16" s="93"/>
      <c r="X16" s="93"/>
      <c r="Y16" s="93"/>
      <c r="Z16" s="93"/>
      <c r="AA16" s="93"/>
      <c r="AB16" s="93"/>
      <c r="AC16" s="93"/>
    </row>
    <row r="17" spans="1:31" ht="15.75" customHeight="1" x14ac:dyDescent="0.25">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4"/>
      <c r="J17" s="314"/>
      <c r="K17" s="314"/>
      <c r="L17" s="314"/>
      <c r="M17" s="314"/>
      <c r="N17" s="316"/>
      <c r="O17" s="316"/>
      <c r="P17" s="314"/>
      <c r="Q17" s="314"/>
      <c r="R17" s="295"/>
      <c r="T17" s="292"/>
      <c r="U17" s="292"/>
      <c r="V17" s="93"/>
      <c r="W17" s="93"/>
      <c r="X17" s="93"/>
      <c r="Y17" s="93"/>
      <c r="Z17" s="93"/>
      <c r="AA17" s="93"/>
      <c r="AB17" s="93"/>
      <c r="AC17" s="93"/>
    </row>
    <row r="18" spans="1:31" ht="26.25" customHeight="1" x14ac:dyDescent="0.25">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80" t="str">
        <f>IF($I$11=$A$59,"Encargos Sociais incidentes sobre a mão de obra","Administração Central")</f>
        <v>Administração Central</v>
      </c>
      <c r="J18" s="280"/>
      <c r="K18" s="280"/>
      <c r="L18" s="280"/>
      <c r="M18" s="50" t="str">
        <f>IF($I$11=$A$59,"K1","AC")</f>
        <v>AC</v>
      </c>
      <c r="N18" s="51">
        <v>5.5E-2</v>
      </c>
      <c r="O18" s="52" t="s">
        <v>46</v>
      </c>
      <c r="P18" s="53">
        <f>VLOOKUP(CONCATENATE(I$11,"-",M18),$C$2:$G$49,3,FALSE)</f>
        <v>0.03</v>
      </c>
      <c r="Q18" s="53">
        <f>VLOOKUP(CONCATENATE(I$11,"-",M18),$C$2:$G$49,4,FALSE)</f>
        <v>0.04</v>
      </c>
      <c r="R18" s="53">
        <f>VLOOKUP(CONCATENATE(I$11,"-",M18),$C$2:$G$49,5,FALSE)</f>
        <v>5.5E-2</v>
      </c>
      <c r="T18" s="292"/>
      <c r="U18" s="292"/>
      <c r="V18" s="93"/>
      <c r="W18" s="93"/>
      <c r="X18" s="93"/>
      <c r="Y18" s="93"/>
      <c r="Z18" s="93"/>
      <c r="AA18" s="93"/>
      <c r="AB18" s="93"/>
      <c r="AC18" s="93"/>
    </row>
    <row r="19" spans="1:31" ht="26.25" customHeight="1" x14ac:dyDescent="0.25">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80" t="str">
        <f>IF($I$11=$A$59,"Administração Central da empresa ou consultoria - overhead","Seguro e Garantia")</f>
        <v>Seguro e Garantia</v>
      </c>
      <c r="J19" s="280"/>
      <c r="K19" s="280"/>
      <c r="L19" s="280"/>
      <c r="M19" s="50" t="str">
        <f>IF($I$11=$A$59,"K2","SG")</f>
        <v>SG</v>
      </c>
      <c r="N19" s="51">
        <v>0.01</v>
      </c>
      <c r="O19" s="52" t="s">
        <v>46</v>
      </c>
      <c r="P19" s="53">
        <f>VLOOKUP(CONCATENATE(I$11,"-",M19),$C$2:$G$49,3,FALSE)</f>
        <v>8.0000000000000002E-3</v>
      </c>
      <c r="Q19" s="53">
        <f>VLOOKUP(CONCATENATE(I$11,"-",M19),$C$2:$G$49,4,FALSE)</f>
        <v>8.0000000000000002E-3</v>
      </c>
      <c r="R19" s="53">
        <f>VLOOKUP(CONCATENATE(I$11,"-",M19),$C$2:$G$49,5,FALSE)</f>
        <v>0.01</v>
      </c>
      <c r="T19" s="292"/>
      <c r="U19" s="292"/>
      <c r="V19" s="93"/>
      <c r="W19" s="93"/>
      <c r="X19" s="93"/>
      <c r="Y19" s="93"/>
      <c r="Z19" s="93"/>
      <c r="AA19" s="93"/>
      <c r="AB19" s="93"/>
      <c r="AC19" s="93"/>
    </row>
    <row r="20" spans="1:31" ht="26.25" customHeight="1" x14ac:dyDescent="0.25">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80" t="str">
        <f>IF($I$11=$A$59,"","Risco")</f>
        <v>Risco</v>
      </c>
      <c r="J20" s="280"/>
      <c r="K20" s="280"/>
      <c r="L20" s="280"/>
      <c r="M20" s="50" t="str">
        <f>IF($I$11=$A$59,"","R")</f>
        <v>R</v>
      </c>
      <c r="N20" s="51">
        <v>1.2699999999999999E-2</v>
      </c>
      <c r="O20" s="52" t="s">
        <v>46</v>
      </c>
      <c r="P20" s="53">
        <f>VLOOKUP(CONCATENATE(I$11,"-",M20),$C$2:$G$49,3,FALSE)</f>
        <v>9.7000000000000003E-3</v>
      </c>
      <c r="Q20" s="53">
        <f>VLOOKUP(CONCATENATE(I$11,"-",M20),$C$2:$G$49,4,FALSE)</f>
        <v>1.2699999999999999E-2</v>
      </c>
      <c r="R20" s="53">
        <f>VLOOKUP(CONCATENATE(I$11,"-",M20),$C$2:$G$49,5,FALSE)</f>
        <v>1.2699999999999999E-2</v>
      </c>
      <c r="T20" s="292"/>
      <c r="U20" s="292"/>
      <c r="V20" s="93"/>
      <c r="W20" s="93"/>
      <c r="X20" s="93"/>
      <c r="Y20" s="93"/>
      <c r="Z20" s="93"/>
      <c r="AA20" s="93"/>
      <c r="AB20" s="93"/>
      <c r="AC20" s="93"/>
    </row>
    <row r="21" spans="1:31" ht="26.25" customHeight="1" x14ac:dyDescent="0.25">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80" t="str">
        <f>IF($I$11=$A$59,"","Despesas Financeiras")</f>
        <v>Despesas Financeiras</v>
      </c>
      <c r="J21" s="280"/>
      <c r="K21" s="280"/>
      <c r="L21" s="280"/>
      <c r="M21" s="50" t="str">
        <f>IF($I$11=$A$59,"","DF")</f>
        <v>DF</v>
      </c>
      <c r="N21" s="51">
        <v>1.3899999999999999E-2</v>
      </c>
      <c r="O21" s="52" t="s">
        <v>46</v>
      </c>
      <c r="P21" s="53">
        <f>VLOOKUP(CONCATENATE(I$11,"-",M21),$C$2:$G$49,3,FALSE)</f>
        <v>5.8999999999999999E-3</v>
      </c>
      <c r="Q21" s="53">
        <f>VLOOKUP(CONCATENATE(I$11,"-",M21),$C$2:$G$49,4,FALSE)</f>
        <v>1.23E-2</v>
      </c>
      <c r="R21" s="53">
        <f>VLOOKUP(CONCATENATE(I$11,"-",M21),$C$2:$G$49,5,FALSE)</f>
        <v>1.3899999999999999E-2</v>
      </c>
      <c r="T21" s="292"/>
      <c r="U21" s="292"/>
    </row>
    <row r="22" spans="1:31" ht="26.25" customHeight="1" x14ac:dyDescent="0.25">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80" t="str">
        <f>IF($I$11=$A$59,"Margem bruta da empresa de consultoria","Lucro")</f>
        <v>Lucro</v>
      </c>
      <c r="J22" s="280"/>
      <c r="K22" s="280"/>
      <c r="L22" s="280"/>
      <c r="M22" s="50" t="str">
        <f>IF($I$11=$A$59,"K3","L")</f>
        <v>L</v>
      </c>
      <c r="N22" s="51">
        <v>8.6800000000000002E-2</v>
      </c>
      <c r="O22" s="52" t="s">
        <v>46</v>
      </c>
      <c r="P22" s="53">
        <f>VLOOKUP(CONCATENATE(I$11,"-",M22),$C$2:$G$49,3,FALSE)</f>
        <v>6.1600000000000002E-2</v>
      </c>
      <c r="Q22" s="53">
        <f>VLOOKUP(CONCATENATE(I$11,"-",M22),$C$2:$G$49,4,FALSE)</f>
        <v>7.400000000000001E-2</v>
      </c>
      <c r="R22" s="53">
        <f>VLOOKUP(CONCATENATE(I$11,"-",M22),$C$2:$G$49,5,FALSE)</f>
        <v>8.9600000000000013E-2</v>
      </c>
      <c r="T22" s="292"/>
      <c r="U22" s="292"/>
    </row>
    <row r="23" spans="1:31" ht="26.25" customHeight="1" x14ac:dyDescent="0.25">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4" t="s">
        <v>48</v>
      </c>
      <c r="J23" s="294"/>
      <c r="K23" s="294"/>
      <c r="L23" s="294"/>
      <c r="M23" s="50" t="s">
        <v>49</v>
      </c>
      <c r="N23" s="51">
        <v>3.6499999999999998E-2</v>
      </c>
      <c r="O23" s="52" t="s">
        <v>46</v>
      </c>
      <c r="P23" s="53">
        <v>3.6499999999999998E-2</v>
      </c>
      <c r="Q23" s="53">
        <v>3.6499999999999998E-2</v>
      </c>
      <c r="R23" s="53">
        <v>3.6499999999999998E-2</v>
      </c>
      <c r="T23" s="292"/>
      <c r="U23" s="292"/>
    </row>
    <row r="24" spans="1:31" ht="26.25" customHeight="1" x14ac:dyDescent="0.25">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80" t="s">
        <v>50</v>
      </c>
      <c r="J24" s="280"/>
      <c r="K24" s="280"/>
      <c r="L24" s="280"/>
      <c r="M24" s="50" t="s">
        <v>51</v>
      </c>
      <c r="N24" s="53">
        <f>IF($I$11&lt;&gt;$A$58,Q14*Q13,0)</f>
        <v>1.35E-2</v>
      </c>
      <c r="O24" s="52" t="s">
        <v>46</v>
      </c>
      <c r="P24" s="53">
        <v>0</v>
      </c>
      <c r="Q24" s="53">
        <v>2.5000000000000001E-2</v>
      </c>
      <c r="R24" s="53">
        <v>0.05</v>
      </c>
      <c r="T24" s="292"/>
      <c r="U24" s="292"/>
    </row>
    <row r="25" spans="1:31" ht="26.25" customHeight="1" x14ac:dyDescent="0.25">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80" t="s">
        <v>116</v>
      </c>
      <c r="J25" s="280"/>
      <c r="K25" s="280"/>
      <c r="L25" s="280"/>
      <c r="M25" s="50" t="s">
        <v>52</v>
      </c>
      <c r="N25" s="53">
        <f>IF(AND($I$11&lt;&gt;$A$58,Q11="Sim"),4.5%,0%)</f>
        <v>0</v>
      </c>
      <c r="O25" s="52" t="str">
        <f>IF(AND(N25&gt;=P25, N25&lt;=R25), "OK", "Não OK")</f>
        <v>OK</v>
      </c>
      <c r="P25" s="54">
        <v>0</v>
      </c>
      <c r="Q25" s="54">
        <v>4.4999999999999998E-2</v>
      </c>
      <c r="R25" s="54">
        <v>4.4999999999999998E-2</v>
      </c>
    </row>
    <row r="26" spans="1:31" ht="30.75" customHeight="1" x14ac:dyDescent="0.3">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80" t="s">
        <v>53</v>
      </c>
      <c r="J26" s="280"/>
      <c r="K26" s="280"/>
      <c r="L26" s="280"/>
      <c r="M26" s="55" t="s">
        <v>33</v>
      </c>
      <c r="N26" s="53">
        <f>IF($I$11=$A$58,0,ROUND((((1+N18+N19+N20)*(1+N21)*(1+N22)/(1-(N23+N24)))-1),4))</f>
        <v>0.25</v>
      </c>
      <c r="O26" s="91" t="str">
        <f>IF(OR($I$11=$A$59,$I$11=$A$58,AND(N26&gt;=P26, N26&lt;=R26)), "OK", "FORA DO INTERVALO")</f>
        <v>OK</v>
      </c>
      <c r="P26" s="53">
        <f>IF($I$11=$A$58,0,VLOOKUP(CONCATENATE($I$11,"-",$M26),$C$2:$G$49,3,FALSE))</f>
        <v>0.2034</v>
      </c>
      <c r="Q26" s="53">
        <f>IF($I$11=$A$58,0,VLOOKUP(CONCATENATE($I$11,"-",$M26),$C$2:$G$49,4,FALSE))</f>
        <v>0.22120000000000001</v>
      </c>
      <c r="R26" s="53">
        <f>IF($I$11=$A$58,0,VLOOKUP(CONCATENATE($I$11,"-",$M26),$C$2:$G$49,5,FALSE))</f>
        <v>0.25</v>
      </c>
      <c r="T26" s="92"/>
      <c r="V26" s="93"/>
      <c r="W26" s="93"/>
      <c r="X26" s="93"/>
      <c r="Y26" s="93"/>
      <c r="Z26" s="93"/>
      <c r="AA26" s="93"/>
      <c r="AB26" s="93"/>
      <c r="AC26" s="93"/>
      <c r="AD26" s="93"/>
      <c r="AE26" s="93"/>
    </row>
    <row r="27" spans="1:31" ht="30" customHeight="1" x14ac:dyDescent="0.3">
      <c r="A27" s="42" t="s">
        <v>54</v>
      </c>
      <c r="B27" s="44" t="s">
        <v>29</v>
      </c>
      <c r="C27" s="42" t="str">
        <f t="shared" si="0"/>
        <v>Obras Portuárias, Marítimas e Fluviais-AC</v>
      </c>
      <c r="E27" s="45">
        <v>0.04</v>
      </c>
      <c r="F27" s="45">
        <v>5.5199999999999999E-2</v>
      </c>
      <c r="G27" s="45">
        <v>7.85E-2</v>
      </c>
      <c r="I27" s="281" t="s">
        <v>55</v>
      </c>
      <c r="J27" s="281"/>
      <c r="K27" s="281"/>
      <c r="L27" s="281"/>
      <c r="M27" s="56" t="s">
        <v>56</v>
      </c>
      <c r="N27" s="57">
        <f>IF($I$11=$A$58,0,ROUND((((1+N18+N19+N20)*(1+N21)*(1+N22)/(1-(N23+N24+N25)))-1),4))</f>
        <v>0.25</v>
      </c>
      <c r="O27" s="95" t="str">
        <f>IF(Q11&lt;&gt;"Sim","",O26)</f>
        <v/>
      </c>
      <c r="P27" s="282"/>
      <c r="Q27" s="282"/>
      <c r="R27" s="282"/>
      <c r="T27" s="92"/>
      <c r="V27" s="96" t="b">
        <f>AND(COUNTA(N18:N23)=6,O26&lt;&gt;"ok",NOT(V29))</f>
        <v>0</v>
      </c>
      <c r="W27" s="42" t="s">
        <v>118</v>
      </c>
    </row>
    <row r="28" spans="1:31" ht="7.5" customHeight="1" x14ac:dyDescent="0.25">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5">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9" t="s">
        <v>117</v>
      </c>
      <c r="K29" s="279"/>
      <c r="L29" s="279"/>
      <c r="M29" s="279"/>
      <c r="N29" s="279"/>
      <c r="O29" s="279"/>
      <c r="P29" s="279"/>
      <c r="Q29" s="279"/>
      <c r="R29" s="279"/>
      <c r="V29" s="96" t="b">
        <v>0</v>
      </c>
      <c r="W29" s="42" t="s">
        <v>119</v>
      </c>
    </row>
    <row r="30" spans="1:31" ht="7.5" customHeight="1" x14ac:dyDescent="0.25">
      <c r="B30" s="44"/>
      <c r="E30" s="45"/>
      <c r="F30" s="45"/>
      <c r="G30" s="45"/>
      <c r="V30" s="96"/>
    </row>
    <row r="31" spans="1:31" ht="18.75" customHeight="1" x14ac:dyDescent="0.25">
      <c r="B31" s="44"/>
      <c r="E31" s="45"/>
      <c r="F31" s="45"/>
      <c r="G31" s="45"/>
      <c r="I31" s="284" t="s">
        <v>61</v>
      </c>
      <c r="J31" s="284"/>
      <c r="K31" s="284"/>
      <c r="L31" s="284"/>
      <c r="M31" s="284"/>
      <c r="N31" s="284"/>
      <c r="O31" s="284"/>
      <c r="P31" s="284"/>
      <c r="Q31" s="284"/>
      <c r="R31" s="284"/>
    </row>
    <row r="32" spans="1:31" ht="30" customHeight="1" x14ac:dyDescent="0.3">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0" t="str">
        <f>IF(Q11="Sim","BDI.DES =","BDI.PAD =")</f>
        <v>BDI.PAD =</v>
      </c>
      <c r="M32" s="298" t="str">
        <f>IF($I$11=$A$59,"(1+K1+K2)*(1+K3)","(1+AC + S + R + G)*(1 + DF)*(1+L)")</f>
        <v>(1+AC + S + R + G)*(1 + DF)*(1+L)</v>
      </c>
      <c r="N32" s="298"/>
      <c r="O32" s="298"/>
      <c r="P32" s="296" t="s">
        <v>108</v>
      </c>
      <c r="Q32" s="85"/>
      <c r="R32" s="85"/>
    </row>
    <row r="33" spans="1:18" ht="27" customHeight="1" x14ac:dyDescent="0.25">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0"/>
      <c r="M33" s="299" t="str">
        <f>IF(Q11="Sim","(1-CP-ISS-CRPB)","(1-CP-ISS)")</f>
        <v>(1-CP-ISS)</v>
      </c>
      <c r="N33" s="299"/>
      <c r="O33" s="299"/>
      <c r="P33" s="297"/>
      <c r="Q33" s="85"/>
      <c r="R33" s="85"/>
    </row>
    <row r="34" spans="1:18" ht="7.5" customHeight="1" x14ac:dyDescent="0.25">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5">
      <c r="B35" s="49"/>
      <c r="E35" s="45"/>
      <c r="F35" s="45"/>
      <c r="G35" s="45"/>
      <c r="I35" s="285"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45%, com a respectiva alíquota de 3%.</v>
      </c>
      <c r="J35" s="285"/>
      <c r="K35" s="285"/>
      <c r="L35" s="285"/>
      <c r="M35" s="285"/>
      <c r="N35" s="285"/>
      <c r="O35" s="285"/>
      <c r="P35" s="285"/>
      <c r="Q35" s="285"/>
      <c r="R35" s="285"/>
    </row>
    <row r="36" spans="1:18" ht="11.25" customHeight="1" x14ac:dyDescent="0.25">
      <c r="B36" s="49"/>
      <c r="E36" s="45"/>
      <c r="F36" s="45"/>
      <c r="G36" s="45"/>
    </row>
    <row r="37" spans="1:18" ht="52.5" customHeight="1" x14ac:dyDescent="0.25">
      <c r="B37" s="49"/>
      <c r="E37" s="45"/>
      <c r="F37" s="45"/>
      <c r="G37" s="45"/>
      <c r="I37" s="285"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5"/>
      <c r="K37" s="285"/>
      <c r="L37" s="285"/>
      <c r="M37" s="285"/>
      <c r="N37" s="285"/>
      <c r="O37" s="285"/>
      <c r="P37" s="285"/>
      <c r="Q37" s="285"/>
      <c r="R37" s="285"/>
    </row>
    <row r="38" spans="1:18" ht="18" customHeight="1" x14ac:dyDescent="0.25">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x14ac:dyDescent="0.25">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5">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7" t="s">
        <v>234</v>
      </c>
      <c r="J40" s="288"/>
      <c r="K40" s="288"/>
      <c r="L40" s="288"/>
      <c r="M40" s="288"/>
      <c r="N40" s="288"/>
      <c r="O40" s="288"/>
      <c r="P40" s="288"/>
      <c r="Q40" s="288"/>
      <c r="R40" s="289"/>
    </row>
    <row r="41" spans="1:18" ht="16.5" customHeight="1" x14ac:dyDescent="0.25">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x14ac:dyDescent="0.25">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3" t="str">
        <f>PO!K614</f>
        <v>BENTO GONÇALVES/RS</v>
      </c>
      <c r="J42" s="293"/>
      <c r="K42" s="293"/>
      <c r="L42" s="293"/>
      <c r="O42" s="286">
        <f ca="1">PO!K617</f>
        <v>45770</v>
      </c>
      <c r="P42" s="286"/>
      <c r="Q42" s="286"/>
      <c r="R42" s="286"/>
    </row>
    <row r="43" spans="1:18" ht="15" customHeight="1" x14ac:dyDescent="0.25">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1" t="s">
        <v>120</v>
      </c>
      <c r="J43" s="311"/>
      <c r="K43" s="311"/>
      <c r="L43" s="311"/>
      <c r="N43" s="58"/>
      <c r="O43" s="122" t="s">
        <v>121</v>
      </c>
      <c r="P43" s="123"/>
      <c r="Q43" s="123"/>
      <c r="R43" s="123"/>
    </row>
    <row r="44" spans="1:18" x14ac:dyDescent="0.25">
      <c r="A44" s="42" t="s">
        <v>59</v>
      </c>
      <c r="B44" s="44" t="s">
        <v>104</v>
      </c>
      <c r="C44" s="42" t="str">
        <f t="shared" si="0"/>
        <v>Estudos e Projetos, Planos e Gerenciamento e outros correlatos-K1</v>
      </c>
      <c r="E44" s="45" t="s">
        <v>46</v>
      </c>
      <c r="F44" s="45" t="s">
        <v>46</v>
      </c>
      <c r="G44" s="45" t="s">
        <v>46</v>
      </c>
    </row>
    <row r="45" spans="1:18" ht="30" customHeight="1" x14ac:dyDescent="0.25">
      <c r="A45" s="42" t="str">
        <f>A44</f>
        <v>Estudos e Projetos, Planos e Gerenciamento e outros correlatos</v>
      </c>
      <c r="B45" s="44" t="s">
        <v>105</v>
      </c>
      <c r="C45" s="42" t="str">
        <f t="shared" si="0"/>
        <v>Estudos e Projetos, Planos e Gerenciamento e outros correlatos-K2</v>
      </c>
      <c r="E45" s="45" t="s">
        <v>46</v>
      </c>
      <c r="F45" s="45">
        <v>0.2</v>
      </c>
      <c r="G45" s="45" t="s">
        <v>46</v>
      </c>
      <c r="I45" s="283"/>
      <c r="J45" s="283"/>
      <c r="K45" s="283"/>
      <c r="L45" s="283"/>
      <c r="M45" s="59"/>
      <c r="N45" s="59"/>
      <c r="O45" s="283"/>
      <c r="P45" s="283"/>
      <c r="Q45" s="283"/>
      <c r="R45" s="283"/>
    </row>
    <row r="46" spans="1:18" x14ac:dyDescent="0.25">
      <c r="A46" s="42" t="str">
        <f>A45</f>
        <v>Estudos e Projetos, Planos e Gerenciamento e outros correlatos</v>
      </c>
      <c r="B46" s="44" t="s">
        <v>106</v>
      </c>
      <c r="C46" s="42" t="str">
        <f t="shared" si="0"/>
        <v>Estudos e Projetos, Planos e Gerenciamento e outros correlatos-</v>
      </c>
      <c r="E46" s="45" t="s">
        <v>46</v>
      </c>
      <c r="F46" s="45" t="s">
        <v>46</v>
      </c>
      <c r="G46" s="45" t="s">
        <v>46</v>
      </c>
      <c r="I46" s="290" t="s">
        <v>57</v>
      </c>
      <c r="J46" s="290"/>
      <c r="K46" s="290"/>
      <c r="L46" s="290"/>
      <c r="O46" s="290" t="s">
        <v>58</v>
      </c>
      <c r="P46" s="290"/>
      <c r="Q46" s="290"/>
      <c r="R46" s="290"/>
    </row>
    <row r="47" spans="1:18" ht="13.8" x14ac:dyDescent="0.25">
      <c r="A47" s="42" t="str">
        <f>A46</f>
        <v>Estudos e Projetos, Planos e Gerenciamento e outros correlatos</v>
      </c>
      <c r="B47" s="44" t="s">
        <v>106</v>
      </c>
      <c r="C47" s="42" t="str">
        <f t="shared" si="0"/>
        <v>Estudos e Projetos, Planos e Gerenciamento e outros correlatos-</v>
      </c>
      <c r="E47" s="45" t="s">
        <v>46</v>
      </c>
      <c r="F47" s="45" t="s">
        <v>46</v>
      </c>
      <c r="G47" s="45" t="s">
        <v>46</v>
      </c>
      <c r="I47" s="21" t="s">
        <v>140</v>
      </c>
      <c r="J47" s="278">
        <f>DADOS!B54</f>
        <v>0</v>
      </c>
      <c r="K47" s="278"/>
      <c r="L47" s="278"/>
      <c r="M47" s="59"/>
      <c r="N47" s="59"/>
      <c r="O47" s="21" t="s">
        <v>140</v>
      </c>
      <c r="P47" s="291" t="s">
        <v>237</v>
      </c>
      <c r="Q47" s="291"/>
      <c r="R47" s="291"/>
    </row>
    <row r="48" spans="1:18" ht="13.8" x14ac:dyDescent="0.25">
      <c r="A48" s="42" t="str">
        <f>A47</f>
        <v>Estudos e Projetos, Planos e Gerenciamento e outros correlatos</v>
      </c>
      <c r="B48" s="44" t="s">
        <v>107</v>
      </c>
      <c r="C48" s="42" t="str">
        <f t="shared" si="0"/>
        <v>Estudos e Projetos, Planos e Gerenciamento e outros correlatos-K3</v>
      </c>
      <c r="E48" s="45" t="s">
        <v>46</v>
      </c>
      <c r="F48" s="45">
        <v>0.12</v>
      </c>
      <c r="G48" s="45" t="s">
        <v>46</v>
      </c>
      <c r="I48" s="21" t="s">
        <v>17</v>
      </c>
      <c r="J48" s="278">
        <f>DADOS!B55</f>
        <v>0</v>
      </c>
      <c r="K48" s="278"/>
      <c r="L48" s="278"/>
      <c r="M48" s="59"/>
      <c r="N48" s="59"/>
      <c r="O48" s="21" t="s">
        <v>60</v>
      </c>
      <c r="P48" s="291" t="s">
        <v>231</v>
      </c>
      <c r="Q48" s="291"/>
      <c r="R48" s="291"/>
    </row>
    <row r="49" spans="1:18" ht="13.8" x14ac:dyDescent="0.25">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1" t="str">
        <f>DADOS!A56</f>
        <v>Empresa:</v>
      </c>
      <c r="J49" s="278">
        <f>DADOS!B56</f>
        <v>0</v>
      </c>
      <c r="K49" s="278"/>
      <c r="L49" s="278"/>
      <c r="M49" s="59"/>
      <c r="N49" s="59"/>
      <c r="O49" s="59"/>
      <c r="P49" s="59"/>
      <c r="Q49" s="59"/>
      <c r="R49" s="59"/>
    </row>
    <row r="50" spans="1:18" x14ac:dyDescent="0.25">
      <c r="I50" s="21" t="str">
        <f>DADOS!A57</f>
        <v>CNPJ:</v>
      </c>
      <c r="J50" s="278">
        <f>DADOS!B57</f>
        <v>0</v>
      </c>
      <c r="K50" s="278"/>
      <c r="L50" s="278"/>
    </row>
    <row r="51" spans="1:18" x14ac:dyDescent="0.25"/>
    <row r="52" spans="1:18" hidden="1" x14ac:dyDescent="0.25">
      <c r="A52" s="42" t="s">
        <v>28</v>
      </c>
    </row>
    <row r="53" spans="1:18" hidden="1" x14ac:dyDescent="0.25">
      <c r="A53" s="42" t="s">
        <v>34</v>
      </c>
    </row>
    <row r="54" spans="1:18" hidden="1" x14ac:dyDescent="0.25">
      <c r="A54" s="42" t="s">
        <v>37</v>
      </c>
    </row>
    <row r="55" spans="1:18" hidden="1" x14ac:dyDescent="0.25">
      <c r="A55" s="42" t="s">
        <v>47</v>
      </c>
    </row>
    <row r="56" spans="1:18" hidden="1" x14ac:dyDescent="0.25">
      <c r="A56" s="42" t="s">
        <v>54</v>
      </c>
    </row>
    <row r="57" spans="1:18" hidden="1" x14ac:dyDescent="0.25">
      <c r="A57" s="42" t="s">
        <v>137</v>
      </c>
    </row>
    <row r="58" spans="1:18" hidden="1" x14ac:dyDescent="0.25">
      <c r="A58" s="42" t="s">
        <v>138</v>
      </c>
    </row>
    <row r="59" spans="1:18" hidden="1" x14ac:dyDescent="0.25">
      <c r="A59" s="42" t="s">
        <v>59</v>
      </c>
    </row>
    <row r="60" spans="1:18" ht="13.8" hidden="1" x14ac:dyDescent="0.25">
      <c r="A60" s="60"/>
      <c r="B60" s="59"/>
      <c r="C60" s="59"/>
      <c r="D60" s="59"/>
      <c r="E60" s="59"/>
      <c r="F60" s="59"/>
      <c r="G60" s="59"/>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1021" priority="6" stopIfTrue="1">
      <formula>$O$42=""</formula>
    </cfRule>
  </conditionalFormatting>
  <conditionalFormatting sqref="O18:O27">
    <cfRule type="expression" dxfId="1020" priority="11" stopIfTrue="1">
      <formula>AND(O18&lt;&gt;"OK",O18&lt;&gt;"-",O18&lt;&gt;"")</formula>
    </cfRule>
    <cfRule type="cellIs" dxfId="1019" priority="12" stopIfTrue="1" operator="equal">
      <formula>"OK"</formula>
    </cfRule>
  </conditionalFormatting>
  <conditionalFormatting sqref="I26:N26">
    <cfRule type="expression" dxfId="1018" priority="10" stopIfTrue="1">
      <formula>$Q$11="Não"</formula>
    </cfRule>
  </conditionalFormatting>
  <conditionalFormatting sqref="I27:N27">
    <cfRule type="expression" dxfId="1017" priority="9" stopIfTrue="1">
      <formula>$Q$11="sim"</formula>
    </cfRule>
  </conditionalFormatting>
  <conditionalFormatting sqref="P27:R27">
    <cfRule type="expression" dxfId="1016" priority="8" stopIfTrue="1">
      <formula>$Q$11="sim"</formula>
    </cfRule>
  </conditionalFormatting>
  <conditionalFormatting sqref="P47:R48">
    <cfRule type="expression" dxfId="1015" priority="7" stopIfTrue="1">
      <formula>P47=""</formula>
    </cfRule>
  </conditionalFormatting>
  <conditionalFormatting sqref="I29:R29">
    <cfRule type="expression" dxfId="1014" priority="3" stopIfTrue="1">
      <formula>AND(NOT($V$27),NOT($V$29))</formula>
    </cfRule>
  </conditionalFormatting>
  <conditionalFormatting sqref="P18:R26">
    <cfRule type="expression" dxfId="1013"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1" zoomScaleNormal="100" zoomScaleSheetLayoutView="100" zoomScalePageLayoutView="70" workbookViewId="0">
      <selection activeCell="N20" sqref="N20"/>
    </sheetView>
  </sheetViews>
  <sheetFormatPr defaultColWidth="0" defaultRowHeight="12.75" customHeight="1" zeroHeight="1" x14ac:dyDescent="0.25"/>
  <cols>
    <col min="1" max="1" width="30.33203125" style="42" hidden="1" customWidth="1"/>
    <col min="2" max="3" width="9.109375" style="42" hidden="1" customWidth="1"/>
    <col min="4" max="4" width="23.5546875" style="42" hidden="1" customWidth="1"/>
    <col min="5" max="8" width="9.109375" style="42" hidden="1" customWidth="1"/>
    <col min="9" max="14" width="10.6640625" style="42" customWidth="1"/>
    <col min="15" max="15" width="12.88671875" style="42" customWidth="1"/>
    <col min="16" max="18" width="10.6640625" style="42" customWidth="1"/>
    <col min="19" max="19" width="3.6640625" style="42" customWidth="1"/>
    <col min="20" max="20" width="29.5546875" style="42" customWidth="1"/>
    <col min="21" max="21" width="13.6640625" style="42" customWidth="1"/>
    <col min="22" max="16384" width="9.109375" style="42" hidden="1"/>
  </cols>
  <sheetData>
    <row r="1" spans="1:29" ht="15" customHeight="1" x14ac:dyDescent="0.3">
      <c r="E1" s="43" t="s">
        <v>25</v>
      </c>
      <c r="F1" s="43" t="s">
        <v>26</v>
      </c>
      <c r="G1" s="43" t="s">
        <v>27</v>
      </c>
      <c r="N1" s="46" t="str">
        <f ca="1">"Quadro de Composição do BDI "&amp;MID(CELL("nome.arquivo",N1),5+FIND("BDI (",CELL("nome.arquivo",N1)),1)</f>
        <v>Quadro de Composição do BDI 2</v>
      </c>
      <c r="Q1"/>
      <c r="R1"/>
    </row>
    <row r="2" spans="1:29" ht="13.2" x14ac:dyDescent="0.25">
      <c r="A2" s="42" t="s">
        <v>28</v>
      </c>
      <c r="B2" s="44" t="s">
        <v>29</v>
      </c>
      <c r="C2" s="42" t="str">
        <f t="shared" ref="C2:C49" si="0">CONCATENATE(A2,"-",B2)</f>
        <v>Construção e Reforma de Edifícios-AC</v>
      </c>
      <c r="E2" s="45">
        <v>0.03</v>
      </c>
      <c r="F2" s="45">
        <v>0.04</v>
      </c>
      <c r="G2" s="45">
        <v>5.5E-2</v>
      </c>
      <c r="Q2"/>
      <c r="R2"/>
    </row>
    <row r="3" spans="1:29" ht="13.2" x14ac:dyDescent="0.25">
      <c r="A3" s="42" t="str">
        <f>A2</f>
        <v>Construção e Reforma de Edifícios</v>
      </c>
      <c r="B3" s="44" t="s">
        <v>30</v>
      </c>
      <c r="C3" s="42" t="str">
        <f t="shared" si="0"/>
        <v>Construção e Reforma de Edifícios-SG</v>
      </c>
      <c r="E3" s="45">
        <v>8.0000000000000002E-3</v>
      </c>
      <c r="F3" s="45">
        <v>8.0000000000000002E-3</v>
      </c>
      <c r="G3" s="45">
        <v>0.01</v>
      </c>
    </row>
    <row r="4" spans="1:29" ht="13.2" x14ac:dyDescent="0.25">
      <c r="A4" s="42" t="str">
        <f>A3</f>
        <v>Construção e Reforma de Edifícios</v>
      </c>
      <c r="B4" s="44" t="s">
        <v>31</v>
      </c>
      <c r="C4" s="42" t="str">
        <f t="shared" si="0"/>
        <v>Construção e Reforma de Edifícios-R</v>
      </c>
      <c r="E4" s="45">
        <v>9.7000000000000003E-3</v>
      </c>
      <c r="F4" s="45">
        <v>1.2699999999999999E-2</v>
      </c>
      <c r="G4" s="45">
        <v>1.2699999999999999E-2</v>
      </c>
      <c r="I4" s="207" t="s">
        <v>150</v>
      </c>
      <c r="J4" s="215"/>
      <c r="K4" s="207" t="s">
        <v>173</v>
      </c>
      <c r="L4" s="208"/>
      <c r="M4" s="208"/>
      <c r="N4" s="208"/>
      <c r="O4" s="208"/>
      <c r="P4" s="208"/>
      <c r="Q4" s="208"/>
      <c r="R4" s="215"/>
    </row>
    <row r="5" spans="1:29" ht="12.75" customHeight="1" x14ac:dyDescent="0.35">
      <c r="A5" s="42" t="str">
        <f>A4</f>
        <v>Construção e Reforma de Edifícios</v>
      </c>
      <c r="B5" s="44" t="s">
        <v>32</v>
      </c>
      <c r="C5" s="42" t="str">
        <f t="shared" si="0"/>
        <v>Construção e Reforma de Edifícios-DF</v>
      </c>
      <c r="E5" s="45">
        <v>5.8999999999999999E-3</v>
      </c>
      <c r="F5" s="45">
        <v>1.23E-2</v>
      </c>
      <c r="G5" s="45">
        <v>1.3899999999999999E-2</v>
      </c>
      <c r="I5" s="306" t="str">
        <f>DADOS!A29</f>
        <v>1095000-05</v>
      </c>
      <c r="J5" s="307"/>
      <c r="K5" s="308" t="str">
        <f>DADOS!A32</f>
        <v>MUNICIPIO DE BENTO GONÇALVES</v>
      </c>
      <c r="L5" s="309"/>
      <c r="M5" s="309"/>
      <c r="N5" s="309"/>
      <c r="O5" s="309"/>
      <c r="P5" s="309"/>
      <c r="Q5" s="309"/>
      <c r="R5" s="307"/>
      <c r="S5" s="47"/>
    </row>
    <row r="6" spans="1:29" ht="6" customHeight="1" x14ac:dyDescent="0.25">
      <c r="A6" s="42" t="str">
        <f>A5</f>
        <v>Construção e Reforma de Edifícios</v>
      </c>
      <c r="B6" s="44" t="s">
        <v>164</v>
      </c>
      <c r="C6" s="42" t="str">
        <f t="shared" si="0"/>
        <v>Construção e Reforma de Edifícios-L</v>
      </c>
      <c r="E6" s="45">
        <v>6.1600000000000002E-2</v>
      </c>
      <c r="F6" s="45">
        <v>7.400000000000001E-2</v>
      </c>
      <c r="G6" s="45">
        <v>8.9600000000000013E-2</v>
      </c>
      <c r="I6" s="48"/>
      <c r="J6" s="48"/>
      <c r="K6" s="48"/>
      <c r="L6" s="48"/>
      <c r="M6" s="48"/>
      <c r="N6" s="48"/>
      <c r="O6" s="48"/>
      <c r="P6" s="48"/>
      <c r="Q6" s="48"/>
      <c r="R6" s="48"/>
    </row>
    <row r="7" spans="1:29" ht="13.5" customHeight="1" x14ac:dyDescent="0.25">
      <c r="A7" s="42" t="str">
        <f>A6</f>
        <v>Construção e Reforma de Edifícios</v>
      </c>
      <c r="B7" s="49" t="s">
        <v>33</v>
      </c>
      <c r="C7" s="42" t="str">
        <f t="shared" si="0"/>
        <v>Construção e Reforma de Edifícios-BDI PAD</v>
      </c>
      <c r="E7" s="45">
        <v>0.2034</v>
      </c>
      <c r="F7" s="45">
        <v>0.22120000000000001</v>
      </c>
      <c r="G7" s="45">
        <v>0.25</v>
      </c>
      <c r="I7" s="207" t="s">
        <v>0</v>
      </c>
      <c r="J7" s="208"/>
      <c r="K7" s="208"/>
      <c r="L7" s="208"/>
      <c r="M7" s="208"/>
      <c r="N7" s="208"/>
      <c r="O7" s="208"/>
      <c r="P7" s="208"/>
      <c r="Q7" s="208"/>
      <c r="R7" s="215"/>
    </row>
    <row r="8" spans="1:29" ht="24.75" customHeight="1" x14ac:dyDescent="0.25">
      <c r="A8" s="42" t="s">
        <v>34</v>
      </c>
      <c r="B8" s="44" t="s">
        <v>29</v>
      </c>
      <c r="C8" s="42" t="str">
        <f t="shared" si="0"/>
        <v>Construção de Praças Urbanas, Rodovias, Ferrovias e recapeamento e pavimentação de vias urbanas-AC</v>
      </c>
      <c r="E8" s="45">
        <v>3.7999999999999999E-2</v>
      </c>
      <c r="F8" s="45">
        <v>4.0099999999999997E-2</v>
      </c>
      <c r="G8" s="45">
        <v>4.6699999999999998E-2</v>
      </c>
      <c r="I8" s="310" t="str">
        <f>DADOS!P29</f>
        <v>CONSTRUÇÃO DA EMI FENAVINHO</v>
      </c>
      <c r="J8" s="310"/>
      <c r="K8" s="310"/>
      <c r="L8" s="310"/>
      <c r="M8" s="310"/>
      <c r="N8" s="310"/>
      <c r="O8" s="310"/>
      <c r="P8" s="310"/>
      <c r="Q8" s="310"/>
      <c r="R8" s="310"/>
    </row>
    <row r="9" spans="1:29" ht="6" customHeight="1" x14ac:dyDescent="0.25">
      <c r="A9" s="42" t="s">
        <v>34</v>
      </c>
      <c r="B9" s="44" t="s">
        <v>30</v>
      </c>
      <c r="C9" s="42" t="str">
        <f t="shared" si="0"/>
        <v>Construção de Praças Urbanas, Rodovias, Ferrovias e recapeamento e pavimentação de vias urbanas-SG</v>
      </c>
      <c r="E9" s="45">
        <v>3.2000000000000002E-3</v>
      </c>
      <c r="F9" s="45">
        <v>4.0000000000000001E-3</v>
      </c>
      <c r="G9" s="45">
        <v>7.4000000000000003E-3</v>
      </c>
      <c r="I9" s="48"/>
      <c r="J9" s="48"/>
      <c r="K9" s="48"/>
      <c r="L9" s="48"/>
      <c r="M9" s="48"/>
      <c r="N9" s="48"/>
      <c r="O9" s="48"/>
      <c r="P9" s="48"/>
      <c r="Q9" s="48"/>
      <c r="R9" s="48"/>
    </row>
    <row r="10" spans="1:29" ht="13.2" x14ac:dyDescent="0.25">
      <c r="A10" s="42" t="s">
        <v>34</v>
      </c>
      <c r="B10" s="44" t="s">
        <v>31</v>
      </c>
      <c r="C10" s="42" t="str">
        <f t="shared" si="0"/>
        <v>Construção de Praças Urbanas, Rodovias, Ferrovias e recapeamento e pavimentação de vias urbanas-R</v>
      </c>
      <c r="E10" s="45">
        <v>5.0000000000000001E-3</v>
      </c>
      <c r="F10" s="45">
        <v>5.6000000000000008E-3</v>
      </c>
      <c r="G10" s="45">
        <v>9.7000000000000003E-3</v>
      </c>
      <c r="I10" s="207" t="s">
        <v>35</v>
      </c>
      <c r="J10" s="208"/>
      <c r="K10" s="208"/>
      <c r="L10" s="208"/>
      <c r="M10" s="208"/>
      <c r="N10" s="208"/>
      <c r="O10" s="208"/>
      <c r="P10" s="208"/>
      <c r="Q10" s="207" t="s">
        <v>13</v>
      </c>
      <c r="R10" s="215"/>
    </row>
    <row r="11" spans="1:29" ht="13.2" x14ac:dyDescent="0.25">
      <c r="A11" s="42" t="s">
        <v>34</v>
      </c>
      <c r="B11" s="44" t="s">
        <v>32</v>
      </c>
      <c r="C11" s="42" t="str">
        <f t="shared" si="0"/>
        <v>Construção de Praças Urbanas, Rodovias, Ferrovias e recapeamento e pavimentação de vias urbanas-DF</v>
      </c>
      <c r="E11" s="45">
        <v>1.0200000000000001E-2</v>
      </c>
      <c r="F11" s="45">
        <v>1.11E-2</v>
      </c>
      <c r="G11" s="45">
        <v>1.21E-2</v>
      </c>
      <c r="I11" s="301" t="s">
        <v>59</v>
      </c>
      <c r="J11" s="302"/>
      <c r="K11" s="302"/>
      <c r="L11" s="302"/>
      <c r="M11" s="302"/>
      <c r="N11" s="302"/>
      <c r="O11" s="302"/>
      <c r="P11" s="303"/>
      <c r="Q11" s="304" t="str">
        <f>DADOS!$C$38</f>
        <v>Não</v>
      </c>
      <c r="R11" s="305"/>
    </row>
    <row r="12" spans="1:29" ht="13.2" x14ac:dyDescent="0.25">
      <c r="A12" s="42" t="s">
        <v>34</v>
      </c>
      <c r="B12" s="44" t="s">
        <v>164</v>
      </c>
      <c r="C12" s="42" t="str">
        <f t="shared" si="0"/>
        <v>Construção de Praças Urbanas, Rodovias, Ferrovias e recapeamento e pavimentação de vias urbanas-L</v>
      </c>
      <c r="E12" s="45">
        <v>6.6400000000000001E-2</v>
      </c>
      <c r="F12" s="45">
        <v>7.2999999999999995E-2</v>
      </c>
      <c r="G12" s="45">
        <v>8.6899999999999991E-2</v>
      </c>
    </row>
    <row r="13" spans="1:29" ht="15" customHeight="1" x14ac:dyDescent="0.25">
      <c r="A13" s="42" t="s">
        <v>34</v>
      </c>
      <c r="B13" s="49" t="s">
        <v>33</v>
      </c>
      <c r="C13" s="42" t="str">
        <f t="shared" si="0"/>
        <v>Construção de Praças Urbanas, Rodovias, Ferrovias e recapeamento e pavimentação de vias urbanas-BDI PAD</v>
      </c>
      <c r="E13" s="45">
        <v>0.19600000000000001</v>
      </c>
      <c r="F13" s="45">
        <v>0.2097</v>
      </c>
      <c r="G13" s="45">
        <v>0.24230000000000002</v>
      </c>
      <c r="I13" s="315" t="s">
        <v>36</v>
      </c>
      <c r="J13" s="315"/>
      <c r="K13" s="315"/>
      <c r="L13" s="315"/>
      <c r="M13" s="315"/>
      <c r="N13" s="315"/>
      <c r="O13" s="315"/>
      <c r="P13" s="315"/>
      <c r="Q13" s="312">
        <v>0.45</v>
      </c>
      <c r="R13" s="312"/>
    </row>
    <row r="14" spans="1:29" ht="15" customHeight="1" x14ac:dyDescent="0.25">
      <c r="A14" s="42" t="s">
        <v>37</v>
      </c>
      <c r="B14" s="44" t="s">
        <v>29</v>
      </c>
      <c r="C14" s="42" t="str">
        <f t="shared" si="0"/>
        <v>Construção de Redes de Abastecimento de Água, Coleta de Esgoto-AC</v>
      </c>
      <c r="E14" s="45">
        <v>3.4300000000000004E-2</v>
      </c>
      <c r="F14" s="45">
        <v>4.9299999999999997E-2</v>
      </c>
      <c r="G14" s="45">
        <v>6.7099999999999993E-2</v>
      </c>
      <c r="I14" s="313" t="s">
        <v>38</v>
      </c>
      <c r="J14" s="313"/>
      <c r="K14" s="313"/>
      <c r="L14" s="313"/>
      <c r="M14" s="313"/>
      <c r="N14" s="313"/>
      <c r="O14" s="313"/>
      <c r="P14" s="313"/>
      <c r="Q14" s="312">
        <v>0.03</v>
      </c>
      <c r="R14" s="312"/>
    </row>
    <row r="15" spans="1:29" ht="13.2" x14ac:dyDescent="0.25">
      <c r="A15" s="42" t="str">
        <f>A14</f>
        <v>Construção de Redes de Abastecimento de Água, Coleta de Esgoto</v>
      </c>
      <c r="B15" s="44" t="s">
        <v>30</v>
      </c>
      <c r="C15" s="42" t="str">
        <f t="shared" si="0"/>
        <v>Construção de Redes de Abastecimento de Água, Coleta de Esgoto-SG</v>
      </c>
      <c r="E15" s="45">
        <v>2.8000000000000004E-3</v>
      </c>
      <c r="F15" s="45">
        <v>4.8999999999999998E-3</v>
      </c>
      <c r="G15" s="45">
        <v>7.4999999999999997E-3</v>
      </c>
    </row>
    <row r="16" spans="1:29" ht="12.75" customHeight="1" x14ac:dyDescent="0.25">
      <c r="B16" s="44"/>
      <c r="E16" s="45"/>
      <c r="F16" s="45"/>
      <c r="G16" s="45"/>
      <c r="I16" s="314" t="s">
        <v>39</v>
      </c>
      <c r="J16" s="314"/>
      <c r="K16" s="314"/>
      <c r="L16" s="314"/>
      <c r="M16" s="314" t="s">
        <v>40</v>
      </c>
      <c r="N16" s="316" t="s">
        <v>41</v>
      </c>
      <c r="O16" s="316" t="s">
        <v>42</v>
      </c>
      <c r="P16" s="314" t="s">
        <v>43</v>
      </c>
      <c r="Q16" s="314" t="s">
        <v>44</v>
      </c>
      <c r="R16" s="295" t="s">
        <v>45</v>
      </c>
      <c r="T16" s="292" t="str">
        <f>IF(V27,"Para BDI fora do intervalo estatístico, deve ser apresentado Relatório Técnico Circunstanciado justificando a adoção do percentual de cada parcela do BDI.","")</f>
        <v/>
      </c>
      <c r="U16" s="292"/>
      <c r="V16" s="93"/>
      <c r="W16" s="93"/>
      <c r="X16" s="93"/>
      <c r="Y16" s="93"/>
      <c r="Z16" s="93"/>
      <c r="AA16" s="93"/>
      <c r="AB16" s="93"/>
      <c r="AC16" s="93"/>
    </row>
    <row r="17" spans="1:31" ht="15.75" customHeight="1" x14ac:dyDescent="0.25">
      <c r="A17" s="42" t="str">
        <f>A15</f>
        <v>Construção de Redes de Abastecimento de Água, Coleta de Esgoto</v>
      </c>
      <c r="B17" s="44" t="s">
        <v>31</v>
      </c>
      <c r="C17" s="42" t="str">
        <f t="shared" si="0"/>
        <v>Construção de Redes de Abastecimento de Água, Coleta de Esgoto-R</v>
      </c>
      <c r="E17" s="45">
        <v>0.01</v>
      </c>
      <c r="F17" s="45">
        <v>1.3899999999999999E-2</v>
      </c>
      <c r="G17" s="45">
        <v>1.7399999999999999E-2</v>
      </c>
      <c r="I17" s="314"/>
      <c r="J17" s="314"/>
      <c r="K17" s="314"/>
      <c r="L17" s="314"/>
      <c r="M17" s="314"/>
      <c r="N17" s="316"/>
      <c r="O17" s="316"/>
      <c r="P17" s="314"/>
      <c r="Q17" s="314"/>
      <c r="R17" s="295"/>
      <c r="T17" s="292"/>
      <c r="U17" s="292"/>
      <c r="V17" s="93"/>
      <c r="W17" s="93"/>
      <c r="X17" s="93"/>
      <c r="Y17" s="93"/>
      <c r="Z17" s="93"/>
      <c r="AA17" s="93"/>
      <c r="AB17" s="93"/>
      <c r="AC17" s="93"/>
    </row>
    <row r="18" spans="1:31" ht="26.25" customHeight="1" x14ac:dyDescent="0.25">
      <c r="A18" s="42" t="str">
        <f>A17</f>
        <v>Construção de Redes de Abastecimento de Água, Coleta de Esgoto</v>
      </c>
      <c r="B18" s="44" t="s">
        <v>32</v>
      </c>
      <c r="C18" s="42" t="str">
        <f t="shared" si="0"/>
        <v>Construção de Redes de Abastecimento de Água, Coleta de Esgoto-DF</v>
      </c>
      <c r="E18" s="45">
        <v>9.3999999999999986E-3</v>
      </c>
      <c r="F18" s="45">
        <v>9.8999999999999991E-3</v>
      </c>
      <c r="G18" s="45">
        <v>1.1699999999999999E-2</v>
      </c>
      <c r="I18" s="280" t="str">
        <f>IF($I$11=$A$59,"Encargos Sociais incidentes sobre a mão de obra","Administração Central")</f>
        <v>Encargos Sociais incidentes sobre a mão de obra</v>
      </c>
      <c r="J18" s="280"/>
      <c r="K18" s="280"/>
      <c r="L18" s="280"/>
      <c r="M18" s="50" t="str">
        <f>IF($I$11=$A$59,"K1","AC")</f>
        <v>K1</v>
      </c>
      <c r="N18" s="51"/>
      <c r="O18" s="52" t="s">
        <v>46</v>
      </c>
      <c r="P18" s="53" t="str">
        <f>VLOOKUP(CONCATENATE(I$11,"-",M18),$C$2:$G$49,3,FALSE)</f>
        <v>-</v>
      </c>
      <c r="Q18" s="53" t="str">
        <f>VLOOKUP(CONCATENATE(I$11,"-",M18),$C$2:$G$49,4,FALSE)</f>
        <v>-</v>
      </c>
      <c r="R18" s="53" t="str">
        <f>VLOOKUP(CONCATENATE(I$11,"-",M18),$C$2:$G$49,5,FALSE)</f>
        <v>-</v>
      </c>
      <c r="T18" s="292"/>
      <c r="U18" s="292"/>
      <c r="V18" s="93"/>
      <c r="W18" s="93"/>
      <c r="X18" s="93"/>
      <c r="Y18" s="93"/>
      <c r="Z18" s="93"/>
      <c r="AA18" s="93"/>
      <c r="AB18" s="93"/>
      <c r="AC18" s="93"/>
    </row>
    <row r="19" spans="1:31" ht="26.25" customHeight="1" x14ac:dyDescent="0.25">
      <c r="A19" s="42" t="str">
        <f>A18</f>
        <v>Construção de Redes de Abastecimento de Água, Coleta de Esgoto</v>
      </c>
      <c r="B19" s="44" t="s">
        <v>164</v>
      </c>
      <c r="C19" s="42" t="str">
        <f t="shared" si="0"/>
        <v>Construção de Redes de Abastecimento de Água, Coleta de Esgoto-L</v>
      </c>
      <c r="E19" s="45">
        <v>6.7400000000000002E-2</v>
      </c>
      <c r="F19" s="45">
        <v>8.0399999999999985E-2</v>
      </c>
      <c r="G19" s="45">
        <v>9.4E-2</v>
      </c>
      <c r="I19" s="280" t="str">
        <f>IF($I$11=$A$59,"Administração Central da empresa ou consultoria - overhead","Seguro e Garantia")</f>
        <v>Administração Central da empresa ou consultoria - overhead</v>
      </c>
      <c r="J19" s="280"/>
      <c r="K19" s="280"/>
      <c r="L19" s="280"/>
      <c r="M19" s="50" t="str">
        <f>IF($I$11=$A$59,"K2","SG")</f>
        <v>K2</v>
      </c>
      <c r="N19" s="51">
        <v>3.5700000000000003E-2</v>
      </c>
      <c r="O19" s="52" t="s">
        <v>46</v>
      </c>
      <c r="P19" s="53" t="str">
        <f>VLOOKUP(CONCATENATE(I$11,"-",M19),$C$2:$G$49,3,FALSE)</f>
        <v>-</v>
      </c>
      <c r="Q19" s="53">
        <f>VLOOKUP(CONCATENATE(I$11,"-",M19),$C$2:$G$49,4,FALSE)</f>
        <v>0.2</v>
      </c>
      <c r="R19" s="53" t="str">
        <f>VLOOKUP(CONCATENATE(I$11,"-",M19),$C$2:$G$49,5,FALSE)</f>
        <v>-</v>
      </c>
      <c r="T19" s="292"/>
      <c r="U19" s="292"/>
      <c r="V19" s="93"/>
      <c r="W19" s="93"/>
      <c r="X19" s="93"/>
      <c r="Y19" s="93"/>
      <c r="Z19" s="93"/>
      <c r="AA19" s="93"/>
      <c r="AB19" s="93"/>
      <c r="AC19" s="93"/>
    </row>
    <row r="20" spans="1:31" ht="26.25" customHeight="1" x14ac:dyDescent="0.25">
      <c r="A20" s="42" t="str">
        <f>A19</f>
        <v>Construção de Redes de Abastecimento de Água, Coleta de Esgoto</v>
      </c>
      <c r="B20" s="49" t="s">
        <v>33</v>
      </c>
      <c r="C20" s="42" t="str">
        <f t="shared" si="0"/>
        <v>Construção de Redes de Abastecimento de Água, Coleta de Esgoto-BDI PAD</v>
      </c>
      <c r="E20" s="45">
        <v>0.20760000000000001</v>
      </c>
      <c r="F20" s="45">
        <v>0.24179999999999999</v>
      </c>
      <c r="G20" s="45">
        <v>0.26440000000000002</v>
      </c>
      <c r="I20" s="280" t="str">
        <f>IF($I$11=$A$59,"","Risco")</f>
        <v/>
      </c>
      <c r="J20" s="280"/>
      <c r="K20" s="280"/>
      <c r="L20" s="280"/>
      <c r="M20" s="50" t="str">
        <f>IF($I$11=$A$59,"","R")</f>
        <v/>
      </c>
      <c r="N20" s="51"/>
      <c r="O20" s="52" t="s">
        <v>46</v>
      </c>
      <c r="P20" s="53" t="str">
        <f>VLOOKUP(CONCATENATE(I$11,"-",M20),$C$2:$G$49,3,FALSE)</f>
        <v>-</v>
      </c>
      <c r="Q20" s="53" t="str">
        <f>VLOOKUP(CONCATENATE(I$11,"-",M20),$C$2:$G$49,4,FALSE)</f>
        <v>-</v>
      </c>
      <c r="R20" s="53" t="str">
        <f>VLOOKUP(CONCATENATE(I$11,"-",M20),$C$2:$G$49,5,FALSE)</f>
        <v>-</v>
      </c>
      <c r="T20" s="292"/>
      <c r="U20" s="292"/>
      <c r="V20" s="93"/>
      <c r="W20" s="93"/>
      <c r="X20" s="93"/>
      <c r="Y20" s="93"/>
      <c r="Z20" s="93"/>
      <c r="AA20" s="93"/>
      <c r="AB20" s="93"/>
      <c r="AC20" s="93"/>
    </row>
    <row r="21" spans="1:31" ht="26.25" customHeight="1" x14ac:dyDescent="0.25">
      <c r="A21" s="42" t="s">
        <v>47</v>
      </c>
      <c r="B21" s="44" t="s">
        <v>29</v>
      </c>
      <c r="C21" s="42" t="str">
        <f t="shared" si="0"/>
        <v>Construção e Manutenção de Estações e Redes de Distribuição de Energia Elétrica-AC</v>
      </c>
      <c r="E21" s="45">
        <v>5.2900000000000003E-2</v>
      </c>
      <c r="F21" s="45">
        <v>5.9200000000000003E-2</v>
      </c>
      <c r="G21" s="45">
        <v>7.9299999999999995E-2</v>
      </c>
      <c r="I21" s="280" t="str">
        <f>IF($I$11=$A$59,"","Despesas Financeiras")</f>
        <v/>
      </c>
      <c r="J21" s="280"/>
      <c r="K21" s="280"/>
      <c r="L21" s="280"/>
      <c r="M21" s="50" t="str">
        <f>IF($I$11=$A$59,"","DF")</f>
        <v/>
      </c>
      <c r="N21" s="51"/>
      <c r="O21" s="52" t="s">
        <v>46</v>
      </c>
      <c r="P21" s="53" t="str">
        <f>VLOOKUP(CONCATENATE(I$11,"-",M21),$C$2:$G$49,3,FALSE)</f>
        <v>-</v>
      </c>
      <c r="Q21" s="53" t="str">
        <f>VLOOKUP(CONCATENATE(I$11,"-",M21),$C$2:$G$49,4,FALSE)</f>
        <v>-</v>
      </c>
      <c r="R21" s="53" t="str">
        <f>VLOOKUP(CONCATENATE(I$11,"-",M21),$C$2:$G$49,5,FALSE)</f>
        <v>-</v>
      </c>
      <c r="T21" s="292"/>
      <c r="U21" s="292"/>
    </row>
    <row r="22" spans="1:31" ht="26.25" customHeight="1" x14ac:dyDescent="0.25">
      <c r="A22" s="42" t="str">
        <f>A21</f>
        <v>Construção e Manutenção de Estações e Redes de Distribuição de Energia Elétrica</v>
      </c>
      <c r="B22" s="44" t="s">
        <v>30</v>
      </c>
      <c r="C22" s="42" t="str">
        <f t="shared" si="0"/>
        <v>Construção e Manutenção de Estações e Redes de Distribuição de Energia Elétrica-SG</v>
      </c>
      <c r="E22" s="45">
        <v>2.5000000000000001E-3</v>
      </c>
      <c r="F22" s="45">
        <v>5.1000000000000004E-3</v>
      </c>
      <c r="G22" s="45">
        <v>5.6000000000000008E-3</v>
      </c>
      <c r="I22" s="280" t="str">
        <f>IF($I$11=$A$59,"Margem bruta da empresa de consultoria","Lucro")</f>
        <v>Margem bruta da empresa de consultoria</v>
      </c>
      <c r="J22" s="280"/>
      <c r="K22" s="280"/>
      <c r="L22" s="280"/>
      <c r="M22" s="50" t="str">
        <f>IF($I$11=$A$59,"K3","L")</f>
        <v>K3</v>
      </c>
      <c r="N22" s="51"/>
      <c r="O22" s="52" t="s">
        <v>46</v>
      </c>
      <c r="P22" s="53" t="str">
        <f>VLOOKUP(CONCATENATE(I$11,"-",M22),$C$2:$G$49,3,FALSE)</f>
        <v>-</v>
      </c>
      <c r="Q22" s="53">
        <f>VLOOKUP(CONCATENATE(I$11,"-",M22),$C$2:$G$49,4,FALSE)</f>
        <v>0.12</v>
      </c>
      <c r="R22" s="53" t="str">
        <f>VLOOKUP(CONCATENATE(I$11,"-",M22),$C$2:$G$49,5,FALSE)</f>
        <v>-</v>
      </c>
      <c r="T22" s="292"/>
      <c r="U22" s="292"/>
    </row>
    <row r="23" spans="1:31" ht="26.25" customHeight="1" x14ac:dyDescent="0.25">
      <c r="A23" s="42" t="str">
        <f>A22</f>
        <v>Construção e Manutenção de Estações e Redes de Distribuição de Energia Elétrica</v>
      </c>
      <c r="B23" s="44" t="s">
        <v>31</v>
      </c>
      <c r="C23" s="42" t="str">
        <f t="shared" si="0"/>
        <v>Construção e Manutenção de Estações e Redes de Distribuição de Energia Elétrica-R</v>
      </c>
      <c r="E23" s="45">
        <v>0.01</v>
      </c>
      <c r="F23" s="45">
        <v>1.4800000000000001E-2</v>
      </c>
      <c r="G23" s="45">
        <v>1.9699999999999999E-2</v>
      </c>
      <c r="I23" s="294" t="s">
        <v>48</v>
      </c>
      <c r="J23" s="294"/>
      <c r="K23" s="294"/>
      <c r="L23" s="294"/>
      <c r="M23" s="50" t="s">
        <v>49</v>
      </c>
      <c r="N23" s="51">
        <v>3.6299999999999999E-2</v>
      </c>
      <c r="O23" s="52" t="s">
        <v>46</v>
      </c>
      <c r="P23" s="53">
        <v>3.6499999999999998E-2</v>
      </c>
      <c r="Q23" s="53">
        <v>3.6499999999999998E-2</v>
      </c>
      <c r="R23" s="53">
        <v>3.6499999999999998E-2</v>
      </c>
      <c r="T23" s="292"/>
      <c r="U23" s="292"/>
    </row>
    <row r="24" spans="1:31" ht="26.25" customHeight="1" x14ac:dyDescent="0.25">
      <c r="A24" s="42" t="str">
        <f>A23</f>
        <v>Construção e Manutenção de Estações e Redes de Distribuição de Energia Elétrica</v>
      </c>
      <c r="B24" s="44" t="s">
        <v>32</v>
      </c>
      <c r="C24" s="42" t="str">
        <f t="shared" si="0"/>
        <v>Construção e Manutenção de Estações e Redes de Distribuição de Energia Elétrica-DF</v>
      </c>
      <c r="E24" s="45">
        <v>1.01E-2</v>
      </c>
      <c r="F24" s="45">
        <v>1.0700000000000001E-2</v>
      </c>
      <c r="G24" s="45">
        <v>1.11E-2</v>
      </c>
      <c r="I24" s="280" t="s">
        <v>50</v>
      </c>
      <c r="J24" s="280"/>
      <c r="K24" s="280"/>
      <c r="L24" s="280"/>
      <c r="M24" s="50" t="s">
        <v>51</v>
      </c>
      <c r="N24" s="53">
        <f>IF($I$11&lt;&gt;$A$58,Q14*Q13,0)</f>
        <v>1.35E-2</v>
      </c>
      <c r="O24" s="52" t="s">
        <v>46</v>
      </c>
      <c r="P24" s="53">
        <v>0</v>
      </c>
      <c r="Q24" s="53">
        <v>2.5000000000000001E-2</v>
      </c>
      <c r="R24" s="53">
        <v>0.05</v>
      </c>
      <c r="T24" s="292"/>
      <c r="U24" s="292"/>
    </row>
    <row r="25" spans="1:31" ht="26.25" customHeight="1" x14ac:dyDescent="0.25">
      <c r="A25" s="42" t="str">
        <f>A24</f>
        <v>Construção e Manutenção de Estações e Redes de Distribuição de Energia Elétrica</v>
      </c>
      <c r="B25" s="44" t="s">
        <v>164</v>
      </c>
      <c r="C25" s="42" t="str">
        <f t="shared" si="0"/>
        <v>Construção e Manutenção de Estações e Redes de Distribuição de Energia Elétrica-L</v>
      </c>
      <c r="E25" s="45">
        <v>0.08</v>
      </c>
      <c r="F25" s="45">
        <v>8.3100000000000007E-2</v>
      </c>
      <c r="G25" s="45">
        <v>9.5100000000000004E-2</v>
      </c>
      <c r="I25" s="280" t="s">
        <v>116</v>
      </c>
      <c r="J25" s="280"/>
      <c r="K25" s="280"/>
      <c r="L25" s="280"/>
      <c r="M25" s="50" t="s">
        <v>52</v>
      </c>
      <c r="N25" s="53">
        <f>IF(AND($I$11&lt;&gt;$A$58,Q11="Sim"),4.5%,0%)</f>
        <v>0</v>
      </c>
      <c r="O25" s="52" t="str">
        <f>IF(AND(N25&gt;=P25, N25&lt;=R25), "OK", "Não OK")</f>
        <v>OK</v>
      </c>
      <c r="P25" s="54">
        <v>0</v>
      </c>
      <c r="Q25" s="54">
        <v>4.4999999999999998E-2</v>
      </c>
      <c r="R25" s="54">
        <v>4.4999999999999998E-2</v>
      </c>
    </row>
    <row r="26" spans="1:31" ht="30.75" customHeight="1" x14ac:dyDescent="0.3">
      <c r="A26" s="42" t="str">
        <f>A25</f>
        <v>Construção e Manutenção de Estações e Redes de Distribuição de Energia Elétrica</v>
      </c>
      <c r="B26" s="49" t="s">
        <v>33</v>
      </c>
      <c r="C26" s="42" t="str">
        <f t="shared" si="0"/>
        <v>Construção e Manutenção de Estações e Redes de Distribuição de Energia Elétrica-BDI PAD</v>
      </c>
      <c r="E26" s="45">
        <v>0.24</v>
      </c>
      <c r="F26" s="45">
        <v>0.25840000000000002</v>
      </c>
      <c r="G26" s="45">
        <v>0.27860000000000001</v>
      </c>
      <c r="I26" s="280" t="s">
        <v>53</v>
      </c>
      <c r="J26" s="280"/>
      <c r="K26" s="280"/>
      <c r="L26" s="280"/>
      <c r="M26" s="55" t="s">
        <v>33</v>
      </c>
      <c r="N26" s="53">
        <f>IF($I$11=$A$58,0,ROUND((((1+N18+N19+N20)*(1+N21)*(1+N22)/(1-(N23+N24)))-1),4))</f>
        <v>0.09</v>
      </c>
      <c r="O26" s="201" t="str">
        <f>IF(OR($I$11=$A$59,$I$11=$A$58,AND(N26&gt;=P26, N26&lt;=R26)), "OK", "FORA DO INTERVALO")</f>
        <v>OK</v>
      </c>
      <c r="P26" s="53" t="str">
        <f>IF($I$11=$A$58,0,VLOOKUP(CONCATENATE($I$11,"-",$M26),$C$2:$G$49,3,FALSE))</f>
        <v>-</v>
      </c>
      <c r="Q26" s="53" t="str">
        <f>IF($I$11=$A$58,0,VLOOKUP(CONCATENATE($I$11,"-",$M26),$C$2:$G$49,4,FALSE))</f>
        <v>-</v>
      </c>
      <c r="R26" s="53" t="str">
        <f>IF($I$11=$A$58,0,VLOOKUP(CONCATENATE($I$11,"-",$M26),$C$2:$G$49,5,FALSE))</f>
        <v>-</v>
      </c>
      <c r="T26" s="92"/>
      <c r="V26" s="93"/>
      <c r="W26" s="93"/>
      <c r="X26" s="93"/>
      <c r="Y26" s="93"/>
      <c r="Z26" s="93"/>
      <c r="AA26" s="93"/>
      <c r="AB26" s="93"/>
      <c r="AC26" s="93"/>
      <c r="AD26" s="93"/>
      <c r="AE26" s="93"/>
    </row>
    <row r="27" spans="1:31" ht="30" customHeight="1" x14ac:dyDescent="0.3">
      <c r="A27" s="42" t="s">
        <v>54</v>
      </c>
      <c r="B27" s="44" t="s">
        <v>29</v>
      </c>
      <c r="C27" s="42" t="str">
        <f t="shared" si="0"/>
        <v>Obras Portuárias, Marítimas e Fluviais-AC</v>
      </c>
      <c r="E27" s="45">
        <v>0.04</v>
      </c>
      <c r="F27" s="45">
        <v>5.5199999999999999E-2</v>
      </c>
      <c r="G27" s="45">
        <v>7.85E-2</v>
      </c>
      <c r="I27" s="281" t="s">
        <v>55</v>
      </c>
      <c r="J27" s="281"/>
      <c r="K27" s="281"/>
      <c r="L27" s="281"/>
      <c r="M27" s="56" t="s">
        <v>56</v>
      </c>
      <c r="N27" s="57">
        <f>IF($I$11=$A$58,0,ROUND((((1+N18+N19+N20)*(1+N21)*(1+N22)/(1-(N23+N24+N25)))-1),4))</f>
        <v>0.09</v>
      </c>
      <c r="O27" s="95" t="str">
        <f>IF(Q11&lt;&gt;"Sim","",O26)</f>
        <v/>
      </c>
      <c r="P27" s="282"/>
      <c r="Q27" s="282"/>
      <c r="R27" s="282"/>
      <c r="T27" s="92"/>
      <c r="V27" s="96" t="b">
        <f>AND(COUNTA(N18:N23)=6,O26&lt;&gt;"ok",NOT(V29))</f>
        <v>0</v>
      </c>
      <c r="W27" s="42" t="s">
        <v>118</v>
      </c>
    </row>
    <row r="28" spans="1:31" ht="7.5" customHeight="1" x14ac:dyDescent="0.25">
      <c r="A28" s="42" t="str">
        <f>A27</f>
        <v>Obras Portuárias, Marítimas e Fluviais</v>
      </c>
      <c r="B28" s="44" t="s">
        <v>30</v>
      </c>
      <c r="C28" s="42" t="str">
        <f t="shared" si="0"/>
        <v>Obras Portuárias, Marítimas e Fluviais-SG</v>
      </c>
      <c r="E28" s="45">
        <v>8.1000000000000013E-3</v>
      </c>
      <c r="F28" s="45">
        <v>1.2199999999999999E-2</v>
      </c>
      <c r="G28" s="45">
        <v>1.9900000000000001E-2</v>
      </c>
      <c r="V28" s="96"/>
    </row>
    <row r="29" spans="1:31" ht="21.75" customHeight="1" x14ac:dyDescent="0.25">
      <c r="A29" s="42" t="str">
        <f>A28</f>
        <v>Obras Portuárias, Marítimas e Fluviais</v>
      </c>
      <c r="B29" s="44" t="s">
        <v>31</v>
      </c>
      <c r="C29" s="42" t="str">
        <f t="shared" si="0"/>
        <v>Obras Portuárias, Marítimas e Fluviais-R</v>
      </c>
      <c r="E29" s="45">
        <v>1.46E-2</v>
      </c>
      <c r="F29" s="45">
        <v>2.3199999999999998E-2</v>
      </c>
      <c r="G29" s="45">
        <v>3.1600000000000003E-2</v>
      </c>
      <c r="I29" s="94" t="str">
        <f>IF(V29,"X","")</f>
        <v/>
      </c>
      <c r="J29" s="279" t="s">
        <v>117</v>
      </c>
      <c r="K29" s="279"/>
      <c r="L29" s="279"/>
      <c r="M29" s="279"/>
      <c r="N29" s="279"/>
      <c r="O29" s="279"/>
      <c r="P29" s="279"/>
      <c r="Q29" s="279"/>
      <c r="R29" s="279"/>
      <c r="V29" s="96" t="b">
        <v>0</v>
      </c>
      <c r="W29" s="42" t="s">
        <v>119</v>
      </c>
    </row>
    <row r="30" spans="1:31" ht="7.5" customHeight="1" x14ac:dyDescent="0.25">
      <c r="B30" s="44"/>
      <c r="E30" s="45"/>
      <c r="F30" s="45"/>
      <c r="G30" s="45"/>
      <c r="V30" s="96"/>
    </row>
    <row r="31" spans="1:31" ht="18.75" customHeight="1" x14ac:dyDescent="0.25">
      <c r="B31" s="44"/>
      <c r="E31" s="45"/>
      <c r="F31" s="45"/>
      <c r="G31" s="45"/>
      <c r="I31" s="284" t="s">
        <v>61</v>
      </c>
      <c r="J31" s="284"/>
      <c r="K31" s="284"/>
      <c r="L31" s="284"/>
      <c r="M31" s="284"/>
      <c r="N31" s="284"/>
      <c r="O31" s="284"/>
      <c r="P31" s="284"/>
      <c r="Q31" s="284"/>
      <c r="R31" s="284"/>
    </row>
    <row r="32" spans="1:31" ht="30" customHeight="1" x14ac:dyDescent="0.3">
      <c r="A32" s="42" t="str">
        <f>A29</f>
        <v>Obras Portuárias, Marítimas e Fluviais</v>
      </c>
      <c r="B32" s="44" t="s">
        <v>32</v>
      </c>
      <c r="C32" s="42" t="str">
        <f t="shared" si="0"/>
        <v>Obras Portuárias, Marítimas e Fluviais-DF</v>
      </c>
      <c r="E32" s="45">
        <v>9.3999999999999986E-3</v>
      </c>
      <c r="F32" s="45">
        <v>1.0200000000000001E-2</v>
      </c>
      <c r="G32" s="45">
        <v>1.3300000000000001E-2</v>
      </c>
      <c r="I32" s="85"/>
      <c r="J32" s="85"/>
      <c r="K32" s="85"/>
      <c r="L32" s="300" t="str">
        <f>IF(Q11="Sim","BDI.DES =","BDI.PAD =")</f>
        <v>BDI.PAD =</v>
      </c>
      <c r="M32" s="298" t="str">
        <f>IF($I$11=$A$59,"(1+K1+K2)*(1+K3)","(1+AC + S + R + G)*(1 + DF)*(1+L)")</f>
        <v>(1+K1+K2)*(1+K3)</v>
      </c>
      <c r="N32" s="298"/>
      <c r="O32" s="298"/>
      <c r="P32" s="296" t="s">
        <v>108</v>
      </c>
      <c r="Q32" s="85"/>
      <c r="R32" s="85"/>
    </row>
    <row r="33" spans="1:18" ht="27" customHeight="1" x14ac:dyDescent="0.25">
      <c r="A33" s="42" t="str">
        <f>A32</f>
        <v>Obras Portuárias, Marítimas e Fluviais</v>
      </c>
      <c r="B33" s="44" t="s">
        <v>164</v>
      </c>
      <c r="C33" s="42" t="str">
        <f t="shared" si="0"/>
        <v>Obras Portuárias, Marítimas e Fluviais-L</v>
      </c>
      <c r="E33" s="45">
        <v>7.1399999999999991E-2</v>
      </c>
      <c r="F33" s="45">
        <v>8.4000000000000005E-2</v>
      </c>
      <c r="G33" s="45">
        <v>0.1043</v>
      </c>
      <c r="I33" s="85"/>
      <c r="J33" s="85"/>
      <c r="K33" s="85"/>
      <c r="L33" s="300"/>
      <c r="M33" s="299" t="str">
        <f>IF(Q11="Sim","(1-CP-ISS-CRPB)","(1-CP-ISS)")</f>
        <v>(1-CP-ISS)</v>
      </c>
      <c r="N33" s="299"/>
      <c r="O33" s="299"/>
      <c r="P33" s="297"/>
      <c r="Q33" s="85"/>
      <c r="R33" s="85"/>
    </row>
    <row r="34" spans="1:18" ht="7.5" customHeight="1" x14ac:dyDescent="0.25">
      <c r="A34" s="42" t="str">
        <f>A33</f>
        <v>Obras Portuárias, Marítimas e Fluviais</v>
      </c>
      <c r="B34" s="49" t="s">
        <v>33</v>
      </c>
      <c r="C34" s="42" t="str">
        <f t="shared" si="0"/>
        <v>Obras Portuárias, Marítimas e Fluviais-BDI PAD</v>
      </c>
      <c r="E34" s="45">
        <v>0.22800000000000001</v>
      </c>
      <c r="F34" s="45">
        <v>0.27479999999999999</v>
      </c>
      <c r="G34" s="45">
        <v>0.3095</v>
      </c>
      <c r="I34" s="61"/>
      <c r="J34" s="61"/>
      <c r="K34" s="61"/>
      <c r="L34" s="61"/>
      <c r="M34" s="61"/>
      <c r="N34" s="61"/>
      <c r="O34" s="61"/>
      <c r="P34" s="61"/>
      <c r="Q34" s="61"/>
      <c r="R34" s="61"/>
    </row>
    <row r="35" spans="1:18" ht="45" customHeight="1" x14ac:dyDescent="0.25">
      <c r="B35" s="49"/>
      <c r="E35" s="45"/>
      <c r="F35" s="45"/>
      <c r="G35" s="45"/>
      <c r="I35" s="285" t="str">
        <f>CONCATENATE("Declaro para os devidos fins que, conforme legislação tributária municipal, a base de cálculo para ",I11,", é de ",Q13*100,"%, com a respectiva alíquota de ",Q14*100,"%.")</f>
        <v>Declaro para os devidos fins que, conforme legislação tributária municipal, a base de cálculo para Estudos e Projetos, Planos e Gerenciamento e outros correlatos, é de 45%, com a respectiva alíquota de 3%.</v>
      </c>
      <c r="J35" s="285"/>
      <c r="K35" s="285"/>
      <c r="L35" s="285"/>
      <c r="M35" s="285"/>
      <c r="N35" s="285"/>
      <c r="O35" s="285"/>
      <c r="P35" s="285"/>
      <c r="Q35" s="285"/>
      <c r="R35" s="285"/>
    </row>
    <row r="36" spans="1:18" ht="11.25" customHeight="1" x14ac:dyDescent="0.25">
      <c r="B36" s="49"/>
      <c r="E36" s="45"/>
      <c r="F36" s="45"/>
      <c r="G36" s="45"/>
    </row>
    <row r="37" spans="1:18" ht="52.5" customHeight="1" x14ac:dyDescent="0.25">
      <c r="B37" s="49"/>
      <c r="E37" s="45"/>
      <c r="F37" s="45"/>
      <c r="G37" s="45"/>
      <c r="I37" s="285"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285"/>
      <c r="K37" s="285"/>
      <c r="L37" s="285"/>
      <c r="M37" s="285"/>
      <c r="N37" s="285"/>
      <c r="O37" s="285"/>
      <c r="P37" s="285"/>
      <c r="Q37" s="285"/>
      <c r="R37" s="285"/>
    </row>
    <row r="38" spans="1:18" ht="18" customHeight="1" x14ac:dyDescent="0.25">
      <c r="A38" s="42" t="s">
        <v>137</v>
      </c>
      <c r="B38" s="44" t="s">
        <v>29</v>
      </c>
      <c r="C38" s="42" t="str">
        <f t="shared" si="0"/>
        <v>Fornecimento de Materiais e Equipamentos (aquisição indireta - em conjunto com licitação de obras)-AC</v>
      </c>
      <c r="E38" s="45">
        <v>1.4999999999999999E-2</v>
      </c>
      <c r="F38" s="45">
        <v>3.4500000000000003E-2</v>
      </c>
      <c r="G38" s="45">
        <v>4.4900000000000002E-2</v>
      </c>
    </row>
    <row r="39" spans="1:18" ht="13.2" x14ac:dyDescent="0.25">
      <c r="A39" s="42" t="str">
        <f>A38</f>
        <v>Fornecimento de Materiais e Equipamentos (aquisição indireta - em conjunto com licitação de obras)</v>
      </c>
      <c r="B39" s="44" t="s">
        <v>30</v>
      </c>
      <c r="C39" s="42" t="str">
        <f t="shared" si="0"/>
        <v>Fornecimento de Materiais e Equipamentos (aquisição indireta - em conjunto com licitação de obras)-SG</v>
      </c>
      <c r="E39" s="45">
        <v>3.0000000000000001E-3</v>
      </c>
      <c r="F39" s="45">
        <v>4.7999999999999996E-3</v>
      </c>
      <c r="G39" s="45">
        <v>8.199999999999999E-3</v>
      </c>
      <c r="I39" s="42" t="s">
        <v>21</v>
      </c>
    </row>
    <row r="40" spans="1:18" ht="42.75" customHeight="1" x14ac:dyDescent="0.25">
      <c r="A40" s="42" t="str">
        <f>A39</f>
        <v>Fornecimento de Materiais e Equipamentos (aquisição indireta - em conjunto com licitação de obras)</v>
      </c>
      <c r="B40" s="44" t="s">
        <v>31</v>
      </c>
      <c r="C40" s="42" t="str">
        <f t="shared" si="0"/>
        <v>Fornecimento de Materiais e Equipamentos (aquisição indireta - em conjunto com licitação de obras)-R</v>
      </c>
      <c r="E40" s="45">
        <v>5.6000000000000008E-3</v>
      </c>
      <c r="F40" s="45">
        <v>8.5000000000000006E-3</v>
      </c>
      <c r="G40" s="45">
        <v>8.8999999999999999E-3</v>
      </c>
      <c r="I40" s="287" t="s">
        <v>234</v>
      </c>
      <c r="J40" s="288"/>
      <c r="K40" s="288"/>
      <c r="L40" s="288"/>
      <c r="M40" s="288"/>
      <c r="N40" s="288"/>
      <c r="O40" s="288"/>
      <c r="P40" s="288"/>
      <c r="Q40" s="288"/>
      <c r="R40" s="289"/>
    </row>
    <row r="41" spans="1:18" ht="16.5" customHeight="1" x14ac:dyDescent="0.25">
      <c r="A41" s="42" t="str">
        <f>A40</f>
        <v>Fornecimento de Materiais e Equipamentos (aquisição indireta - em conjunto com licitação de obras)</v>
      </c>
      <c r="B41" s="44" t="s">
        <v>32</v>
      </c>
      <c r="C41" s="42" t="str">
        <f t="shared" si="0"/>
        <v>Fornecimento de Materiais e Equipamentos (aquisição indireta - em conjunto com licitação de obras)-DF</v>
      </c>
      <c r="E41" s="45">
        <v>8.5000000000000006E-3</v>
      </c>
      <c r="F41" s="45">
        <v>8.5000000000000006E-3</v>
      </c>
      <c r="G41" s="45">
        <v>1.11E-2</v>
      </c>
    </row>
    <row r="42" spans="1:18" ht="13.2" x14ac:dyDescent="0.25">
      <c r="A42" s="42" t="str">
        <f>A41</f>
        <v>Fornecimento de Materiais e Equipamentos (aquisição indireta - em conjunto com licitação de obras)</v>
      </c>
      <c r="B42" s="44" t="s">
        <v>164</v>
      </c>
      <c r="C42" s="42" t="str">
        <f t="shared" si="0"/>
        <v>Fornecimento de Materiais e Equipamentos (aquisição indireta - em conjunto com licitação de obras)-L</v>
      </c>
      <c r="E42" s="45">
        <v>3.5000000000000003E-2</v>
      </c>
      <c r="F42" s="45">
        <v>5.1100000000000007E-2</v>
      </c>
      <c r="G42" s="45">
        <v>6.2199999999999998E-2</v>
      </c>
      <c r="I42" s="293" t="str">
        <f>PO!K614</f>
        <v>BENTO GONÇALVES/RS</v>
      </c>
      <c r="J42" s="293"/>
      <c r="K42" s="293"/>
      <c r="L42" s="293"/>
      <c r="O42" s="286">
        <f ca="1">PO!K617</f>
        <v>45770</v>
      </c>
      <c r="P42" s="286"/>
      <c r="Q42" s="286"/>
      <c r="R42" s="286"/>
    </row>
    <row r="43" spans="1:18" ht="15" customHeight="1" x14ac:dyDescent="0.25">
      <c r="A43" s="42" t="str">
        <f>A42</f>
        <v>Fornecimento de Materiais e Equipamentos (aquisição indireta - em conjunto com licitação de obras)</v>
      </c>
      <c r="B43" s="49" t="s">
        <v>33</v>
      </c>
      <c r="C43" s="42" t="str">
        <f t="shared" si="0"/>
        <v>Fornecimento de Materiais e Equipamentos (aquisição indireta - em conjunto com licitação de obras)-BDI PAD</v>
      </c>
      <c r="E43" s="45">
        <v>0.111</v>
      </c>
      <c r="F43" s="45">
        <v>0.14019999999999999</v>
      </c>
      <c r="G43" s="45">
        <v>0.16800000000000001</v>
      </c>
      <c r="I43" s="311" t="s">
        <v>120</v>
      </c>
      <c r="J43" s="311"/>
      <c r="K43" s="311"/>
      <c r="L43" s="311"/>
      <c r="N43" s="58"/>
      <c r="O43" s="122" t="s">
        <v>121</v>
      </c>
      <c r="P43" s="123"/>
      <c r="Q43" s="123"/>
      <c r="R43" s="123"/>
    </row>
    <row r="44" spans="1:18" ht="13.2" x14ac:dyDescent="0.25">
      <c r="A44" s="42" t="s">
        <v>59</v>
      </c>
      <c r="B44" s="44" t="s">
        <v>104</v>
      </c>
      <c r="C44" s="42" t="str">
        <f t="shared" si="0"/>
        <v>Estudos e Projetos, Planos e Gerenciamento e outros correlatos-K1</v>
      </c>
      <c r="E44" s="45" t="s">
        <v>46</v>
      </c>
      <c r="F44" s="45" t="s">
        <v>46</v>
      </c>
      <c r="G44" s="45" t="s">
        <v>46</v>
      </c>
    </row>
    <row r="45" spans="1:18" ht="30" customHeight="1" x14ac:dyDescent="0.25">
      <c r="A45" s="42" t="str">
        <f>A44</f>
        <v>Estudos e Projetos, Planos e Gerenciamento e outros correlatos</v>
      </c>
      <c r="B45" s="44" t="s">
        <v>105</v>
      </c>
      <c r="C45" s="42" t="str">
        <f t="shared" si="0"/>
        <v>Estudos e Projetos, Planos e Gerenciamento e outros correlatos-K2</v>
      </c>
      <c r="E45" s="45" t="s">
        <v>46</v>
      </c>
      <c r="F45" s="45">
        <v>0.2</v>
      </c>
      <c r="G45" s="45" t="s">
        <v>46</v>
      </c>
      <c r="I45" s="283"/>
      <c r="J45" s="283"/>
      <c r="K45" s="283"/>
      <c r="L45" s="283"/>
      <c r="M45" s="59"/>
      <c r="N45" s="59"/>
      <c r="O45" s="283"/>
      <c r="P45" s="283"/>
      <c r="Q45" s="283"/>
      <c r="R45" s="283"/>
    </row>
    <row r="46" spans="1:18" ht="13.2" x14ac:dyDescent="0.25">
      <c r="A46" s="42" t="str">
        <f>A45</f>
        <v>Estudos e Projetos, Planos e Gerenciamento e outros correlatos</v>
      </c>
      <c r="B46" s="44" t="s">
        <v>106</v>
      </c>
      <c r="C46" s="42" t="str">
        <f t="shared" si="0"/>
        <v>Estudos e Projetos, Planos e Gerenciamento e outros correlatos-</v>
      </c>
      <c r="E46" s="45" t="s">
        <v>46</v>
      </c>
      <c r="F46" s="45" t="s">
        <v>46</v>
      </c>
      <c r="G46" s="45" t="s">
        <v>46</v>
      </c>
      <c r="I46" s="290" t="s">
        <v>57</v>
      </c>
      <c r="J46" s="290"/>
      <c r="K46" s="290"/>
      <c r="L46" s="290"/>
      <c r="O46" s="290" t="s">
        <v>58</v>
      </c>
      <c r="P46" s="290"/>
      <c r="Q46" s="290"/>
      <c r="R46" s="290"/>
    </row>
    <row r="47" spans="1:18" ht="13.8" x14ac:dyDescent="0.25">
      <c r="A47" s="42" t="str">
        <f>A46</f>
        <v>Estudos e Projetos, Planos e Gerenciamento e outros correlatos</v>
      </c>
      <c r="B47" s="44" t="s">
        <v>106</v>
      </c>
      <c r="C47" s="42" t="str">
        <f t="shared" si="0"/>
        <v>Estudos e Projetos, Planos e Gerenciamento e outros correlatos-</v>
      </c>
      <c r="E47" s="45" t="s">
        <v>46</v>
      </c>
      <c r="F47" s="45" t="s">
        <v>46</v>
      </c>
      <c r="G47" s="45" t="s">
        <v>46</v>
      </c>
      <c r="I47" s="200" t="s">
        <v>140</v>
      </c>
      <c r="J47" s="278">
        <f>DADOS!B54</f>
        <v>0</v>
      </c>
      <c r="K47" s="278"/>
      <c r="L47" s="278"/>
      <c r="M47" s="59"/>
      <c r="N47" s="59"/>
      <c r="O47" s="200" t="s">
        <v>140</v>
      </c>
      <c r="P47" s="291" t="s">
        <v>237</v>
      </c>
      <c r="Q47" s="291"/>
      <c r="R47" s="291"/>
    </row>
    <row r="48" spans="1:18" ht="13.8" x14ac:dyDescent="0.25">
      <c r="A48" s="42" t="str">
        <f>A47</f>
        <v>Estudos e Projetos, Planos e Gerenciamento e outros correlatos</v>
      </c>
      <c r="B48" s="44" t="s">
        <v>107</v>
      </c>
      <c r="C48" s="42" t="str">
        <f t="shared" si="0"/>
        <v>Estudos e Projetos, Planos e Gerenciamento e outros correlatos-K3</v>
      </c>
      <c r="E48" s="45" t="s">
        <v>46</v>
      </c>
      <c r="F48" s="45">
        <v>0.12</v>
      </c>
      <c r="G48" s="45" t="s">
        <v>46</v>
      </c>
      <c r="I48" s="200" t="s">
        <v>17</v>
      </c>
      <c r="J48" s="278">
        <f>DADOS!B55</f>
        <v>0</v>
      </c>
      <c r="K48" s="278"/>
      <c r="L48" s="278"/>
      <c r="M48" s="59"/>
      <c r="N48" s="59"/>
      <c r="O48" s="200" t="s">
        <v>60</v>
      </c>
      <c r="P48" s="291" t="s">
        <v>231</v>
      </c>
      <c r="Q48" s="291"/>
      <c r="R48" s="291"/>
    </row>
    <row r="49" spans="1:18" ht="13.8" x14ac:dyDescent="0.25">
      <c r="A49" s="42" t="str">
        <f>A48</f>
        <v>Estudos e Projetos, Planos e Gerenciamento e outros correlatos</v>
      </c>
      <c r="B49" s="49" t="s">
        <v>33</v>
      </c>
      <c r="C49" s="42" t="str">
        <f t="shared" si="0"/>
        <v>Estudos e Projetos, Planos e Gerenciamento e outros correlatos-BDI PAD</v>
      </c>
      <c r="E49" s="45" t="s">
        <v>46</v>
      </c>
      <c r="F49" s="45" t="s">
        <v>46</v>
      </c>
      <c r="G49" s="45" t="s">
        <v>46</v>
      </c>
      <c r="I49" s="200" t="str">
        <f>DADOS!A56</f>
        <v>Empresa:</v>
      </c>
      <c r="J49" s="278">
        <f>DADOS!B56</f>
        <v>0</v>
      </c>
      <c r="K49" s="278"/>
      <c r="L49" s="278"/>
      <c r="M49" s="59"/>
      <c r="N49" s="59"/>
      <c r="O49" s="59"/>
      <c r="P49" s="59"/>
      <c r="Q49" s="59"/>
      <c r="R49" s="59"/>
    </row>
    <row r="50" spans="1:18" ht="13.2" x14ac:dyDescent="0.25">
      <c r="I50" s="200" t="str">
        <f>DADOS!A57</f>
        <v>CNPJ:</v>
      </c>
      <c r="J50" s="278">
        <f>DADOS!B57</f>
        <v>0</v>
      </c>
      <c r="K50" s="278"/>
      <c r="L50" s="278"/>
    </row>
    <row r="51" spans="1:18" ht="13.2" x14ac:dyDescent="0.25"/>
    <row r="52" spans="1:18" ht="13.2" hidden="1" x14ac:dyDescent="0.25">
      <c r="A52" s="42" t="s">
        <v>28</v>
      </c>
    </row>
    <row r="53" spans="1:18" ht="13.2" hidden="1" x14ac:dyDescent="0.25">
      <c r="A53" s="42" t="s">
        <v>34</v>
      </c>
    </row>
    <row r="54" spans="1:18" ht="13.2" hidden="1" x14ac:dyDescent="0.25">
      <c r="A54" s="42" t="s">
        <v>37</v>
      </c>
    </row>
    <row r="55" spans="1:18" ht="13.2" hidden="1" x14ac:dyDescent="0.25">
      <c r="A55" s="42" t="s">
        <v>47</v>
      </c>
    </row>
    <row r="56" spans="1:18" ht="13.2" hidden="1" x14ac:dyDescent="0.25">
      <c r="A56" s="42" t="s">
        <v>54</v>
      </c>
    </row>
    <row r="57" spans="1:18" ht="13.2" hidden="1" x14ac:dyDescent="0.25">
      <c r="A57" s="42" t="s">
        <v>137</v>
      </c>
    </row>
    <row r="58" spans="1:18" ht="13.2" hidden="1" x14ac:dyDescent="0.25">
      <c r="A58" s="42" t="s">
        <v>138</v>
      </c>
    </row>
    <row r="59" spans="1:18" ht="13.2" hidden="1" x14ac:dyDescent="0.25">
      <c r="A59" s="42" t="s">
        <v>59</v>
      </c>
    </row>
    <row r="60" spans="1:18" ht="13.8" hidden="1" x14ac:dyDescent="0.25">
      <c r="A60" s="60"/>
      <c r="B60" s="59"/>
      <c r="C60" s="59"/>
      <c r="D60" s="59"/>
      <c r="E60" s="59"/>
      <c r="F60" s="59"/>
      <c r="G60" s="59"/>
    </row>
  </sheetData>
  <sheetProtection password="C95B" sheet="1" objects="1" scenarios="1"/>
  <mergeCells count="55">
    <mergeCell ref="I8:R8"/>
    <mergeCell ref="I4:J4"/>
    <mergeCell ref="K4:R4"/>
    <mergeCell ref="I5:J5"/>
    <mergeCell ref="K5:R5"/>
    <mergeCell ref="I7:R7"/>
    <mergeCell ref="I10:P10"/>
    <mergeCell ref="Q10:R10"/>
    <mergeCell ref="I11:P11"/>
    <mergeCell ref="Q11:R11"/>
    <mergeCell ref="I13:P13"/>
    <mergeCell ref="Q13:R13"/>
    <mergeCell ref="I14:P14"/>
    <mergeCell ref="Q14:R14"/>
    <mergeCell ref="I16:L17"/>
    <mergeCell ref="M16:M17"/>
    <mergeCell ref="N16:N17"/>
    <mergeCell ref="O16:O17"/>
    <mergeCell ref="P16:P17"/>
    <mergeCell ref="Q16:Q17"/>
    <mergeCell ref="R16:R17"/>
    <mergeCell ref="T16:U24"/>
    <mergeCell ref="I18:L18"/>
    <mergeCell ref="I19:L19"/>
    <mergeCell ref="I20:L20"/>
    <mergeCell ref="I21:L21"/>
    <mergeCell ref="I22:L22"/>
    <mergeCell ref="I23:L23"/>
    <mergeCell ref="I24:L24"/>
    <mergeCell ref="I37:R37"/>
    <mergeCell ref="I25:L25"/>
    <mergeCell ref="I26:L26"/>
    <mergeCell ref="I27:L27"/>
    <mergeCell ref="P27:R27"/>
    <mergeCell ref="J29:R29"/>
    <mergeCell ref="I31:R31"/>
    <mergeCell ref="L32:L33"/>
    <mergeCell ref="M32:O32"/>
    <mergeCell ref="P32:P33"/>
    <mergeCell ref="M33:O33"/>
    <mergeCell ref="I35:R35"/>
    <mergeCell ref="I40:R40"/>
    <mergeCell ref="I42:L42"/>
    <mergeCell ref="O42:R42"/>
    <mergeCell ref="I43:L43"/>
    <mergeCell ref="I45:L45"/>
    <mergeCell ref="O45:R45"/>
    <mergeCell ref="J49:L49"/>
    <mergeCell ref="J50:L50"/>
    <mergeCell ref="I46:L46"/>
    <mergeCell ref="O46:R46"/>
    <mergeCell ref="J47:L47"/>
    <mergeCell ref="P47:R47"/>
    <mergeCell ref="J48:L48"/>
    <mergeCell ref="P48:R48"/>
  </mergeCells>
  <conditionalFormatting sqref="O42">
    <cfRule type="expression" dxfId="1012" priority="3" stopIfTrue="1">
      <formula>$O$42=""</formula>
    </cfRule>
  </conditionalFormatting>
  <conditionalFormatting sqref="O18:O27">
    <cfRule type="expression" dxfId="1011" priority="8" stopIfTrue="1">
      <formula>AND(O18&lt;&gt;"OK",O18&lt;&gt;"-",O18&lt;&gt;"")</formula>
    </cfRule>
    <cfRule type="cellIs" dxfId="1010" priority="9" stopIfTrue="1" operator="equal">
      <formula>"OK"</formula>
    </cfRule>
  </conditionalFormatting>
  <conditionalFormatting sqref="I26:N26">
    <cfRule type="expression" dxfId="1009" priority="7" stopIfTrue="1">
      <formula>$Q$11="Não"</formula>
    </cfRule>
  </conditionalFormatting>
  <conditionalFormatting sqref="I27:N27">
    <cfRule type="expression" dxfId="1008" priority="6" stopIfTrue="1">
      <formula>$Q$11="sim"</formula>
    </cfRule>
  </conditionalFormatting>
  <conditionalFormatting sqref="P27:R27">
    <cfRule type="expression" dxfId="1007" priority="5" stopIfTrue="1">
      <formula>$Q$11="sim"</formula>
    </cfRule>
  </conditionalFormatting>
  <conditionalFormatting sqref="P47:R48">
    <cfRule type="expression" dxfId="1006" priority="4" stopIfTrue="1">
      <formula>P47=""</formula>
    </cfRule>
  </conditionalFormatting>
  <conditionalFormatting sqref="I29:R29">
    <cfRule type="expression" dxfId="1005" priority="2" stopIfTrue="1">
      <formula>AND(NOT($V$27),NOT($V$29))</formula>
    </cfRule>
  </conditionalFormatting>
  <conditionalFormatting sqref="P18:R26">
    <cfRule type="expression" dxfId="1004"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618"/>
  <sheetViews>
    <sheetView showGridLines="0" tabSelected="1" topLeftCell="J1" zoomScale="80" zoomScaleNormal="80" zoomScaleSheetLayoutView="80" workbookViewId="0">
      <pane ySplit="12" topLeftCell="A592" activePane="bottomLeft" state="frozen"/>
      <selection pane="bottomLeft" activeCell="Y13" sqref="Y13:Y602"/>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1"/>
      <c r="B1" s="1"/>
      <c r="E1" s="1"/>
      <c r="F1" s="1"/>
      <c r="G1" s="1"/>
      <c r="H1" s="1"/>
      <c r="I1" s="1"/>
      <c r="J1" s="67"/>
      <c r="K1" s="1"/>
      <c r="L1" s="1"/>
      <c r="M1" s="1"/>
      <c r="N1" s="84" t="s">
        <v>167</v>
      </c>
      <c r="O1" s="1"/>
      <c r="P1" s="68"/>
      <c r="Q1" s="1"/>
      <c r="R1" s="1"/>
      <c r="S1" s="1"/>
      <c r="T1" s="65" t="s">
        <v>165</v>
      </c>
      <c r="U1" s="1"/>
      <c r="V1" s="1"/>
      <c r="W1" s="1"/>
      <c r="X1" s="1"/>
      <c r="Y1" s="1"/>
      <c r="Z1" s="1"/>
      <c r="AA1" s="1"/>
    </row>
    <row r="2" spans="1:27" ht="12.75" customHeight="1" x14ac:dyDescent="0.25">
      <c r="A2" s="1"/>
      <c r="B2" s="1" t="s">
        <v>157</v>
      </c>
      <c r="C2" s="1" t="s">
        <v>99</v>
      </c>
      <c r="D2" s="1" t="s">
        <v>100</v>
      </c>
      <c r="E2" s="1" t="s">
        <v>101</v>
      </c>
      <c r="F2" s="1" t="s">
        <v>102</v>
      </c>
      <c r="G2" s="1" t="s">
        <v>103</v>
      </c>
      <c r="H2" s="1"/>
      <c r="I2" s="1"/>
      <c r="J2" s="1"/>
      <c r="K2" s="1"/>
      <c r="L2" s="1"/>
      <c r="M2" s="1"/>
      <c r="N2" s="87"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1"/>
      <c r="P2" s="1"/>
      <c r="Q2" s="1"/>
      <c r="R2" s="1"/>
      <c r="S2" s="1"/>
      <c r="T2" s="66" t="s">
        <v>166</v>
      </c>
      <c r="U2" s="1"/>
      <c r="V2" s="1"/>
      <c r="W2" s="317" t="s">
        <v>181</v>
      </c>
      <c r="X2" s="317"/>
      <c r="Y2" s="1"/>
      <c r="Z2" s="1"/>
      <c r="AA2" s="1"/>
    </row>
    <row r="3" spans="1:27" ht="12.75" customHeight="1" x14ac:dyDescent="0.25">
      <c r="A3" s="1"/>
      <c r="B3" s="1"/>
      <c r="F3" s="2"/>
      <c r="G3" s="1"/>
      <c r="H3" s="1"/>
      <c r="I3" s="1"/>
      <c r="J3" s="1"/>
      <c r="K3" s="1"/>
      <c r="L3" s="1"/>
      <c r="M3" s="1"/>
      <c r="N3" s="16"/>
      <c r="O3" s="1"/>
      <c r="P3" s="1"/>
      <c r="Q3" s="1"/>
      <c r="R3" s="1"/>
      <c r="S3" s="1"/>
      <c r="T3" s="1"/>
      <c r="U3" s="1"/>
      <c r="V3" s="1"/>
      <c r="W3" s="178" t="s">
        <v>148</v>
      </c>
      <c r="X3" s="181" t="b">
        <v>1</v>
      </c>
      <c r="Y3" s="1"/>
      <c r="Z3" s="1"/>
      <c r="AA3" s="1"/>
    </row>
    <row r="4" spans="1:27" ht="24.9" customHeight="1" x14ac:dyDescent="0.25">
      <c r="A4" s="1" t="s">
        <v>126</v>
      </c>
      <c r="B4" s="1"/>
      <c r="F4" s="2"/>
      <c r="G4" s="1"/>
      <c r="H4" s="1"/>
      <c r="I4" s="1"/>
      <c r="J4" s="1"/>
      <c r="K4" s="1"/>
      <c r="L4" s="1"/>
      <c r="M4" s="1"/>
      <c r="N4" s="1"/>
      <c r="O4" s="1"/>
      <c r="P4" s="1"/>
      <c r="Q4" s="1"/>
      <c r="R4" s="1"/>
      <c r="S4" s="1"/>
      <c r="T4" s="1"/>
      <c r="U4" s="130" t="s">
        <v>188</v>
      </c>
      <c r="W4" s="178" t="s">
        <v>182</v>
      </c>
      <c r="X4" s="181" t="b">
        <v>1</v>
      </c>
      <c r="Y4" s="1"/>
      <c r="Z4" s="1"/>
      <c r="AA4" s="1"/>
    </row>
    <row r="5" spans="1:27" ht="24.9" customHeight="1" x14ac:dyDescent="0.25">
      <c r="A5" s="4">
        <f>MAX($A$12:$A$603)</f>
        <v>3</v>
      </c>
      <c r="B5" s="1"/>
      <c r="F5" s="2"/>
      <c r="G5" s="1"/>
      <c r="H5" s="1"/>
      <c r="I5" s="1"/>
      <c r="J5" s="1"/>
      <c r="K5" s="1"/>
      <c r="L5" s="1"/>
      <c r="M5" s="1"/>
      <c r="N5" s="1"/>
      <c r="O5" s="1"/>
      <c r="P5" s="1"/>
      <c r="Q5" s="1"/>
      <c r="R5" s="1"/>
      <c r="S5" s="1"/>
      <c r="T5" s="1"/>
      <c r="U5" s="101" t="str">
        <f ca="1">IF(COUNTIF($U$12:OFFSET($U$603,-1,0),"DESCRIÇÃO")+COUNTIF($U$12:OFFSET($U$603,-1,0),"UNIDADE")+COUNTIF($U$12:OFFSET($U$603,-1,0),"SEM VALOR")&gt;0,"NÃO OK","OK")</f>
        <v>NÃO OK</v>
      </c>
      <c r="V5" s="179" t="s">
        <v>106</v>
      </c>
      <c r="W5" s="178" t="s">
        <v>183</v>
      </c>
      <c r="X5" s="181" t="b">
        <v>1</v>
      </c>
      <c r="Y5" s="1"/>
      <c r="Z5" s="1"/>
      <c r="AA5" s="1"/>
    </row>
    <row r="6" spans="1:27" ht="24.9" customHeight="1" x14ac:dyDescent="0.25">
      <c r="A6" s="1"/>
      <c r="B6" s="1"/>
      <c r="F6" s="2"/>
      <c r="G6" s="1"/>
      <c r="H6" s="1"/>
      <c r="I6" s="1"/>
      <c r="J6" s="1"/>
      <c r="K6" s="1"/>
      <c r="L6" s="1"/>
      <c r="M6" s="1"/>
      <c r="N6" s="1"/>
      <c r="O6" s="1"/>
      <c r="P6" s="1"/>
      <c r="Q6" s="1"/>
      <c r="R6" s="1"/>
      <c r="S6" s="1"/>
      <c r="T6" s="1"/>
      <c r="U6" s="1"/>
      <c r="V6" s="1"/>
      <c r="W6" s="178" t="s">
        <v>184</v>
      </c>
      <c r="X6" s="181" t="b">
        <v>1</v>
      </c>
      <c r="Y6" s="1"/>
      <c r="Z6" s="1"/>
      <c r="AA6" s="1"/>
    </row>
    <row r="7" spans="1:27" ht="24.9" customHeight="1" x14ac:dyDescent="0.25">
      <c r="A7" s="1"/>
      <c r="B7" s="1"/>
      <c r="C7" s="1"/>
      <c r="E7" s="2"/>
      <c r="F7" s="2"/>
      <c r="G7" s="1"/>
      <c r="H7" s="1"/>
      <c r="I7" s="1"/>
      <c r="J7" s="1"/>
      <c r="K7" s="1"/>
      <c r="L7" s="1"/>
      <c r="M7" s="1"/>
      <c r="N7" s="1"/>
      <c r="O7" s="1"/>
      <c r="P7" s="1"/>
      <c r="Q7" s="1"/>
      <c r="R7" s="1"/>
      <c r="S7" s="1"/>
      <c r="T7" s="1"/>
      <c r="U7" s="1"/>
      <c r="V7" s="1"/>
      <c r="W7" s="178" t="s">
        <v>185</v>
      </c>
      <c r="X7" s="181" t="b">
        <v>1</v>
      </c>
      <c r="Y7" s="1"/>
      <c r="Z7" s="1"/>
      <c r="AA7" s="1"/>
    </row>
    <row r="8" spans="1:27" ht="30" customHeight="1" x14ac:dyDescent="0.25">
      <c r="A8" s="1"/>
      <c r="B8" s="1"/>
      <c r="C8" s="1"/>
      <c r="D8" s="1"/>
      <c r="E8" s="2"/>
      <c r="F8" s="2"/>
      <c r="G8" s="1"/>
      <c r="H8" s="1"/>
      <c r="I8" s="1"/>
      <c r="J8" s="1"/>
      <c r="K8" s="1"/>
      <c r="L8" s="1"/>
      <c r="M8" s="1"/>
      <c r="N8" s="1"/>
      <c r="O8" s="1"/>
      <c r="P8" s="1"/>
      <c r="Q8" s="1"/>
      <c r="R8" s="1"/>
      <c r="S8" s="1"/>
      <c r="T8" s="1"/>
      <c r="U8" s="1"/>
      <c r="V8" s="1"/>
      <c r="W8" s="1"/>
      <c r="X8" s="1"/>
      <c r="Y8" s="1"/>
      <c r="Z8" s="1"/>
      <c r="AA8" s="1"/>
    </row>
    <row r="9" spans="1:27" ht="12.75" hidden="1" customHeight="1" x14ac:dyDescent="0.25">
      <c r="A9" s="1"/>
      <c r="B9" s="1"/>
      <c r="C9" s="1"/>
      <c r="D9" s="1"/>
      <c r="E9" s="2"/>
      <c r="F9" s="2"/>
      <c r="G9" s="1"/>
      <c r="H9" s="1"/>
      <c r="I9" s="1"/>
      <c r="J9" s="1"/>
      <c r="K9" s="1"/>
      <c r="L9" s="1"/>
      <c r="M9" s="1"/>
      <c r="N9" s="1"/>
      <c r="O9" s="1"/>
      <c r="P9" s="191" t="str">
        <f ca="1">OFFSET(PLQ!$E$12,ROW($P9)-ROW(P$12),0)</f>
        <v>-</v>
      </c>
      <c r="Q9" s="1"/>
      <c r="R9" s="1"/>
      <c r="S9" s="1"/>
      <c r="T9" s="1"/>
      <c r="U9" s="1"/>
      <c r="V9" s="1"/>
      <c r="W9" s="1"/>
      <c r="X9" s="1"/>
      <c r="Y9" s="1"/>
      <c r="Z9" s="1"/>
      <c r="AA9" s="1"/>
    </row>
    <row r="10" spans="1:27" ht="30" customHeight="1" x14ac:dyDescent="0.25">
      <c r="A10" s="62" t="s">
        <v>3</v>
      </c>
      <c r="B10" s="62" t="s">
        <v>123</v>
      </c>
      <c r="C10" s="62" t="s">
        <v>152</v>
      </c>
      <c r="D10" s="62" t="s">
        <v>153</v>
      </c>
      <c r="E10" s="62" t="s">
        <v>154</v>
      </c>
      <c r="F10" s="62" t="s">
        <v>155</v>
      </c>
      <c r="G10" s="62" t="s">
        <v>156</v>
      </c>
      <c r="H10" s="62" t="s">
        <v>124</v>
      </c>
      <c r="I10" s="62" t="s">
        <v>125</v>
      </c>
      <c r="J10" s="62" t="s">
        <v>3</v>
      </c>
      <c r="K10" s="62" t="s">
        <v>147</v>
      </c>
      <c r="L10" s="62" t="s">
        <v>146</v>
      </c>
      <c r="M10" s="62" t="s">
        <v>4</v>
      </c>
      <c r="N10" s="62" t="s">
        <v>142</v>
      </c>
      <c r="O10" s="63" t="s">
        <v>149</v>
      </c>
      <c r="P10" s="62" t="s">
        <v>148</v>
      </c>
      <c r="Q10" s="62" t="str">
        <f>IF(OR(TipoOrçamento="LICITADO",TipoOrçamento="REPROGRAMADOAC"),"Preço Unitário (R$)","Custo Unitário (R$)")</f>
        <v>Preço Unitário (R$)</v>
      </c>
      <c r="R10" s="62" t="s">
        <v>5</v>
      </c>
      <c r="S10" s="62" t="s">
        <v>151</v>
      </c>
      <c r="T10" s="62" t="s">
        <v>6</v>
      </c>
      <c r="U10" s="62" t="s">
        <v>159</v>
      </c>
      <c r="V10" s="100" t="s">
        <v>161</v>
      </c>
      <c r="W10" s="100" t="s">
        <v>122</v>
      </c>
      <c r="X10" s="100" t="s">
        <v>130</v>
      </c>
      <c r="Y10" s="99" t="str">
        <f>IF(TipoOrçamento="LICITADO","Preço Unitário Edital (R$)","Custo Unitário Referência (R$)")</f>
        <v>Preço Unitário Edital (R$)</v>
      </c>
      <c r="Z10" s="125" t="str">
        <f>IF(TipoOrçamento="LICITADO","Valor BDI Edital","Valor BDI")</f>
        <v>Valor BDI Edital</v>
      </c>
      <c r="AA10" s="1"/>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IF(OR($A11="S",$A11=0),0,MATCH(0,OFFSET($B11,1,$A11,ROW($A$603)-ROW($A11)),0))</f>
        <v>0</v>
      </c>
      <c r="I11">
        <f ca="1">IF(OR($A11="S",$A11=0),0,MATCH(OFFSET($B11,0,$A11)+1,OFFSET($B11,1,$A11,ROW($A$603)-ROW($A11)),0))</f>
        <v>0</v>
      </c>
      <c r="J11" s="102" t="s">
        <v>103</v>
      </c>
      <c r="K11" s="138" t="e">
        <f ca="1">IF($A11=0,"-",CONCATENATE(C11&amp;".",IF(AND($A$5&gt;=2,$A11&gt;=2),D11&amp;".",""),IF(AND($A$5&gt;=3,$A11&gt;=3),E11&amp;".",""),IF(AND($A$5&gt;=4,$A11&gt;=4),F11&amp;".",""),IF($A11="S",G11&amp;".","")))</f>
        <v>#VALUE!</v>
      </c>
      <c r="L11" s="176"/>
      <c r="M11" s="176"/>
      <c r="N11" s="197" t="str">
        <f ca="1">IF($A11="S",Referencia.Descricao,"(digite a descrição aqui)")</f>
        <v/>
      </c>
      <c r="O11" s="196" t="str">
        <f ca="1">Referencia.Unidade</f>
        <v/>
      </c>
      <c r="P11" s="199"/>
      <c r="Q11" s="195"/>
      <c r="R11" s="198" t="s">
        <v>7</v>
      </c>
      <c r="S11" s="103">
        <f>IF($A11="S",IF($Q$10="Preço Unitário (R$)",PO.CustoUnitario,ROUND(PO.CustoUnitario*(1+$Z11),15-13*$X$6)),0)</f>
        <v>0</v>
      </c>
      <c r="T11" s="83">
        <f>IF($A11="S",VTOTAL1,IF($A11=0,0,ROUND(SomaAgrup,15-13*$X$7)))</f>
        <v>0</v>
      </c>
      <c r="U11" s="9" t="str">
        <f ca="1">IF($J11="","",IF($N11="","DESCRIÇÃO",IF(AND($J11="Serviço",$O11=""),"UNIDADE",IF($T11&lt;=0,"SEM VALOR",IF(AND($Y11&lt;&gt;"",$Q11&gt;$Y11),"ACIMA REF.","")))))</f>
        <v>DESCRIÇÃO</v>
      </c>
      <c r="V11" s="1" t="str">
        <f ca="1">IF(OR($A11=0,$A11="S",$A11&gt;CFF!$A$9),"",MAX(V$12:OFFSET(V11,-1,0))+1)</f>
        <v/>
      </c>
      <c r="W11" s="4" t="b">
        <f>IF(AND($J11="Serviço",$M11&lt;&gt;""),IF($L11="",$M11,CONCATENATE($L11,"-",$M11)))</f>
        <v>0</v>
      </c>
      <c r="X11" s="1" t="str">
        <f ca="1">IF(AND(Fonte&lt;&gt;"",Código&lt;&gt;""),MATCH(Fonte&amp;" "&amp;IF(Fonte="sinapi",SUBSTITUTE(SUBSTITUTE(Código,"/00","/"),"/0","/"),Código),INDIRECT("'[Referência "&amp;_xlnm.Database&amp;".xls]Banco'!$a:$a"),0),"X")</f>
        <v>X</v>
      </c>
      <c r="Y11" s="103">
        <f ca="1">IF(Import.Desoneracao="sim",Referencia.Desonerado,Referencia.NaoDesonerado)</f>
        <v>0</v>
      </c>
      <c r="Z11" s="113">
        <f ca="1">ROUND(IF(ISNUMBER(R11),R11,IF(LEFT(R11,3)="BDI",HLOOKUP(R11,DADOS!$T$37:$X$38,2,FALSE),0)),15-11*$X$5)</f>
        <v>0.25</v>
      </c>
      <c r="AA11" s="1"/>
    </row>
    <row r="12" spans="1:27" x14ac:dyDescent="0.25">
      <c r="A12">
        <v>0</v>
      </c>
      <c r="B12">
        <f ca="1">COUNTA(OFFSET(B12,1,0):B$603)</f>
        <v>590</v>
      </c>
      <c r="J12" s="64" t="str">
        <f>IF(OR(TipoOrçamento="LICITADO",TipoOrçamento="REPROGRAMADOAC"),"CTEF","LOTE")</f>
        <v>CTEF</v>
      </c>
      <c r="K12" s="139">
        <v>0</v>
      </c>
      <c r="L12" s="6"/>
      <c r="M12" s="6"/>
      <c r="N12" s="73">
        <f>IF(TipoOrçamento="LICITADO",DADOS!O43,DADOS!G38)</f>
        <v>0</v>
      </c>
      <c r="O12" s="6"/>
      <c r="P12" s="7"/>
      <c r="Q12" s="7"/>
      <c r="R12" s="8"/>
      <c r="S12" s="7"/>
      <c r="T12" s="82">
        <f ca="1">SUMIF(OFFSET($J12,1,0,ROW(T603)-ROW(T12)-1),"Serviço",OFFSET(T12,1,0,ROW(T603)-ROW(T12)-1))</f>
        <v>0</v>
      </c>
      <c r="U12" s="9" t="str">
        <f>IF($N12=0,"DESCRIÇÃO","")</f>
        <v>DESCRIÇÃO</v>
      </c>
      <c r="V12" s="1">
        <v>0</v>
      </c>
      <c r="W12" s="1"/>
      <c r="X12" s="1"/>
      <c r="Y12" s="7"/>
      <c r="Z12" s="114"/>
      <c r="AA12" s="1"/>
    </row>
    <row r="13" spans="1:27" x14ac:dyDescent="0.25">
      <c r="A13">
        <f t="shared" ref="A13:A284" si="0">CHOOSE(1+LOG(1+2*(J13="Meta")+4*(J13="Nível 2")+8*(J13="Nível 3")+16*(J13="Nível 4")+32*(J13="Serviço"),2),0,1,2,3,4,"S")</f>
        <v>1</v>
      </c>
      <c r="B13">
        <f t="shared" ref="B13:B284" ca="1" si="1">IF(OR(A13="S",A13=0),0,IF(ISERROR(I13),H13,SMALL(H13:I13,1)))</f>
        <v>11</v>
      </c>
      <c r="C13">
        <f t="shared" ref="C13:C284" ca="1" si="2">IF($A13=1,OFFSET(C13,-1,0)+1,OFFSET(C13,-1,0))</f>
        <v>1</v>
      </c>
      <c r="D13">
        <f t="shared" ref="D13:D284" ca="1" si="3">IF($A13=1,0,IF($A13=2,OFFSET(D13,-1,0)+1,OFFSET(D13,-1,0)))</f>
        <v>0</v>
      </c>
      <c r="E13">
        <f t="shared" ref="E13:E284" ca="1" si="4">IF(AND($A13&lt;=2,$A13&lt;&gt;0),0,IF($A13=3,OFFSET(E13,-1,0)+1,OFFSET(E13,-1,0)))</f>
        <v>0</v>
      </c>
      <c r="F13">
        <f t="shared" ref="F13:F284" ca="1" si="5">IF(AND($A13&lt;=3,$A13&lt;&gt;0),0,IF($A13=4,OFFSET(F13,-1,0)+1,OFFSET(F13,-1,0)))</f>
        <v>0</v>
      </c>
      <c r="G13">
        <f t="shared" ref="G13:G284" ca="1" si="6">IF(AND($A13&lt;=4,$A13&lt;&gt;0),0,IF($A13="S",OFFSET(G13,-1,0)+1,OFFSET(G13,-1,0)))</f>
        <v>0</v>
      </c>
      <c r="H13">
        <f t="shared" ref="H13:H76" ca="1" si="7">IF(OR($A13="S",$A13=0),0,MATCH(0,OFFSET($B13,1,$A13,ROW($A$603)-ROW($A13)),0))</f>
        <v>590</v>
      </c>
      <c r="I13">
        <f t="shared" ref="I13:I76" ca="1" si="8">IF(OR($A13="S",$A13=0),0,MATCH(OFFSET($B13,0,$A13)+1,OFFSET($B13,1,$A13,ROW($A$603)-ROW($A13)),0))</f>
        <v>11</v>
      </c>
      <c r="J13" s="355" t="s">
        <v>99</v>
      </c>
      <c r="K13" s="138" t="str">
        <f t="shared" ref="K13:K284" ca="1" si="9">IF($A13=0,"-",CONCATENATE(C13&amp;".",IF(AND($A$5&gt;=2,$A13&gt;=2),D13&amp;".",""),IF(AND($A$5&gt;=3,$A13&gt;=3),E13&amp;".",""),IF(AND($A$5&gt;=4,$A13&gt;=4),F13&amp;".",""),IF($A13="S",G13&amp;".","")))</f>
        <v>1.</v>
      </c>
      <c r="L13" s="357"/>
      <c r="M13" s="357"/>
      <c r="N13" s="358" t="s">
        <v>245</v>
      </c>
      <c r="O13" s="359"/>
      <c r="P13" s="360">
        <v>0</v>
      </c>
      <c r="Q13" s="195"/>
      <c r="R13" s="198" t="s">
        <v>7</v>
      </c>
      <c r="S13" s="103">
        <f t="shared" ref="S13:S284" si="10">IF($A13="S",IF($Q$10="Preço Unitário (R$)",PO.CustoUnitario,ROUND(PO.CustoUnitario*(1+$Z13),15-13*$X$6)),0)</f>
        <v>0</v>
      </c>
      <c r="T13" s="83">
        <f t="shared" ref="T13:T284" ca="1" si="11">IF($A13="S",VTOTAL1,IF($A13=0,0,ROUND(SomaAgrup,15-13*$X$7)))</f>
        <v>0</v>
      </c>
      <c r="U13" s="9" t="str">
        <f t="shared" ref="U13:U284" ca="1" si="12">IF($J13="","",IF($N13="","DESCRIÇÃO",IF(AND($J13="Serviço",$O13=""),"UNIDADE",IF($T13&lt;=0,"SEM VALOR",IF(AND($Y13&lt;&gt;"",$Q13&gt;$Y13),"ACIMA REF.","")))))</f>
        <v>SEM VALOR</v>
      </c>
      <c r="V13" s="1">
        <f ca="1">IF(OR($A13=0,$A13="S",$A13&gt;CFF!$A$9),"",MAX(V$12:OFFSET(V13,-1,0))+1)</f>
        <v>1</v>
      </c>
      <c r="W13" s="4" t="b">
        <f t="shared" ref="W13:W284" si="13">IF(AND($J13="Serviço",$M13&lt;&gt;""),IF($L13="",$M13,CONCATENATE($L13,"-",$M13)))</f>
        <v>0</v>
      </c>
      <c r="X13" s="1" t="str">
        <f t="shared" ref="X13:X602" ca="1" si="14">IF(AND(Fonte&lt;&gt;"",Código&lt;&gt;""),MATCH(Fonte&amp;" "&amp;IF(Fonte="sinapi",SUBSTITUTE(SUBSTITUTE(Código,"/00","/"),"/0","/"),Código),INDIRECT("'[Referência "&amp;_xlnm.Database&amp;".xls]Banco'!$a:$a"),0),"X")</f>
        <v>X</v>
      </c>
      <c r="Y13" s="103">
        <v>0</v>
      </c>
      <c r="Z13" s="113">
        <f ca="1">ROUND(IF(ISNUMBER(R13),R13,IF(LEFT(R13,3)="BDI",HLOOKUP(R13,DADOS!$T$37:$X$38,2,FALSE),0)),15-11*$X$5)</f>
        <v>0.25</v>
      </c>
      <c r="AA13" s="1"/>
    </row>
    <row r="14" spans="1:27" ht="26.4" x14ac:dyDescent="0.25">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56" t="s">
        <v>103</v>
      </c>
      <c r="K14" s="138" t="str">
        <f t="shared" ca="1" si="9"/>
        <v>1.0.0.1.</v>
      </c>
      <c r="L14" s="357" t="s">
        <v>233</v>
      </c>
      <c r="M14" s="357" t="s">
        <v>239</v>
      </c>
      <c r="N14" s="358" t="s">
        <v>941</v>
      </c>
      <c r="O14" s="359" t="s">
        <v>635</v>
      </c>
      <c r="P14" s="360">
        <v>10</v>
      </c>
      <c r="Q14" s="195"/>
      <c r="R14" s="198" t="s">
        <v>7</v>
      </c>
      <c r="S14" s="103">
        <f t="shared" si="10"/>
        <v>0</v>
      </c>
      <c r="T14" s="83">
        <f t="shared" si="11"/>
        <v>0</v>
      </c>
      <c r="U14" s="9" t="str">
        <f t="shared" si="12"/>
        <v>SEM VALOR</v>
      </c>
      <c r="V14" s="1" t="str">
        <f ca="1">IF(OR($A14=0,$A14="S",$A14&gt;CFF!$A$9),"",MAX(V$12:OFFSET(V14,-1,0))+1)</f>
        <v/>
      </c>
      <c r="W14" s="4" t="str">
        <f t="shared" si="13"/>
        <v>SINAPI-103689</v>
      </c>
      <c r="X14" s="1">
        <f t="shared" ca="1" si="14"/>
        <v>6251</v>
      </c>
      <c r="Y14" s="103">
        <v>574.58000000000004</v>
      </c>
      <c r="Z14" s="113">
        <f ca="1">ROUND(IF(ISNUMBER(R14),R14,IF(LEFT(R14,3)="BDI",HLOOKUP(R14,DADOS!$T$37:$X$38,2,FALSE),0)),15-11*$X$5)</f>
        <v>0.25</v>
      </c>
      <c r="AA14" s="1"/>
    </row>
    <row r="15" spans="1:27" x14ac:dyDescent="0.25">
      <c r="A15" t="str">
        <f t="shared" si="0"/>
        <v>S</v>
      </c>
      <c r="B15">
        <f t="shared" si="1"/>
        <v>0</v>
      </c>
      <c r="C15">
        <f t="shared" ca="1" si="2"/>
        <v>1</v>
      </c>
      <c r="D15">
        <f t="shared" ca="1" si="3"/>
        <v>0</v>
      </c>
      <c r="E15">
        <f t="shared" ca="1" si="4"/>
        <v>0</v>
      </c>
      <c r="F15">
        <f t="shared" ca="1" si="5"/>
        <v>0</v>
      </c>
      <c r="G15">
        <f t="shared" ca="1" si="6"/>
        <v>2</v>
      </c>
      <c r="H15">
        <f t="shared" ca="1" si="7"/>
        <v>0</v>
      </c>
      <c r="I15">
        <f t="shared" ca="1" si="8"/>
        <v>0</v>
      </c>
      <c r="J15" s="356" t="s">
        <v>103</v>
      </c>
      <c r="K15" s="138" t="str">
        <f t="shared" ca="1" si="9"/>
        <v>1.0.0.2.</v>
      </c>
      <c r="L15" s="357" t="s">
        <v>233</v>
      </c>
      <c r="M15" s="357" t="s">
        <v>246</v>
      </c>
      <c r="N15" s="358" t="s">
        <v>942</v>
      </c>
      <c r="O15" s="359" t="s">
        <v>635</v>
      </c>
      <c r="P15" s="360">
        <f>(83.09*2.1)</f>
        <v>174.489</v>
      </c>
      <c r="Q15" s="195"/>
      <c r="R15" s="198" t="s">
        <v>7</v>
      </c>
      <c r="S15" s="103">
        <f t="shared" si="10"/>
        <v>0</v>
      </c>
      <c r="T15" s="83">
        <f t="shared" si="11"/>
        <v>0</v>
      </c>
      <c r="U15" s="9" t="str">
        <f t="shared" si="12"/>
        <v>SEM VALOR</v>
      </c>
      <c r="V15" s="1" t="str">
        <f ca="1">IF(OR($A15=0,$A15="S",$A15&gt;CFF!$A$9),"",MAX(V$12:OFFSET(V15,-1,0))+1)</f>
        <v/>
      </c>
      <c r="W15" s="4" t="str">
        <f t="shared" si="13"/>
        <v>SINAPI-98459</v>
      </c>
      <c r="X15" s="1">
        <f t="shared" ca="1" si="14"/>
        <v>510</v>
      </c>
      <c r="Y15" s="103">
        <v>100.09</v>
      </c>
      <c r="Z15" s="113">
        <f ca="1">ROUND(IF(ISNUMBER(R15),R15,IF(LEFT(R15,3)="BDI",HLOOKUP(R15,DADOS!$T$37:$X$38,2,FALSE),0)),15-11*$X$5)</f>
        <v>0.25</v>
      </c>
      <c r="AA15" s="1"/>
    </row>
    <row r="16" spans="1:27" ht="26.4" x14ac:dyDescent="0.25">
      <c r="A16" t="str">
        <f t="shared" si="0"/>
        <v>S</v>
      </c>
      <c r="B16">
        <f t="shared" si="1"/>
        <v>0</v>
      </c>
      <c r="C16">
        <f t="shared" ca="1" si="2"/>
        <v>1</v>
      </c>
      <c r="D16">
        <f t="shared" ca="1" si="3"/>
        <v>0</v>
      </c>
      <c r="E16">
        <f t="shared" ca="1" si="4"/>
        <v>0</v>
      </c>
      <c r="F16">
        <f t="shared" ca="1" si="5"/>
        <v>0</v>
      </c>
      <c r="G16">
        <f t="shared" ca="1" si="6"/>
        <v>3</v>
      </c>
      <c r="H16">
        <f t="shared" ca="1" si="7"/>
        <v>0</v>
      </c>
      <c r="I16">
        <f t="shared" ca="1" si="8"/>
        <v>0</v>
      </c>
      <c r="J16" s="356" t="s">
        <v>103</v>
      </c>
      <c r="K16" s="138" t="str">
        <f t="shared" ca="1" si="9"/>
        <v>1.0.0.3.</v>
      </c>
      <c r="L16" s="357" t="s">
        <v>233</v>
      </c>
      <c r="M16" s="357" t="s">
        <v>247</v>
      </c>
      <c r="N16" s="358" t="s">
        <v>943</v>
      </c>
      <c r="O16" s="359" t="s">
        <v>470</v>
      </c>
      <c r="P16" s="360">
        <v>1</v>
      </c>
      <c r="Q16" s="195"/>
      <c r="R16" s="198" t="s">
        <v>7</v>
      </c>
      <c r="S16" s="103">
        <f t="shared" si="10"/>
        <v>0</v>
      </c>
      <c r="T16" s="83">
        <f t="shared" si="11"/>
        <v>0</v>
      </c>
      <c r="U16" s="9" t="str">
        <f t="shared" si="12"/>
        <v>SEM VALOR</v>
      </c>
      <c r="V16" s="1" t="str">
        <f ca="1">IF(OR($A16=0,$A16="S",$A16&gt;CFF!$A$9),"",MAX(V$12:OFFSET(V16,-1,0))+1)</f>
        <v/>
      </c>
      <c r="W16" s="4" t="str">
        <f t="shared" si="13"/>
        <v>SINAPI-101509</v>
      </c>
      <c r="X16" s="1">
        <f t="shared" ca="1" si="14"/>
        <v>3285</v>
      </c>
      <c r="Y16" s="103">
        <v>2385.69</v>
      </c>
      <c r="Z16" s="113">
        <f ca="1">ROUND(IF(ISNUMBER(R16),R16,IF(LEFT(R16,3)="BDI",HLOOKUP(R16,DADOS!$T$37:$X$38,2,FALSE),0)),15-11*$X$5)</f>
        <v>0.25</v>
      </c>
      <c r="AA16" s="1"/>
    </row>
    <row r="17" spans="1:27" x14ac:dyDescent="0.25">
      <c r="A17" t="str">
        <f>CHOOSE(1+LOG(1+2*(J17="Meta")+4*(J17="Nível 2")+8*(J17="Nível 3")+16*(J17="Nível 4")+32*(J17="Serviço"),2),0,1,2,3,4,"S")</f>
        <v>S</v>
      </c>
      <c r="B17">
        <f>IF(OR(A17="S",A17=0),0,IF(ISERROR(I17),H17,SMALL(H17:I17,1)))</f>
        <v>0</v>
      </c>
      <c r="C17">
        <f ca="1">IF($A17=1,OFFSET(C17,-1,0)+1,OFFSET(C17,-1,0))</f>
        <v>1</v>
      </c>
      <c r="D17">
        <f ca="1">IF($A17=1,0,IF($A17=2,OFFSET(D17,-1,0)+1,OFFSET(D17,-1,0)))</f>
        <v>0</v>
      </c>
      <c r="E17">
        <f ca="1">IF(AND($A17&lt;=2,$A17&lt;&gt;0),0,IF($A17=3,OFFSET(E17,-1,0)+1,OFFSET(E17,-1,0)))</f>
        <v>0</v>
      </c>
      <c r="F17">
        <f ca="1">IF(AND($A17&lt;=3,$A17&lt;&gt;0),0,IF($A17=4,OFFSET(F17,-1,0)+1,OFFSET(F17,-1,0)))</f>
        <v>0</v>
      </c>
      <c r="G17">
        <f ca="1">IF(AND($A17&lt;=4,$A17&lt;&gt;0),0,IF($A17="S",OFFSET(G17,-1,0)+1,OFFSET(G17,-1,0)))</f>
        <v>4</v>
      </c>
      <c r="H17">
        <f t="shared" ca="1" si="7"/>
        <v>0</v>
      </c>
      <c r="I17">
        <f t="shared" ca="1" si="8"/>
        <v>0</v>
      </c>
      <c r="J17" s="356" t="s">
        <v>103</v>
      </c>
      <c r="K17" s="138" t="str">
        <f ca="1">IF($A17=0,"-",CONCATENATE(C17&amp;".",IF(AND($A$5&gt;=2,$A17&gt;=2),D17&amp;".",""),IF(AND($A$5&gt;=3,$A17&gt;=3),E17&amp;".",""),IF(AND($A$5&gt;=4,$A17&gt;=4),F17&amp;".",""),IF($A17="S",G17&amp;".","")))</f>
        <v>1.0.0.4.</v>
      </c>
      <c r="L17" s="357" t="s">
        <v>240</v>
      </c>
      <c r="M17" s="357" t="s">
        <v>856</v>
      </c>
      <c r="N17" s="358" t="s">
        <v>944</v>
      </c>
      <c r="O17" s="359" t="s">
        <v>907</v>
      </c>
      <c r="P17" s="360">
        <v>1</v>
      </c>
      <c r="Q17" s="195"/>
      <c r="R17" s="198" t="s">
        <v>7</v>
      </c>
      <c r="S17" s="103">
        <f>IF($A17="S",IF($Q$10="Preço Unitário (R$)",PO.CustoUnitario,ROUND(PO.CustoUnitario*(1+$Z17),15-13*$X$6)),0)</f>
        <v>0</v>
      </c>
      <c r="T17" s="83">
        <f>IF($A17="S",VTOTAL1,IF($A17=0,0,ROUND(SomaAgrup,15-13*$X$7)))</f>
        <v>0</v>
      </c>
      <c r="U17" s="9" t="str">
        <f>IF($J17="","",IF($N17="","DESCRIÇÃO",IF(AND($J17="Serviço",$O17=""),"UNIDADE",IF($T17&lt;=0,"SEM VALOR",IF(AND($Y17&lt;&gt;"",$Q17&gt;$Y17),"ACIMA REF.","")))))</f>
        <v>SEM VALOR</v>
      </c>
      <c r="V17" s="1" t="str">
        <f ca="1">IF(OR($A17=0,$A17="S",$A17&gt;CFF!$A$9),"",MAX(V$12:OFFSET(V17,-1,0))+1)</f>
        <v/>
      </c>
      <c r="W17" s="4" t="str">
        <f>IF(AND($J17="Serviço",$M17&lt;&gt;""),IF($L17="",$M17,CONCATENATE($L17,"-",$M17)))</f>
        <v>SINAPI-I-41195</v>
      </c>
      <c r="X17" s="1">
        <f ca="1">IF(AND(Fonte&lt;&gt;"",Código&lt;&gt;""),MATCH(Fonte&amp;" "&amp;IF(Fonte="sinapi",SUBSTITUTE(SUBSTITUTE(Código,"/00","/"),"/0","/"),Código),INDIRECT("'[Referência "&amp;_xlnm.Database&amp;".xls]Banco'!$a:$a"),0),"X")</f>
        <v>11259</v>
      </c>
      <c r="Y17" s="103">
        <v>727.35</v>
      </c>
      <c r="Z17" s="113">
        <f ca="1">ROUND(IF(ISNUMBER(R17),R17,IF(LEFT(R17,3)="BDI",HLOOKUP(R17,DADOS!$T$37:$X$38,2,FALSE),0)),15-11*$X$5)</f>
        <v>0.25</v>
      </c>
      <c r="AA17" s="1"/>
    </row>
    <row r="18" spans="1:27" x14ac:dyDescent="0.25">
      <c r="A18" t="str">
        <f>CHOOSE(1+LOG(1+2*(J18="Meta")+4*(J18="Nível 2")+8*(J18="Nível 3")+16*(J18="Nível 4")+32*(J18="Serviço"),2),0,1,2,3,4,"S")</f>
        <v>S</v>
      </c>
      <c r="B18">
        <f>IF(OR(A18="S",A18=0),0,IF(ISERROR(I18),H18,SMALL(H18:I18,1)))</f>
        <v>0</v>
      </c>
      <c r="C18">
        <f ca="1">IF($A18=1,OFFSET(C18,-1,0)+1,OFFSET(C18,-1,0))</f>
        <v>1</v>
      </c>
      <c r="D18">
        <f ca="1">IF($A18=1,0,IF($A18=2,OFFSET(D18,-1,0)+1,OFFSET(D18,-1,0)))</f>
        <v>0</v>
      </c>
      <c r="E18">
        <f ca="1">IF(AND($A18&lt;=2,$A18&lt;&gt;0),0,IF($A18=3,OFFSET(E18,-1,0)+1,OFFSET(E18,-1,0)))</f>
        <v>0</v>
      </c>
      <c r="F18">
        <f ca="1">IF(AND($A18&lt;=3,$A18&lt;&gt;0),0,IF($A18=4,OFFSET(F18,-1,0)+1,OFFSET(F18,-1,0)))</f>
        <v>0</v>
      </c>
      <c r="G18">
        <f ca="1">IF(AND($A18&lt;=4,$A18&lt;&gt;0),0,IF($A18="S",OFFSET(G18,-1,0)+1,OFFSET(G18,-1,0)))</f>
        <v>5</v>
      </c>
      <c r="H18">
        <f t="shared" ca="1" si="7"/>
        <v>0</v>
      </c>
      <c r="I18">
        <f t="shared" ca="1" si="8"/>
        <v>0</v>
      </c>
      <c r="J18" s="356" t="s">
        <v>103</v>
      </c>
      <c r="K18" s="138" t="str">
        <f ca="1">IF($A18=0,"-",CONCATENATE(C18&amp;".",IF(AND($A$5&gt;=2,$A18&gt;=2),D18&amp;".",""),IF(AND($A$5&gt;=3,$A18&gt;=3),E18&amp;".",""),IF(AND($A$5&gt;=4,$A18&gt;=4),F18&amp;".",""),IF($A18="S",G18&amp;".","")))</f>
        <v>1.0.0.5.</v>
      </c>
      <c r="L18" s="357" t="s">
        <v>469</v>
      </c>
      <c r="M18" s="357" t="s">
        <v>638</v>
      </c>
      <c r="N18" s="358" t="s">
        <v>684</v>
      </c>
      <c r="O18" s="359" t="s">
        <v>470</v>
      </c>
      <c r="P18" s="360">
        <v>1</v>
      </c>
      <c r="Q18" s="195"/>
      <c r="R18" s="198" t="s">
        <v>7</v>
      </c>
      <c r="S18" s="103">
        <f>IF($A18="S",IF($Q$10="Preço Unitário (R$)",PO.CustoUnitario,ROUND(PO.CustoUnitario*(1+$Z18),15-13*$X$6)),0)</f>
        <v>0</v>
      </c>
      <c r="T18" s="83">
        <f>IF($A18="S",VTOTAL1,IF($A18=0,0,ROUND(SomaAgrup,15-13*$X$7)))</f>
        <v>0</v>
      </c>
      <c r="U18" s="9" t="str">
        <f>IF($J18="","",IF($N18="","DESCRIÇÃO",IF(AND($J18="Serviço",$O18=""),"UNIDADE",IF($T18&lt;=0,"SEM VALOR",IF(AND($Y18&lt;&gt;"",$Q18&gt;$Y18),"ACIMA REF.","")))))</f>
        <v>SEM VALOR</v>
      </c>
      <c r="V18" s="1" t="str">
        <f ca="1">IF(OR($A18=0,$A18="S",$A18&gt;CFF!$A$9),"",MAX(V$12:OFFSET(V18,-1,0))+1)</f>
        <v/>
      </c>
      <c r="W18" s="4" t="str">
        <f>IF(AND($J18="Serviço",$M18&lt;&gt;""),IF($L18="",$M18,CONCATENATE($L18,"-",$M18)))</f>
        <v>FNDE-FNDE 03</v>
      </c>
      <c r="X18" s="1" t="e">
        <f ca="1">IF(AND(Fonte&lt;&gt;"",Código&lt;&gt;""),MATCH(Fonte&amp;" "&amp;IF(Fonte="sinapi",SUBSTITUTE(SUBSTITUTE(Código,"/00","/"),"/0","/"),Código),INDIRECT("'[Referência "&amp;_xlnm.Database&amp;".xls]Banco'!$a:$a"),0),"X")</f>
        <v>#N/A</v>
      </c>
      <c r="Y18" s="103">
        <v>3794.74</v>
      </c>
      <c r="Z18" s="113">
        <f ca="1">ROUND(IF(ISNUMBER(R18),R18,IF(LEFT(R18,3)="BDI",HLOOKUP(R18,DADOS!$T$37:$X$38,2,FALSE),0)),15-11*$X$5)</f>
        <v>0.25</v>
      </c>
      <c r="AA18" s="1"/>
    </row>
    <row r="19" spans="1:27" ht="26.4" x14ac:dyDescent="0.25">
      <c r="A19" t="str">
        <f t="shared" si="0"/>
        <v>S</v>
      </c>
      <c r="B19">
        <f t="shared" si="1"/>
        <v>0</v>
      </c>
      <c r="C19">
        <f t="shared" ca="1" si="2"/>
        <v>1</v>
      </c>
      <c r="D19">
        <f t="shared" ca="1" si="3"/>
        <v>0</v>
      </c>
      <c r="E19">
        <f t="shared" ca="1" si="4"/>
        <v>0</v>
      </c>
      <c r="F19">
        <f t="shared" ca="1" si="5"/>
        <v>0</v>
      </c>
      <c r="G19">
        <f t="shared" ca="1" si="6"/>
        <v>6</v>
      </c>
      <c r="H19">
        <f t="shared" ca="1" si="7"/>
        <v>0</v>
      </c>
      <c r="I19">
        <f t="shared" ca="1" si="8"/>
        <v>0</v>
      </c>
      <c r="J19" s="356" t="s">
        <v>103</v>
      </c>
      <c r="K19" s="138" t="str">
        <f t="shared" ca="1" si="9"/>
        <v>1.0.0.6.</v>
      </c>
      <c r="L19" s="357" t="s">
        <v>233</v>
      </c>
      <c r="M19" s="357" t="s">
        <v>248</v>
      </c>
      <c r="N19" s="358" t="s">
        <v>945</v>
      </c>
      <c r="O19" s="359" t="s">
        <v>590</v>
      </c>
      <c r="P19" s="360">
        <v>127.78</v>
      </c>
      <c r="Q19" s="195"/>
      <c r="R19" s="198" t="s">
        <v>7</v>
      </c>
      <c r="S19" s="103">
        <f t="shared" si="10"/>
        <v>0</v>
      </c>
      <c r="T19" s="83">
        <f t="shared" si="11"/>
        <v>0</v>
      </c>
      <c r="U19" s="9" t="str">
        <f t="shared" si="12"/>
        <v>SEM VALOR</v>
      </c>
      <c r="V19" s="1" t="str">
        <f ca="1">IF(OR($A19=0,$A19="S",$A19&gt;CFF!$A$9),"",MAX(V$12:OFFSET(V19,-1,0))+1)</f>
        <v/>
      </c>
      <c r="W19" s="4" t="str">
        <f t="shared" si="13"/>
        <v>SINAPI-99059</v>
      </c>
      <c r="X19" s="1">
        <f t="shared" ca="1" si="14"/>
        <v>7163</v>
      </c>
      <c r="Y19" s="103">
        <v>71.53</v>
      </c>
      <c r="Z19" s="113">
        <f ca="1">ROUND(IF(ISNUMBER(R19),R19,IF(LEFT(R19,3)="BDI",HLOOKUP(R19,DADOS!$T$37:$X$38,2,FALSE),0)),15-11*$X$5)</f>
        <v>0.25</v>
      </c>
      <c r="AA19" s="1"/>
    </row>
    <row r="20" spans="1:27" ht="26.4" x14ac:dyDescent="0.25">
      <c r="A20" t="str">
        <f t="shared" si="0"/>
        <v>S</v>
      </c>
      <c r="B20">
        <f t="shared" si="1"/>
        <v>0</v>
      </c>
      <c r="C20">
        <f t="shared" ca="1" si="2"/>
        <v>1</v>
      </c>
      <c r="D20">
        <f t="shared" ca="1" si="3"/>
        <v>0</v>
      </c>
      <c r="E20">
        <f t="shared" ca="1" si="4"/>
        <v>0</v>
      </c>
      <c r="F20">
        <f t="shared" ca="1" si="5"/>
        <v>0</v>
      </c>
      <c r="G20">
        <f t="shared" ca="1" si="6"/>
        <v>7</v>
      </c>
      <c r="H20">
        <f t="shared" ca="1" si="7"/>
        <v>0</v>
      </c>
      <c r="I20">
        <f t="shared" ca="1" si="8"/>
        <v>0</v>
      </c>
      <c r="J20" s="356" t="s">
        <v>103</v>
      </c>
      <c r="K20" s="138" t="str">
        <f t="shared" ca="1" si="9"/>
        <v>1.0.0.7.</v>
      </c>
      <c r="L20" s="357" t="s">
        <v>469</v>
      </c>
      <c r="M20" s="357" t="s">
        <v>680</v>
      </c>
      <c r="N20" s="358" t="s">
        <v>671</v>
      </c>
      <c r="O20" s="359" t="s">
        <v>672</v>
      </c>
      <c r="P20" s="360">
        <v>8</v>
      </c>
      <c r="Q20" s="195"/>
      <c r="R20" s="198" t="s">
        <v>7</v>
      </c>
      <c r="S20" s="103">
        <f t="shared" si="10"/>
        <v>0</v>
      </c>
      <c r="T20" s="83">
        <f t="shared" si="11"/>
        <v>0</v>
      </c>
      <c r="U20" s="9" t="str">
        <f t="shared" si="12"/>
        <v>SEM VALOR</v>
      </c>
      <c r="V20" s="1" t="str">
        <f ca="1">IF(OR($A20=0,$A20="S",$A20&gt;CFF!$A$9),"",MAX(V$12:OFFSET(V20,-1,0))+1)</f>
        <v/>
      </c>
      <c r="W20" s="4" t="str">
        <f t="shared" si="13"/>
        <v>FNDE-FNDE 231</v>
      </c>
      <c r="X20" s="1" t="e">
        <f t="shared" ca="1" si="14"/>
        <v>#N/A</v>
      </c>
      <c r="Y20" s="103">
        <v>1025</v>
      </c>
      <c r="Z20" s="113">
        <f ca="1">ROUND(IF(ISNUMBER(R20),R20,IF(LEFT(R20,3)="BDI",HLOOKUP(R20,DADOS!$T$37:$X$38,2,FALSE),0)),15-11*$X$5)</f>
        <v>0.25</v>
      </c>
      <c r="AA20" s="1"/>
    </row>
    <row r="21" spans="1:27" ht="26.4" x14ac:dyDescent="0.25">
      <c r="A21" t="str">
        <f t="shared" si="0"/>
        <v>S</v>
      </c>
      <c r="B21">
        <f t="shared" si="1"/>
        <v>0</v>
      </c>
      <c r="C21">
        <f t="shared" ca="1" si="2"/>
        <v>1</v>
      </c>
      <c r="D21">
        <f t="shared" ca="1" si="3"/>
        <v>0</v>
      </c>
      <c r="E21">
        <f t="shared" ca="1" si="4"/>
        <v>0</v>
      </c>
      <c r="F21">
        <f t="shared" ca="1" si="5"/>
        <v>0</v>
      </c>
      <c r="G21">
        <f t="shared" ca="1" si="6"/>
        <v>8</v>
      </c>
      <c r="H21">
        <f t="shared" ca="1" si="7"/>
        <v>0</v>
      </c>
      <c r="I21">
        <f t="shared" ca="1" si="8"/>
        <v>0</v>
      </c>
      <c r="J21" s="356" t="s">
        <v>103</v>
      </c>
      <c r="K21" s="138" t="str">
        <f t="shared" ca="1" si="9"/>
        <v>1.0.0.8.</v>
      </c>
      <c r="L21" s="357" t="s">
        <v>469</v>
      </c>
      <c r="M21" s="357" t="s">
        <v>681</v>
      </c>
      <c r="N21" s="358" t="s">
        <v>686</v>
      </c>
      <c r="O21" s="359" t="s">
        <v>672</v>
      </c>
      <c r="P21" s="360">
        <v>8</v>
      </c>
      <c r="Q21" s="195"/>
      <c r="R21" s="198" t="s">
        <v>7</v>
      </c>
      <c r="S21" s="103">
        <f t="shared" si="10"/>
        <v>0</v>
      </c>
      <c r="T21" s="83">
        <f t="shared" si="11"/>
        <v>0</v>
      </c>
      <c r="U21" s="9" t="str">
        <f t="shared" si="12"/>
        <v>SEM VALOR</v>
      </c>
      <c r="V21" s="1" t="str">
        <f ca="1">IF(OR($A21=0,$A21="S",$A21&gt;CFF!$A$9),"",MAX(V$12:OFFSET(V21,-1,0))+1)</f>
        <v/>
      </c>
      <c r="W21" s="4" t="str">
        <f t="shared" si="13"/>
        <v>FNDE-FNDE 230</v>
      </c>
      <c r="X21" s="1" t="e">
        <f t="shared" ca="1" si="14"/>
        <v>#N/A</v>
      </c>
      <c r="Y21" s="103">
        <v>800.78</v>
      </c>
      <c r="Z21" s="113">
        <f ca="1">ROUND(IF(ISNUMBER(R21),R21,IF(LEFT(R21,3)="BDI",HLOOKUP(R21,DADOS!$T$37:$X$38,2,FALSE),0)),15-11*$X$5)</f>
        <v>0.25</v>
      </c>
      <c r="AA21" s="1"/>
    </row>
    <row r="22" spans="1:27" ht="26.4" x14ac:dyDescent="0.25">
      <c r="A22" t="str">
        <f t="shared" si="0"/>
        <v>S</v>
      </c>
      <c r="B22">
        <f t="shared" si="1"/>
        <v>0</v>
      </c>
      <c r="C22">
        <f t="shared" ca="1" si="2"/>
        <v>1</v>
      </c>
      <c r="D22">
        <f t="shared" ca="1" si="3"/>
        <v>0</v>
      </c>
      <c r="E22">
        <f t="shared" ca="1" si="4"/>
        <v>0</v>
      </c>
      <c r="F22">
        <f t="shared" ca="1" si="5"/>
        <v>0</v>
      </c>
      <c r="G22">
        <f t="shared" ca="1" si="6"/>
        <v>9</v>
      </c>
      <c r="H22">
        <f t="shared" ca="1" si="7"/>
        <v>0</v>
      </c>
      <c r="I22">
        <f t="shared" ca="1" si="8"/>
        <v>0</v>
      </c>
      <c r="J22" s="356" t="s">
        <v>103</v>
      </c>
      <c r="K22" s="138" t="str">
        <f t="shared" ca="1" si="9"/>
        <v>1.0.0.9.</v>
      </c>
      <c r="L22" s="357" t="s">
        <v>469</v>
      </c>
      <c r="M22" s="357" t="s">
        <v>682</v>
      </c>
      <c r="N22" s="358" t="s">
        <v>685</v>
      </c>
      <c r="O22" s="359" t="s">
        <v>672</v>
      </c>
      <c r="P22" s="360">
        <v>8</v>
      </c>
      <c r="Q22" s="195"/>
      <c r="R22" s="198" t="s">
        <v>7</v>
      </c>
      <c r="S22" s="103">
        <f t="shared" si="10"/>
        <v>0</v>
      </c>
      <c r="T22" s="83">
        <f t="shared" si="11"/>
        <v>0</v>
      </c>
      <c r="U22" s="9" t="str">
        <f t="shared" si="12"/>
        <v>SEM VALOR</v>
      </c>
      <c r="V22" s="1" t="str">
        <f ca="1">IF(OR($A22=0,$A22="S",$A22&gt;CFF!$A$9),"",MAX(V$12:OFFSET(V22,-1,0))+1)</f>
        <v/>
      </c>
      <c r="W22" s="4" t="str">
        <f t="shared" si="13"/>
        <v>FNDE-FNDE 232</v>
      </c>
      <c r="X22" s="1" t="e">
        <f t="shared" ca="1" si="14"/>
        <v>#N/A</v>
      </c>
      <c r="Y22" s="103">
        <v>1281.25</v>
      </c>
      <c r="Z22" s="113">
        <f ca="1">ROUND(IF(ISNUMBER(R22),R22,IF(LEFT(R22,3)="BDI",HLOOKUP(R22,DADOS!$T$37:$X$38,2,FALSE),0)),15-11*$X$5)</f>
        <v>0.25</v>
      </c>
      <c r="AA22" s="1"/>
    </row>
    <row r="23" spans="1:27" x14ac:dyDescent="0.25">
      <c r="A23" t="str">
        <f t="shared" si="0"/>
        <v>S</v>
      </c>
      <c r="B23">
        <f t="shared" si="1"/>
        <v>0</v>
      </c>
      <c r="C23">
        <f t="shared" ca="1" si="2"/>
        <v>1</v>
      </c>
      <c r="D23">
        <f t="shared" ca="1" si="3"/>
        <v>0</v>
      </c>
      <c r="E23">
        <f t="shared" ca="1" si="4"/>
        <v>0</v>
      </c>
      <c r="F23">
        <f t="shared" ca="1" si="5"/>
        <v>0</v>
      </c>
      <c r="G23">
        <f t="shared" ca="1" si="6"/>
        <v>10</v>
      </c>
      <c r="H23">
        <f t="shared" ca="1" si="7"/>
        <v>0</v>
      </c>
      <c r="I23">
        <f t="shared" ca="1" si="8"/>
        <v>0</v>
      </c>
      <c r="J23" s="356" t="s">
        <v>103</v>
      </c>
      <c r="K23" s="138" t="str">
        <f t="shared" ca="1" si="9"/>
        <v>1.0.0.10.</v>
      </c>
      <c r="L23" s="357" t="s">
        <v>469</v>
      </c>
      <c r="M23" s="357" t="s">
        <v>683</v>
      </c>
      <c r="N23" s="358" t="s">
        <v>855</v>
      </c>
      <c r="O23" s="359" t="s">
        <v>470</v>
      </c>
      <c r="P23" s="360">
        <v>1</v>
      </c>
      <c r="Q23" s="195"/>
      <c r="R23" s="198" t="s">
        <v>7</v>
      </c>
      <c r="S23" s="103">
        <f t="shared" si="10"/>
        <v>0</v>
      </c>
      <c r="T23" s="83">
        <f t="shared" si="11"/>
        <v>0</v>
      </c>
      <c r="U23" s="9" t="str">
        <f t="shared" si="12"/>
        <v>SEM VALOR</v>
      </c>
      <c r="V23" s="1" t="str">
        <f ca="1">IF(OR($A23=0,$A23="S",$A23&gt;CFF!$A$9),"",MAX(V$12:OFFSET(V23,-1,0))+1)</f>
        <v/>
      </c>
      <c r="W23" s="4" t="str">
        <f t="shared" si="13"/>
        <v>FNDE-FNDE 392</v>
      </c>
      <c r="X23" s="1" t="e">
        <f t="shared" ca="1" si="14"/>
        <v>#N/A</v>
      </c>
      <c r="Y23" s="103">
        <v>438387.35</v>
      </c>
      <c r="Z23" s="113">
        <f ca="1">ROUND(IF(ISNUMBER(R23),R23,IF(LEFT(R23,3)="BDI",HLOOKUP(R23,DADOS!$T$37:$X$38,2,FALSE),0)),15-11*$X$5)</f>
        <v>0.25</v>
      </c>
      <c r="AA23" s="1"/>
    </row>
    <row r="24" spans="1:27" x14ac:dyDescent="0.25">
      <c r="A24">
        <f t="shared" si="0"/>
        <v>1</v>
      </c>
      <c r="B24">
        <f t="shared" ca="1" si="1"/>
        <v>15</v>
      </c>
      <c r="C24">
        <f t="shared" ca="1" si="2"/>
        <v>2</v>
      </c>
      <c r="D24">
        <f t="shared" ca="1" si="3"/>
        <v>0</v>
      </c>
      <c r="E24">
        <f t="shared" ca="1" si="4"/>
        <v>0</v>
      </c>
      <c r="F24">
        <f t="shared" ca="1" si="5"/>
        <v>0</v>
      </c>
      <c r="G24">
        <f t="shared" ca="1" si="6"/>
        <v>0</v>
      </c>
      <c r="H24">
        <f t="shared" ca="1" si="7"/>
        <v>579</v>
      </c>
      <c r="I24">
        <f t="shared" ca="1" si="8"/>
        <v>15</v>
      </c>
      <c r="J24" s="356" t="s">
        <v>99</v>
      </c>
      <c r="K24" s="138" t="str">
        <f t="shared" ca="1" si="9"/>
        <v>2.</v>
      </c>
      <c r="L24" s="357"/>
      <c r="M24" s="357"/>
      <c r="N24" s="358" t="s">
        <v>252</v>
      </c>
      <c r="O24" s="359" t="s">
        <v>106</v>
      </c>
      <c r="P24" s="360"/>
      <c r="Q24" s="195"/>
      <c r="R24" s="198" t="s">
        <v>7</v>
      </c>
      <c r="S24" s="103">
        <f t="shared" si="10"/>
        <v>0</v>
      </c>
      <c r="T24" s="83">
        <f t="shared" ca="1" si="11"/>
        <v>0</v>
      </c>
      <c r="U24" s="9" t="str">
        <f t="shared" ca="1" si="12"/>
        <v>SEM VALOR</v>
      </c>
      <c r="V24" s="1">
        <f ca="1">IF(OR($A24=0,$A24="S",$A24&gt;CFF!$A$9),"",MAX(V$12:OFFSET(V24,-1,0))+1)</f>
        <v>2</v>
      </c>
      <c r="W24" s="4" t="b">
        <f t="shared" si="13"/>
        <v>0</v>
      </c>
      <c r="X24" s="1" t="str">
        <f t="shared" ca="1" si="14"/>
        <v>X</v>
      </c>
      <c r="Y24" s="103">
        <v>0</v>
      </c>
      <c r="Z24" s="113">
        <f ca="1">ROUND(IF(ISNUMBER(R24),R24,IF(LEFT(R24,3)="BDI",HLOOKUP(R24,DADOS!$T$37:$X$38,2,FALSE),0)),15-11*$X$5)</f>
        <v>0.25</v>
      </c>
      <c r="AA24" s="1"/>
    </row>
    <row r="25" spans="1:27" x14ac:dyDescent="0.25">
      <c r="A25">
        <f>CHOOSE(1+LOG(1+2*(J25="Meta")+4*(J25="Nível 2")+8*(J25="Nível 3")+16*(J25="Nível 4")+32*(J25="Serviço"),2),0,1,2,3,4,"S")</f>
        <v>2</v>
      </c>
      <c r="B25">
        <f ca="1">IF(OR(A25="S",A25=0),0,IF(ISERROR(I25),H25,SMALL(H25:I25,1)))</f>
        <v>6</v>
      </c>
      <c r="C25">
        <f ca="1">IF($A25=1,OFFSET(C25,-1,0)+1,OFFSET(C25,-1,0))</f>
        <v>2</v>
      </c>
      <c r="D25">
        <f ca="1">IF($A25=1,0,IF($A25=2,OFFSET(D25,-1,0)+1,OFFSET(D25,-1,0)))</f>
        <v>1</v>
      </c>
      <c r="E25">
        <f ca="1">IF(AND($A25&lt;=2,$A25&lt;&gt;0),0,IF($A25=3,OFFSET(E25,-1,0)+1,OFFSET(E25,-1,0)))</f>
        <v>0</v>
      </c>
      <c r="F25">
        <f ca="1">IF(AND($A25&lt;=3,$A25&lt;&gt;0),0,IF($A25=4,OFFSET(F25,-1,0)+1,OFFSET(F25,-1,0)))</f>
        <v>0</v>
      </c>
      <c r="G25">
        <f ca="1">IF(AND($A25&lt;=4,$A25&lt;&gt;0),0,IF($A25="S",OFFSET(G25,-1,0)+1,OFFSET(G25,-1,0)))</f>
        <v>0</v>
      </c>
      <c r="H25">
        <f t="shared" ca="1" si="7"/>
        <v>14</v>
      </c>
      <c r="I25">
        <f t="shared" ca="1" si="8"/>
        <v>6</v>
      </c>
      <c r="J25" s="356" t="s">
        <v>100</v>
      </c>
      <c r="K25" s="138" t="str">
        <f ca="1">IF($A25=0,"-",CONCATENATE(C25&amp;".",IF(AND($A$5&gt;=2,$A25&gt;=2),D25&amp;".",""),IF(AND($A$5&gt;=3,$A25&gt;=3),E25&amp;".",""),IF(AND($A$5&gt;=4,$A25&gt;=4),F25&amp;".",""),IF($A25="S",G25&amp;".","")))</f>
        <v>2.1.</v>
      </c>
      <c r="L25" s="357"/>
      <c r="M25" s="357"/>
      <c r="N25" s="358" t="s">
        <v>333</v>
      </c>
      <c r="O25" s="359" t="s">
        <v>106</v>
      </c>
      <c r="P25" s="360"/>
      <c r="Q25" s="195"/>
      <c r="R25" s="198" t="s">
        <v>7</v>
      </c>
      <c r="S25" s="103">
        <f>IF($A25="S",IF($Q$10="Preço Unitário (R$)",PO.CustoUnitario,ROUND(PO.CustoUnitario*(1+$Z25),15-13*$X$6)),0)</f>
        <v>0</v>
      </c>
      <c r="T25" s="83">
        <f ca="1">IF($A25="S",VTOTAL1,IF($A25=0,0,ROUND(SomaAgrup,15-13*$X$7)))</f>
        <v>0</v>
      </c>
      <c r="U25" s="9" t="str">
        <f ca="1">IF($J25="","",IF($N25="","DESCRIÇÃO",IF(AND($J25="Serviço",$O25=""),"UNIDADE",IF($T25&lt;=0,"SEM VALOR",IF(AND($Y25&lt;&gt;"",$Q25&gt;$Y25),"ACIMA REF.","")))))</f>
        <v>SEM VALOR</v>
      </c>
      <c r="V25" s="1">
        <f ca="1">IF(OR($A25=0,$A25="S",$A25&gt;CFF!$A$9),"",MAX(V$12:OFFSET(V25,-1,0))+1)</f>
        <v>3</v>
      </c>
      <c r="W25" s="4" t="b">
        <f>IF(AND($J25="Serviço",$M25&lt;&gt;""),IF($L25="",$M25,CONCATENATE($L25,"-",$M25)))</f>
        <v>0</v>
      </c>
      <c r="X25" s="1" t="str">
        <f ca="1">IF(AND(Fonte&lt;&gt;"",Código&lt;&gt;""),MATCH(Fonte&amp;" "&amp;IF(Fonte="sinapi",SUBSTITUTE(SUBSTITUTE(Código,"/00","/"),"/0","/"),Código),INDIRECT("'[Referência "&amp;_xlnm.Database&amp;".xls]Banco'!$a:$a"),0),"X")</f>
        <v>X</v>
      </c>
      <c r="Y25" s="103">
        <v>0</v>
      </c>
      <c r="Z25" s="113">
        <f ca="1">ROUND(IF(ISNUMBER(R25),R25,IF(LEFT(R25,3)="BDI",HLOOKUP(R25,DADOS!$T$37:$X$38,2,FALSE),0)),15-11*$X$5)</f>
        <v>0.25</v>
      </c>
      <c r="AA25" s="1"/>
    </row>
    <row r="26" spans="1:27" ht="26.4" x14ac:dyDescent="0.25">
      <c r="A26" t="str">
        <f t="shared" si="0"/>
        <v>S</v>
      </c>
      <c r="B26">
        <f t="shared" si="1"/>
        <v>0</v>
      </c>
      <c r="C26">
        <f t="shared" ca="1" si="2"/>
        <v>2</v>
      </c>
      <c r="D26">
        <f t="shared" ca="1" si="3"/>
        <v>1</v>
      </c>
      <c r="E26">
        <f t="shared" ca="1" si="4"/>
        <v>0</v>
      </c>
      <c r="F26">
        <f t="shared" ca="1" si="5"/>
        <v>0</v>
      </c>
      <c r="G26">
        <f t="shared" ca="1" si="6"/>
        <v>1</v>
      </c>
      <c r="H26">
        <f t="shared" ca="1" si="7"/>
        <v>0</v>
      </c>
      <c r="I26">
        <f t="shared" ca="1" si="8"/>
        <v>0</v>
      </c>
      <c r="J26" s="356" t="s">
        <v>103</v>
      </c>
      <c r="K26" s="138" t="str">
        <f t="shared" ca="1" si="9"/>
        <v>2.1.0.1.</v>
      </c>
      <c r="L26" s="357" t="s">
        <v>233</v>
      </c>
      <c r="M26" s="357" t="s">
        <v>249</v>
      </c>
      <c r="N26" s="358" t="s">
        <v>946</v>
      </c>
      <c r="O26" s="359" t="s">
        <v>635</v>
      </c>
      <c r="P26" s="360">
        <v>1575</v>
      </c>
      <c r="Q26" s="195"/>
      <c r="R26" s="198" t="s">
        <v>7</v>
      </c>
      <c r="S26" s="103">
        <f t="shared" si="10"/>
        <v>0</v>
      </c>
      <c r="T26" s="83">
        <f t="shared" si="11"/>
        <v>0</v>
      </c>
      <c r="U26" s="9" t="str">
        <f t="shared" si="12"/>
        <v>SEM VALOR</v>
      </c>
      <c r="V26" s="1" t="str">
        <f ca="1">IF(OR($A26=0,$A26="S",$A26&gt;CFF!$A$9),"",MAX(V$12:OFFSET(V26,-1,0))+1)</f>
        <v/>
      </c>
      <c r="W26" s="4" t="str">
        <f t="shared" si="13"/>
        <v>SINAPI-98525</v>
      </c>
      <c r="X26" s="1">
        <f t="shared" ca="1" si="14"/>
        <v>7369</v>
      </c>
      <c r="Y26" s="103">
        <v>0.89</v>
      </c>
      <c r="Z26" s="113">
        <f ca="1">ROUND(IF(ISNUMBER(R26),R26,IF(LEFT(R26,3)="BDI",HLOOKUP(R26,DADOS!$T$37:$X$38,2,FALSE),0)),15-11*$X$5)</f>
        <v>0.25</v>
      </c>
      <c r="AA26" s="1"/>
    </row>
    <row r="27" spans="1:27" ht="26.4" x14ac:dyDescent="0.25">
      <c r="A27" t="str">
        <f t="shared" si="0"/>
        <v>S</v>
      </c>
      <c r="B27">
        <f t="shared" si="1"/>
        <v>0</v>
      </c>
      <c r="C27">
        <f t="shared" ca="1" si="2"/>
        <v>2</v>
      </c>
      <c r="D27">
        <f t="shared" ca="1" si="3"/>
        <v>1</v>
      </c>
      <c r="E27">
        <f t="shared" ca="1" si="4"/>
        <v>0</v>
      </c>
      <c r="F27">
        <f t="shared" ca="1" si="5"/>
        <v>0</v>
      </c>
      <c r="G27">
        <f t="shared" ca="1" si="6"/>
        <v>2</v>
      </c>
      <c r="H27">
        <f t="shared" ca="1" si="7"/>
        <v>0</v>
      </c>
      <c r="I27">
        <f t="shared" ca="1" si="8"/>
        <v>0</v>
      </c>
      <c r="J27" s="356" t="s">
        <v>103</v>
      </c>
      <c r="K27" s="138" t="str">
        <f t="shared" ca="1" si="9"/>
        <v>2.1.0.2.</v>
      </c>
      <c r="L27" s="357" t="s">
        <v>233</v>
      </c>
      <c r="M27" s="357" t="s">
        <v>250</v>
      </c>
      <c r="N27" s="358" t="s">
        <v>947</v>
      </c>
      <c r="O27" s="359" t="s">
        <v>660</v>
      </c>
      <c r="P27" s="360">
        <v>158.44</v>
      </c>
      <c r="Q27" s="195"/>
      <c r="R27" s="198" t="s">
        <v>7</v>
      </c>
      <c r="S27" s="103">
        <f t="shared" si="10"/>
        <v>0</v>
      </c>
      <c r="T27" s="83">
        <f t="shared" si="11"/>
        <v>0</v>
      </c>
      <c r="U27" s="9" t="str">
        <f t="shared" si="12"/>
        <v>SEM VALOR</v>
      </c>
      <c r="V27" s="1" t="str">
        <f ca="1">IF(OR($A27=0,$A27="S",$A27&gt;CFF!$A$9),"",MAX(V$12:OFFSET(V27,-1,0))+1)</f>
        <v/>
      </c>
      <c r="W27" s="4" t="str">
        <f t="shared" si="13"/>
        <v>SINAPI-94306</v>
      </c>
      <c r="X27" s="1">
        <f t="shared" ca="1" si="14"/>
        <v>5863</v>
      </c>
      <c r="Y27" s="103">
        <v>89.01</v>
      </c>
      <c r="Z27" s="113">
        <f ca="1">ROUND(IF(ISNUMBER(R27),R27,IF(LEFT(R27,3)="BDI",HLOOKUP(R27,DADOS!$T$37:$X$38,2,FALSE),0)),15-11*$X$5)</f>
        <v>0.25</v>
      </c>
      <c r="AA27" s="1"/>
    </row>
    <row r="28" spans="1:27" ht="26.4" x14ac:dyDescent="0.25">
      <c r="A28" t="str">
        <f t="shared" si="0"/>
        <v>S</v>
      </c>
      <c r="B28">
        <f t="shared" si="1"/>
        <v>0</v>
      </c>
      <c r="C28">
        <f t="shared" ca="1" si="2"/>
        <v>2</v>
      </c>
      <c r="D28">
        <f t="shared" ca="1" si="3"/>
        <v>1</v>
      </c>
      <c r="E28">
        <f t="shared" ca="1" si="4"/>
        <v>0</v>
      </c>
      <c r="F28">
        <f t="shared" ca="1" si="5"/>
        <v>0</v>
      </c>
      <c r="G28">
        <f t="shared" ca="1" si="6"/>
        <v>3</v>
      </c>
      <c r="H28">
        <f t="shared" ca="1" si="7"/>
        <v>0</v>
      </c>
      <c r="I28">
        <f t="shared" ca="1" si="8"/>
        <v>0</v>
      </c>
      <c r="J28" s="356" t="s">
        <v>103</v>
      </c>
      <c r="K28" s="138" t="str">
        <f t="shared" ca="1" si="9"/>
        <v>2.1.0.3.</v>
      </c>
      <c r="L28" s="357" t="s">
        <v>233</v>
      </c>
      <c r="M28" s="357" t="s">
        <v>640</v>
      </c>
      <c r="N28" s="358" t="s">
        <v>948</v>
      </c>
      <c r="O28" s="359" t="s">
        <v>660</v>
      </c>
      <c r="P28" s="360">
        <v>250.58</v>
      </c>
      <c r="Q28" s="195"/>
      <c r="R28" s="198" t="s">
        <v>7</v>
      </c>
      <c r="S28" s="103">
        <f t="shared" si="10"/>
        <v>0</v>
      </c>
      <c r="T28" s="83">
        <f t="shared" si="11"/>
        <v>0</v>
      </c>
      <c r="U28" s="9" t="str">
        <f t="shared" si="12"/>
        <v>SEM VALOR</v>
      </c>
      <c r="V28" s="1" t="str">
        <f ca="1">IF(OR($A28=0,$A28="S",$A28&gt;CFF!$A$9),"",MAX(V$12:OFFSET(V28,-1,0))+1)</f>
        <v/>
      </c>
      <c r="W28" s="4" t="str">
        <f t="shared" si="13"/>
        <v>SINAPI-96523</v>
      </c>
      <c r="X28" s="1">
        <f t="shared" ca="1" si="14"/>
        <v>5667</v>
      </c>
      <c r="Y28" s="103">
        <v>123.9</v>
      </c>
      <c r="Z28" s="113">
        <f ca="1">ROUND(IF(ISNUMBER(R28),R28,IF(LEFT(R28,3)="BDI",HLOOKUP(R28,DADOS!$T$37:$X$38,2,FALSE),0)),15-11*$X$5)</f>
        <v>0.25</v>
      </c>
      <c r="AA28" s="1"/>
    </row>
    <row r="29" spans="1:27" ht="26.4" x14ac:dyDescent="0.25">
      <c r="A29" t="str">
        <f t="shared" si="0"/>
        <v>S</v>
      </c>
      <c r="B29">
        <f t="shared" si="1"/>
        <v>0</v>
      </c>
      <c r="C29">
        <f t="shared" ca="1" si="2"/>
        <v>2</v>
      </c>
      <c r="D29">
        <f t="shared" ca="1" si="3"/>
        <v>1</v>
      </c>
      <c r="E29">
        <f t="shared" ca="1" si="4"/>
        <v>0</v>
      </c>
      <c r="F29">
        <f t="shared" ca="1" si="5"/>
        <v>0</v>
      </c>
      <c r="G29">
        <f t="shared" ca="1" si="6"/>
        <v>4</v>
      </c>
      <c r="H29">
        <f t="shared" ca="1" si="7"/>
        <v>0</v>
      </c>
      <c r="I29">
        <f t="shared" ca="1" si="8"/>
        <v>0</v>
      </c>
      <c r="J29" s="356" t="s">
        <v>103</v>
      </c>
      <c r="K29" s="138" t="str">
        <f t="shared" ca="1" si="9"/>
        <v>2.1.0.4.</v>
      </c>
      <c r="L29" s="357" t="s">
        <v>233</v>
      </c>
      <c r="M29" s="357" t="s">
        <v>241</v>
      </c>
      <c r="N29" s="358" t="s">
        <v>949</v>
      </c>
      <c r="O29" s="359" t="s">
        <v>635</v>
      </c>
      <c r="P29" s="360">
        <v>107.09</v>
      </c>
      <c r="Q29" s="195"/>
      <c r="R29" s="198" t="s">
        <v>7</v>
      </c>
      <c r="S29" s="103">
        <f t="shared" si="10"/>
        <v>0</v>
      </c>
      <c r="T29" s="83">
        <f t="shared" si="11"/>
        <v>0</v>
      </c>
      <c r="U29" s="9" t="str">
        <f t="shared" si="12"/>
        <v>SEM VALOR</v>
      </c>
      <c r="V29" s="1" t="str">
        <f ca="1">IF(OR($A29=0,$A29="S",$A29&gt;CFF!$A$9),"",MAX(V$12:OFFSET(V29,-1,0))+1)</f>
        <v/>
      </c>
      <c r="W29" s="4" t="str">
        <f t="shared" si="13"/>
        <v>SINAPI-101617</v>
      </c>
      <c r="X29" s="1">
        <f t="shared" ca="1" si="14"/>
        <v>5916</v>
      </c>
      <c r="Y29" s="103">
        <v>4.1100000000000003</v>
      </c>
      <c r="Z29" s="113">
        <f ca="1">ROUND(IF(ISNUMBER(R29),R29,IF(LEFT(R29,3)="BDI",HLOOKUP(R29,DADOS!$T$37:$X$38,2,FALSE),0)),15-11*$X$5)</f>
        <v>0.25</v>
      </c>
      <c r="AA29" s="1"/>
    </row>
    <row r="30" spans="1:27" ht="39.6" x14ac:dyDescent="0.25">
      <c r="A30" t="str">
        <f t="shared" si="0"/>
        <v>S</v>
      </c>
      <c r="B30">
        <f t="shared" si="1"/>
        <v>0</v>
      </c>
      <c r="C30">
        <f t="shared" ca="1" si="2"/>
        <v>2</v>
      </c>
      <c r="D30">
        <f t="shared" ca="1" si="3"/>
        <v>1</v>
      </c>
      <c r="E30">
        <f t="shared" ca="1" si="4"/>
        <v>0</v>
      </c>
      <c r="F30">
        <f t="shared" ca="1" si="5"/>
        <v>0</v>
      </c>
      <c r="G30">
        <f t="shared" ca="1" si="6"/>
        <v>5</v>
      </c>
      <c r="H30">
        <f t="shared" ca="1" si="7"/>
        <v>0</v>
      </c>
      <c r="I30">
        <f t="shared" ca="1" si="8"/>
        <v>0</v>
      </c>
      <c r="J30" s="356" t="s">
        <v>103</v>
      </c>
      <c r="K30" s="138" t="str">
        <f t="shared" ca="1" si="9"/>
        <v>2.1.0.5.</v>
      </c>
      <c r="L30" s="357" t="s">
        <v>233</v>
      </c>
      <c r="M30" s="357" t="s">
        <v>251</v>
      </c>
      <c r="N30" s="358" t="s">
        <v>950</v>
      </c>
      <c r="O30" s="359" t="s">
        <v>660</v>
      </c>
      <c r="P30" s="360">
        <v>210.86</v>
      </c>
      <c r="Q30" s="195"/>
      <c r="R30" s="198" t="s">
        <v>7</v>
      </c>
      <c r="S30" s="103">
        <f t="shared" si="10"/>
        <v>0</v>
      </c>
      <c r="T30" s="83">
        <f t="shared" si="11"/>
        <v>0</v>
      </c>
      <c r="U30" s="9" t="str">
        <f t="shared" si="12"/>
        <v>SEM VALOR</v>
      </c>
      <c r="V30" s="1" t="str">
        <f ca="1">IF(OR($A30=0,$A30="S",$A30&gt;CFF!$A$9),"",MAX(V$12:OFFSET(V30,-1,0))+1)</f>
        <v/>
      </c>
      <c r="W30" s="4" t="str">
        <f t="shared" si="13"/>
        <v>SINAPI-93381</v>
      </c>
      <c r="X30" s="1">
        <f t="shared" ca="1" si="14"/>
        <v>5894</v>
      </c>
      <c r="Y30" s="103">
        <v>17.850000000000001</v>
      </c>
      <c r="Z30" s="113">
        <f ca="1">ROUND(IF(ISNUMBER(R30),R30,IF(LEFT(R30,3)="BDI",HLOOKUP(R30,DADOS!$T$37:$X$38,2,FALSE),0)),15-11*$X$5)</f>
        <v>0.25</v>
      </c>
      <c r="AA30" s="1"/>
    </row>
    <row r="31" spans="1:27" x14ac:dyDescent="0.25">
      <c r="A31">
        <f t="shared" si="0"/>
        <v>2</v>
      </c>
      <c r="B31">
        <f t="shared" ca="1" si="1"/>
        <v>4</v>
      </c>
      <c r="C31">
        <f t="shared" ca="1" si="2"/>
        <v>2</v>
      </c>
      <c r="D31">
        <f t="shared" ca="1" si="3"/>
        <v>2</v>
      </c>
      <c r="E31">
        <f t="shared" ca="1" si="4"/>
        <v>0</v>
      </c>
      <c r="F31">
        <f t="shared" ca="1" si="5"/>
        <v>0</v>
      </c>
      <c r="G31">
        <f t="shared" ca="1" si="6"/>
        <v>0</v>
      </c>
      <c r="H31">
        <f t="shared" ca="1" si="7"/>
        <v>8</v>
      </c>
      <c r="I31">
        <f t="shared" ca="1" si="8"/>
        <v>4</v>
      </c>
      <c r="J31" s="356" t="s">
        <v>100</v>
      </c>
      <c r="K31" s="138" t="str">
        <f t="shared" ca="1" si="9"/>
        <v>2.2.</v>
      </c>
      <c r="L31" s="357"/>
      <c r="M31" s="357"/>
      <c r="N31" s="358" t="s">
        <v>639</v>
      </c>
      <c r="O31" s="359" t="s">
        <v>106</v>
      </c>
      <c r="P31" s="360"/>
      <c r="Q31" s="195"/>
      <c r="R31" s="198" t="s">
        <v>7</v>
      </c>
      <c r="S31" s="103">
        <f t="shared" si="10"/>
        <v>0</v>
      </c>
      <c r="T31" s="83">
        <f t="shared" ca="1" si="11"/>
        <v>0</v>
      </c>
      <c r="U31" s="9" t="str">
        <f t="shared" ca="1" si="12"/>
        <v>SEM VALOR</v>
      </c>
      <c r="V31" s="1">
        <f ca="1">IF(OR($A31=0,$A31="S",$A31&gt;CFF!$A$9),"",MAX(V$12:OFFSET(V31,-1,0))+1)</f>
        <v>4</v>
      </c>
      <c r="W31" s="4" t="b">
        <f t="shared" si="13"/>
        <v>0</v>
      </c>
      <c r="X31" s="1" t="str">
        <f t="shared" ca="1" si="14"/>
        <v>X</v>
      </c>
      <c r="Y31" s="103">
        <v>0</v>
      </c>
      <c r="Z31" s="113">
        <f ca="1">ROUND(IF(ISNUMBER(R31),R31,IF(LEFT(R31,3)="BDI",HLOOKUP(R31,DADOS!$T$37:$X$38,2,FALSE),0)),15-11*$X$5)</f>
        <v>0.25</v>
      </c>
      <c r="AA31" s="1"/>
    </row>
    <row r="32" spans="1:27" ht="26.4" x14ac:dyDescent="0.25">
      <c r="A32" t="str">
        <f t="shared" si="0"/>
        <v>S</v>
      </c>
      <c r="B32">
        <f t="shared" si="1"/>
        <v>0</v>
      </c>
      <c r="C32">
        <f t="shared" ca="1" si="2"/>
        <v>2</v>
      </c>
      <c r="D32">
        <f t="shared" ca="1" si="3"/>
        <v>2</v>
      </c>
      <c r="E32">
        <f t="shared" ca="1" si="4"/>
        <v>0</v>
      </c>
      <c r="F32">
        <f t="shared" ca="1" si="5"/>
        <v>0</v>
      </c>
      <c r="G32">
        <f t="shared" ca="1" si="6"/>
        <v>1</v>
      </c>
      <c r="H32">
        <f t="shared" ca="1" si="7"/>
        <v>0</v>
      </c>
      <c r="I32">
        <f t="shared" ca="1" si="8"/>
        <v>0</v>
      </c>
      <c r="J32" s="356" t="s">
        <v>103</v>
      </c>
      <c r="K32" s="138" t="str">
        <f t="shared" ca="1" si="9"/>
        <v>2.2.0.1.</v>
      </c>
      <c r="L32" s="357" t="s">
        <v>233</v>
      </c>
      <c r="M32" s="357" t="s">
        <v>640</v>
      </c>
      <c r="N32" s="358" t="s">
        <v>948</v>
      </c>
      <c r="O32" s="359" t="s">
        <v>660</v>
      </c>
      <c r="P32" s="360">
        <v>15.68</v>
      </c>
      <c r="Q32" s="195"/>
      <c r="R32" s="198" t="s">
        <v>7</v>
      </c>
      <c r="S32" s="103">
        <f t="shared" si="10"/>
        <v>0</v>
      </c>
      <c r="T32" s="83">
        <f t="shared" si="11"/>
        <v>0</v>
      </c>
      <c r="U32" s="9" t="str">
        <f t="shared" si="12"/>
        <v>SEM VALOR</v>
      </c>
      <c r="V32" s="1" t="str">
        <f ca="1">IF(OR($A32=0,$A32="S",$A32&gt;CFF!$A$9),"",MAX(V$12:OFFSET(V32,-1,0))+1)</f>
        <v/>
      </c>
      <c r="W32" s="4" t="str">
        <f t="shared" si="13"/>
        <v>SINAPI-96523</v>
      </c>
      <c r="X32" s="1">
        <f t="shared" ca="1" si="14"/>
        <v>5667</v>
      </c>
      <c r="Y32" s="103">
        <v>123.9</v>
      </c>
      <c r="Z32" s="113">
        <f ca="1">ROUND(IF(ISNUMBER(R32),R32,IF(LEFT(R32,3)="BDI",HLOOKUP(R32,DADOS!$T$37:$X$38,2,FALSE),0)),15-11*$X$5)</f>
        <v>0.25</v>
      </c>
      <c r="AA32" s="1"/>
    </row>
    <row r="33" spans="1:27" ht="26.4" x14ac:dyDescent="0.25">
      <c r="A33" t="str">
        <f t="shared" si="0"/>
        <v>S</v>
      </c>
      <c r="B33">
        <f t="shared" si="1"/>
        <v>0</v>
      </c>
      <c r="C33">
        <f t="shared" ca="1" si="2"/>
        <v>2</v>
      </c>
      <c r="D33">
        <f t="shared" ca="1" si="3"/>
        <v>2</v>
      </c>
      <c r="E33">
        <f t="shared" ca="1" si="4"/>
        <v>0</v>
      </c>
      <c r="F33">
        <f t="shared" ca="1" si="5"/>
        <v>0</v>
      </c>
      <c r="G33">
        <f t="shared" ca="1" si="6"/>
        <v>2</v>
      </c>
      <c r="H33">
        <f t="shared" ca="1" si="7"/>
        <v>0</v>
      </c>
      <c r="I33">
        <f t="shared" ca="1" si="8"/>
        <v>0</v>
      </c>
      <c r="J33" s="356" t="s">
        <v>103</v>
      </c>
      <c r="K33" s="138" t="str">
        <f t="shared" ca="1" si="9"/>
        <v>2.2.0.2.</v>
      </c>
      <c r="L33" s="357" t="s">
        <v>233</v>
      </c>
      <c r="M33" s="357" t="s">
        <v>241</v>
      </c>
      <c r="N33" s="358" t="s">
        <v>949</v>
      </c>
      <c r="O33" s="359" t="s">
        <v>635</v>
      </c>
      <c r="P33" s="360">
        <v>13.37</v>
      </c>
      <c r="Q33" s="195"/>
      <c r="R33" s="198" t="s">
        <v>7</v>
      </c>
      <c r="S33" s="103">
        <f t="shared" si="10"/>
        <v>0</v>
      </c>
      <c r="T33" s="83">
        <f t="shared" si="11"/>
        <v>0</v>
      </c>
      <c r="U33" s="9" t="str">
        <f t="shared" si="12"/>
        <v>SEM VALOR</v>
      </c>
      <c r="V33" s="1" t="str">
        <f ca="1">IF(OR($A33=0,$A33="S",$A33&gt;CFF!$A$9),"",MAX(V$12:OFFSET(V33,-1,0))+1)</f>
        <v/>
      </c>
      <c r="W33" s="4" t="str">
        <f t="shared" si="13"/>
        <v>SINAPI-101617</v>
      </c>
      <c r="X33" s="1">
        <f t="shared" ca="1" si="14"/>
        <v>5916</v>
      </c>
      <c r="Y33" s="103">
        <v>4.1100000000000003</v>
      </c>
      <c r="Z33" s="113">
        <f ca="1">ROUND(IF(ISNUMBER(R33),R33,IF(LEFT(R33,3)="BDI",HLOOKUP(R33,DADOS!$T$37:$X$38,2,FALSE),0)),15-11*$X$5)</f>
        <v>0.25</v>
      </c>
      <c r="AA33" s="1"/>
    </row>
    <row r="34" spans="1:27" ht="39.6" x14ac:dyDescent="0.25">
      <c r="A34" t="str">
        <f t="shared" si="0"/>
        <v>S</v>
      </c>
      <c r="B34">
        <f t="shared" si="1"/>
        <v>0</v>
      </c>
      <c r="C34">
        <f t="shared" ca="1" si="2"/>
        <v>2</v>
      </c>
      <c r="D34">
        <f t="shared" ca="1" si="3"/>
        <v>2</v>
      </c>
      <c r="E34">
        <f t="shared" ca="1" si="4"/>
        <v>0</v>
      </c>
      <c r="F34">
        <f t="shared" ca="1" si="5"/>
        <v>0</v>
      </c>
      <c r="G34">
        <f t="shared" ca="1" si="6"/>
        <v>3</v>
      </c>
      <c r="H34">
        <f t="shared" ca="1" si="7"/>
        <v>0</v>
      </c>
      <c r="I34">
        <f t="shared" ca="1" si="8"/>
        <v>0</v>
      </c>
      <c r="J34" s="356" t="s">
        <v>103</v>
      </c>
      <c r="K34" s="138" t="str">
        <f t="shared" ca="1" si="9"/>
        <v>2.2.0.3.</v>
      </c>
      <c r="L34" s="357" t="s">
        <v>233</v>
      </c>
      <c r="M34" s="357" t="s">
        <v>251</v>
      </c>
      <c r="N34" s="358" t="s">
        <v>950</v>
      </c>
      <c r="O34" s="359" t="s">
        <v>660</v>
      </c>
      <c r="P34" s="360">
        <v>11.42</v>
      </c>
      <c r="Q34" s="195"/>
      <c r="R34" s="198" t="s">
        <v>7</v>
      </c>
      <c r="S34" s="103">
        <f t="shared" si="10"/>
        <v>0</v>
      </c>
      <c r="T34" s="83">
        <f t="shared" si="11"/>
        <v>0</v>
      </c>
      <c r="U34" s="9" t="str">
        <f t="shared" si="12"/>
        <v>SEM VALOR</v>
      </c>
      <c r="V34" s="1" t="str">
        <f ca="1">IF(OR($A34=0,$A34="S",$A34&gt;CFF!$A$9),"",MAX(V$12:OFFSET(V34,-1,0))+1)</f>
        <v/>
      </c>
      <c r="W34" s="4" t="str">
        <f t="shared" si="13"/>
        <v>SINAPI-93381</v>
      </c>
      <c r="X34" s="1">
        <f t="shared" ca="1" si="14"/>
        <v>5894</v>
      </c>
      <c r="Y34" s="103">
        <v>17.850000000000001</v>
      </c>
      <c r="Z34" s="113">
        <f ca="1">ROUND(IF(ISNUMBER(R34),R34,IF(LEFT(R34,3)="BDI",HLOOKUP(R34,DADOS!$T$37:$X$38,2,FALSE),0)),15-11*$X$5)</f>
        <v>0.25</v>
      </c>
      <c r="AA34" s="1"/>
    </row>
    <row r="35" spans="1:27" x14ac:dyDescent="0.25">
      <c r="A35">
        <f t="shared" si="0"/>
        <v>2</v>
      </c>
      <c r="B35">
        <f t="shared" ca="1" si="1"/>
        <v>4</v>
      </c>
      <c r="C35">
        <f t="shared" ca="1" si="2"/>
        <v>2</v>
      </c>
      <c r="D35">
        <f t="shared" ca="1" si="3"/>
        <v>3</v>
      </c>
      <c r="E35">
        <f t="shared" ca="1" si="4"/>
        <v>0</v>
      </c>
      <c r="F35">
        <f t="shared" ca="1" si="5"/>
        <v>0</v>
      </c>
      <c r="G35">
        <f t="shared" ca="1" si="6"/>
        <v>0</v>
      </c>
      <c r="H35">
        <f t="shared" ca="1" si="7"/>
        <v>4</v>
      </c>
      <c r="I35">
        <f t="shared" ca="1" si="8"/>
        <v>33</v>
      </c>
      <c r="J35" s="356" t="s">
        <v>100</v>
      </c>
      <c r="K35" s="138" t="str">
        <f t="shared" ca="1" si="9"/>
        <v>2.3.</v>
      </c>
      <c r="L35" s="357"/>
      <c r="M35" s="357"/>
      <c r="N35" s="358" t="s">
        <v>641</v>
      </c>
      <c r="O35" s="359" t="s">
        <v>106</v>
      </c>
      <c r="P35" s="360"/>
      <c r="Q35" s="195"/>
      <c r="R35" s="198" t="s">
        <v>7</v>
      </c>
      <c r="S35" s="103">
        <f t="shared" si="10"/>
        <v>0</v>
      </c>
      <c r="T35" s="83">
        <f t="shared" ca="1" si="11"/>
        <v>0</v>
      </c>
      <c r="U35" s="9" t="str">
        <f t="shared" ca="1" si="12"/>
        <v>SEM VALOR</v>
      </c>
      <c r="V35" s="1">
        <f ca="1">IF(OR($A35=0,$A35="S",$A35&gt;CFF!$A$9),"",MAX(V$12:OFFSET(V35,-1,0))+1)</f>
        <v>5</v>
      </c>
      <c r="W35" s="4" t="b">
        <f t="shared" si="13"/>
        <v>0</v>
      </c>
      <c r="X35" s="1" t="str">
        <f t="shared" ca="1" si="14"/>
        <v>X</v>
      </c>
      <c r="Y35" s="103">
        <v>0</v>
      </c>
      <c r="Z35" s="113">
        <f ca="1">ROUND(IF(ISNUMBER(R35),R35,IF(LEFT(R35,3)="BDI",HLOOKUP(R35,DADOS!$T$37:$X$38,2,FALSE),0)),15-11*$X$5)</f>
        <v>0.25</v>
      </c>
      <c r="AA35" s="1"/>
    </row>
    <row r="36" spans="1:27" ht="26.4" x14ac:dyDescent="0.25">
      <c r="A36" t="str">
        <f t="shared" si="0"/>
        <v>S</v>
      </c>
      <c r="B36">
        <f t="shared" si="1"/>
        <v>0</v>
      </c>
      <c r="C36">
        <f t="shared" ca="1" si="2"/>
        <v>2</v>
      </c>
      <c r="D36">
        <f t="shared" ca="1" si="3"/>
        <v>3</v>
      </c>
      <c r="E36">
        <f t="shared" ca="1" si="4"/>
        <v>0</v>
      </c>
      <c r="F36">
        <f t="shared" ca="1" si="5"/>
        <v>0</v>
      </c>
      <c r="G36">
        <f t="shared" ca="1" si="6"/>
        <v>1</v>
      </c>
      <c r="H36">
        <f t="shared" ca="1" si="7"/>
        <v>0</v>
      </c>
      <c r="I36">
        <f t="shared" ca="1" si="8"/>
        <v>0</v>
      </c>
      <c r="J36" s="356" t="s">
        <v>103</v>
      </c>
      <c r="K36" s="138" t="str">
        <f t="shared" ca="1" si="9"/>
        <v>2.3.0.1.</v>
      </c>
      <c r="L36" s="357" t="s">
        <v>233</v>
      </c>
      <c r="M36" s="357" t="s">
        <v>640</v>
      </c>
      <c r="N36" s="358" t="s">
        <v>948</v>
      </c>
      <c r="O36" s="359" t="s">
        <v>660</v>
      </c>
      <c r="P36" s="360">
        <v>3.65</v>
      </c>
      <c r="Q36" s="195"/>
      <c r="R36" s="198" t="s">
        <v>7</v>
      </c>
      <c r="S36" s="103">
        <f t="shared" si="10"/>
        <v>0</v>
      </c>
      <c r="T36" s="83">
        <f t="shared" si="11"/>
        <v>0</v>
      </c>
      <c r="U36" s="9" t="str">
        <f t="shared" si="12"/>
        <v>SEM VALOR</v>
      </c>
      <c r="V36" s="1" t="str">
        <f ca="1">IF(OR($A36=0,$A36="S",$A36&gt;CFF!$A$9),"",MAX(V$12:OFFSET(V36,-1,0))+1)</f>
        <v/>
      </c>
      <c r="W36" s="4" t="str">
        <f t="shared" si="13"/>
        <v>SINAPI-96523</v>
      </c>
      <c r="X36" s="1">
        <f t="shared" ca="1" si="14"/>
        <v>5667</v>
      </c>
      <c r="Y36" s="103">
        <v>123.9</v>
      </c>
      <c r="Z36" s="113">
        <f ca="1">ROUND(IF(ISNUMBER(R36),R36,IF(LEFT(R36,3)="BDI",HLOOKUP(R36,DADOS!$T$37:$X$38,2,FALSE),0)),15-11*$X$5)</f>
        <v>0.25</v>
      </c>
      <c r="AA36" s="1"/>
    </row>
    <row r="37" spans="1:27" ht="26.4" x14ac:dyDescent="0.25">
      <c r="A37" t="str">
        <f t="shared" si="0"/>
        <v>S</v>
      </c>
      <c r="B37">
        <f t="shared" si="1"/>
        <v>0</v>
      </c>
      <c r="C37">
        <f t="shared" ca="1" si="2"/>
        <v>2</v>
      </c>
      <c r="D37">
        <f t="shared" ca="1" si="3"/>
        <v>3</v>
      </c>
      <c r="E37">
        <f t="shared" ca="1" si="4"/>
        <v>0</v>
      </c>
      <c r="F37">
        <f t="shared" ca="1" si="5"/>
        <v>0</v>
      </c>
      <c r="G37">
        <f t="shared" ca="1" si="6"/>
        <v>2</v>
      </c>
      <c r="H37">
        <f t="shared" ca="1" si="7"/>
        <v>0</v>
      </c>
      <c r="I37">
        <f t="shared" ca="1" si="8"/>
        <v>0</v>
      </c>
      <c r="J37" s="356" t="s">
        <v>103</v>
      </c>
      <c r="K37" s="138" t="str">
        <f t="shared" ca="1" si="9"/>
        <v>2.3.0.2.</v>
      </c>
      <c r="L37" s="357" t="s">
        <v>233</v>
      </c>
      <c r="M37" s="357" t="s">
        <v>241</v>
      </c>
      <c r="N37" s="358" t="s">
        <v>949</v>
      </c>
      <c r="O37" s="359" t="s">
        <v>635</v>
      </c>
      <c r="P37" s="360">
        <v>4.84</v>
      </c>
      <c r="Q37" s="195"/>
      <c r="R37" s="198" t="s">
        <v>7</v>
      </c>
      <c r="S37" s="103">
        <f t="shared" si="10"/>
        <v>0</v>
      </c>
      <c r="T37" s="83">
        <f t="shared" si="11"/>
        <v>0</v>
      </c>
      <c r="U37" s="9" t="str">
        <f t="shared" si="12"/>
        <v>SEM VALOR</v>
      </c>
      <c r="V37" s="1" t="str">
        <f ca="1">IF(OR($A37=0,$A37="S",$A37&gt;CFF!$A$9),"",MAX(V$12:OFFSET(V37,-1,0))+1)</f>
        <v/>
      </c>
      <c r="W37" s="4" t="str">
        <f t="shared" si="13"/>
        <v>SINAPI-101617</v>
      </c>
      <c r="X37" s="1">
        <f t="shared" ca="1" si="14"/>
        <v>5916</v>
      </c>
      <c r="Y37" s="103">
        <v>4.1100000000000003</v>
      </c>
      <c r="Z37" s="113">
        <f ca="1">ROUND(IF(ISNUMBER(R37),R37,IF(LEFT(R37,3)="BDI",HLOOKUP(R37,DADOS!$T$37:$X$38,2,FALSE),0)),15-11*$X$5)</f>
        <v>0.25</v>
      </c>
      <c r="AA37" s="1"/>
    </row>
    <row r="38" spans="1:27" ht="39.6" x14ac:dyDescent="0.25">
      <c r="A38" t="str">
        <f t="shared" si="0"/>
        <v>S</v>
      </c>
      <c r="B38">
        <f t="shared" si="1"/>
        <v>0</v>
      </c>
      <c r="C38">
        <f t="shared" ca="1" si="2"/>
        <v>2</v>
      </c>
      <c r="D38">
        <f t="shared" ca="1" si="3"/>
        <v>3</v>
      </c>
      <c r="E38">
        <f t="shared" ca="1" si="4"/>
        <v>0</v>
      </c>
      <c r="F38">
        <f t="shared" ca="1" si="5"/>
        <v>0</v>
      </c>
      <c r="G38">
        <f t="shared" ca="1" si="6"/>
        <v>3</v>
      </c>
      <c r="H38">
        <f t="shared" ca="1" si="7"/>
        <v>0</v>
      </c>
      <c r="I38">
        <f t="shared" ca="1" si="8"/>
        <v>0</v>
      </c>
      <c r="J38" s="356" t="s">
        <v>103</v>
      </c>
      <c r="K38" s="138" t="str">
        <f t="shared" ca="1" si="9"/>
        <v>2.3.0.3.</v>
      </c>
      <c r="L38" s="357" t="s">
        <v>233</v>
      </c>
      <c r="M38" s="357" t="s">
        <v>251</v>
      </c>
      <c r="N38" s="358" t="s">
        <v>950</v>
      </c>
      <c r="O38" s="359" t="s">
        <v>660</v>
      </c>
      <c r="P38" s="360">
        <v>1.23</v>
      </c>
      <c r="Q38" s="195"/>
      <c r="R38" s="198" t="s">
        <v>7</v>
      </c>
      <c r="S38" s="103">
        <f t="shared" si="10"/>
        <v>0</v>
      </c>
      <c r="T38" s="83">
        <f t="shared" si="11"/>
        <v>0</v>
      </c>
      <c r="U38" s="9" t="str">
        <f t="shared" si="12"/>
        <v>SEM VALOR</v>
      </c>
      <c r="V38" s="1" t="str">
        <f ca="1">IF(OR($A38=0,$A38="S",$A38&gt;CFF!$A$9),"",MAX(V$12:OFFSET(V38,-1,0))+1)</f>
        <v/>
      </c>
      <c r="W38" s="4" t="str">
        <f t="shared" si="13"/>
        <v>SINAPI-93381</v>
      </c>
      <c r="X38" s="1">
        <f t="shared" ca="1" si="14"/>
        <v>5894</v>
      </c>
      <c r="Y38" s="103">
        <v>17.850000000000001</v>
      </c>
      <c r="Z38" s="113">
        <f ca="1">ROUND(IF(ISNUMBER(R38),R38,IF(LEFT(R38,3)="BDI",HLOOKUP(R38,DADOS!$T$37:$X$38,2,FALSE),0)),15-11*$X$5)</f>
        <v>0.25</v>
      </c>
      <c r="AA38" s="1"/>
    </row>
    <row r="39" spans="1:27" x14ac:dyDescent="0.25">
      <c r="A39">
        <f t="shared" si="0"/>
        <v>1</v>
      </c>
      <c r="B39">
        <f t="shared" ca="1" si="1"/>
        <v>40</v>
      </c>
      <c r="C39">
        <f t="shared" ca="1" si="2"/>
        <v>3</v>
      </c>
      <c r="D39">
        <f t="shared" ca="1" si="3"/>
        <v>0</v>
      </c>
      <c r="E39">
        <f t="shared" ca="1" si="4"/>
        <v>0</v>
      </c>
      <c r="F39">
        <f t="shared" ca="1" si="5"/>
        <v>0</v>
      </c>
      <c r="G39">
        <f t="shared" ca="1" si="6"/>
        <v>0</v>
      </c>
      <c r="H39">
        <f t="shared" ca="1" si="7"/>
        <v>564</v>
      </c>
      <c r="I39">
        <f t="shared" ca="1" si="8"/>
        <v>40</v>
      </c>
      <c r="J39" s="356" t="s">
        <v>99</v>
      </c>
      <c r="K39" s="138" t="str">
        <f t="shared" ca="1" si="9"/>
        <v>3.</v>
      </c>
      <c r="L39" s="357"/>
      <c r="M39" s="357"/>
      <c r="N39" s="358" t="s">
        <v>253</v>
      </c>
      <c r="O39" s="359" t="s">
        <v>106</v>
      </c>
      <c r="P39" s="360"/>
      <c r="Q39" s="195"/>
      <c r="R39" s="198" t="s">
        <v>7</v>
      </c>
      <c r="S39" s="103">
        <f t="shared" si="10"/>
        <v>0</v>
      </c>
      <c r="T39" s="83">
        <f t="shared" ca="1" si="11"/>
        <v>0</v>
      </c>
      <c r="U39" s="9" t="str">
        <f t="shared" ca="1" si="12"/>
        <v>SEM VALOR</v>
      </c>
      <c r="V39" s="1">
        <f ca="1">IF(OR($A39=0,$A39="S",$A39&gt;CFF!$A$9),"",MAX(V$12:OFFSET(V39,-1,0))+1)</f>
        <v>6</v>
      </c>
      <c r="W39" s="4" t="b">
        <f t="shared" si="13"/>
        <v>0</v>
      </c>
      <c r="X39" s="1" t="str">
        <f t="shared" ca="1" si="14"/>
        <v>X</v>
      </c>
      <c r="Y39" s="103">
        <v>0</v>
      </c>
      <c r="Z39" s="113">
        <f ca="1">ROUND(IF(ISNUMBER(R39),R39,IF(LEFT(R39,3)="BDI",HLOOKUP(R39,DADOS!$T$37:$X$38,2,FALSE),0)),15-11*$X$5)</f>
        <v>0.25</v>
      </c>
      <c r="AA39" s="1"/>
    </row>
    <row r="40" spans="1:27" x14ac:dyDescent="0.25">
      <c r="A40">
        <f t="shared" si="0"/>
        <v>2</v>
      </c>
      <c r="B40">
        <f t="shared" ca="1" si="1"/>
        <v>9</v>
      </c>
      <c r="C40">
        <f t="shared" ca="1" si="2"/>
        <v>3</v>
      </c>
      <c r="D40">
        <f t="shared" ca="1" si="3"/>
        <v>1</v>
      </c>
      <c r="E40">
        <f t="shared" ca="1" si="4"/>
        <v>0</v>
      </c>
      <c r="F40">
        <f t="shared" ca="1" si="5"/>
        <v>0</v>
      </c>
      <c r="G40">
        <f t="shared" ca="1" si="6"/>
        <v>0</v>
      </c>
      <c r="H40">
        <f t="shared" ca="1" si="7"/>
        <v>39</v>
      </c>
      <c r="I40">
        <f t="shared" ca="1" si="8"/>
        <v>9</v>
      </c>
      <c r="J40" s="356" t="s">
        <v>100</v>
      </c>
      <c r="K40" s="138" t="str">
        <f t="shared" ca="1" si="9"/>
        <v>3.1.</v>
      </c>
      <c r="L40" s="357"/>
      <c r="M40" s="357"/>
      <c r="N40" s="358" t="s">
        <v>687</v>
      </c>
      <c r="O40" s="359" t="s">
        <v>106</v>
      </c>
      <c r="P40" s="360"/>
      <c r="Q40" s="195"/>
      <c r="R40" s="198" t="s">
        <v>7</v>
      </c>
      <c r="S40" s="103">
        <f t="shared" si="10"/>
        <v>0</v>
      </c>
      <c r="T40" s="83">
        <f t="shared" ca="1" si="11"/>
        <v>0</v>
      </c>
      <c r="U40" s="9" t="str">
        <f t="shared" ca="1" si="12"/>
        <v>SEM VALOR</v>
      </c>
      <c r="V40" s="1">
        <f ca="1">IF(OR($A40=0,$A40="S",$A40&gt;CFF!$A$9),"",MAX(V$12:OFFSET(V40,-1,0))+1)</f>
        <v>7</v>
      </c>
      <c r="W40" s="4" t="b">
        <f t="shared" si="13"/>
        <v>0</v>
      </c>
      <c r="X40" s="1" t="str">
        <f t="shared" ca="1" si="14"/>
        <v>X</v>
      </c>
      <c r="Y40" s="103">
        <v>0</v>
      </c>
      <c r="Z40" s="113">
        <f ca="1">ROUND(IF(ISNUMBER(R40),R40,IF(LEFT(R40,3)="BDI",HLOOKUP(R40,DADOS!$T$37:$X$38,2,FALSE),0)),15-11*$X$5)</f>
        <v>0.25</v>
      </c>
      <c r="AA40" s="1"/>
    </row>
    <row r="41" spans="1:27" ht="26.4" x14ac:dyDescent="0.25">
      <c r="A41" t="str">
        <f t="shared" si="0"/>
        <v>S</v>
      </c>
      <c r="B41">
        <f t="shared" si="1"/>
        <v>0</v>
      </c>
      <c r="C41">
        <f t="shared" ca="1" si="2"/>
        <v>3</v>
      </c>
      <c r="D41">
        <f t="shared" ca="1" si="3"/>
        <v>1</v>
      </c>
      <c r="E41">
        <f t="shared" ca="1" si="4"/>
        <v>0</v>
      </c>
      <c r="F41">
        <f t="shared" ca="1" si="5"/>
        <v>0</v>
      </c>
      <c r="G41">
        <f t="shared" ca="1" si="6"/>
        <v>1</v>
      </c>
      <c r="H41">
        <f t="shared" ca="1" si="7"/>
        <v>0</v>
      </c>
      <c r="I41">
        <f t="shared" ca="1" si="8"/>
        <v>0</v>
      </c>
      <c r="J41" s="356" t="s">
        <v>103</v>
      </c>
      <c r="K41" s="138" t="str">
        <f t="shared" ca="1" si="9"/>
        <v>3.1.0.1.</v>
      </c>
      <c r="L41" s="357" t="s">
        <v>233</v>
      </c>
      <c r="M41" s="357" t="s">
        <v>254</v>
      </c>
      <c r="N41" s="358" t="s">
        <v>888</v>
      </c>
      <c r="O41" s="359" t="s">
        <v>635</v>
      </c>
      <c r="P41" s="360">
        <v>46.65</v>
      </c>
      <c r="Q41" s="195"/>
      <c r="R41" s="198" t="s">
        <v>7</v>
      </c>
      <c r="S41" s="103">
        <f t="shared" si="10"/>
        <v>0</v>
      </c>
      <c r="T41" s="83">
        <f t="shared" si="11"/>
        <v>0</v>
      </c>
      <c r="U41" s="9" t="str">
        <f t="shared" si="12"/>
        <v>SEM VALOR</v>
      </c>
      <c r="V41" s="1" t="str">
        <f ca="1">IF(OR($A41=0,$A41="S",$A41&gt;CFF!$A$9),"",MAX(V$12:OFFSET(V41,-1,0))+1)</f>
        <v/>
      </c>
      <c r="W41" s="4" t="str">
        <f t="shared" si="13"/>
        <v>SINAPI-96619</v>
      </c>
      <c r="X41" s="1">
        <f t="shared" ca="1" si="14"/>
        <v>2324</v>
      </c>
      <c r="Y41" s="103">
        <v>51.01</v>
      </c>
      <c r="Z41" s="113">
        <f ca="1">ROUND(IF(ISNUMBER(R41),R41,IF(LEFT(R41,3)="BDI",HLOOKUP(R41,DADOS!$T$37:$X$38,2,FALSE),0)),15-11*$X$5)</f>
        <v>0.25</v>
      </c>
      <c r="AA41" s="1"/>
    </row>
    <row r="42" spans="1:27" ht="26.4" x14ac:dyDescent="0.25">
      <c r="A42" t="str">
        <f t="shared" si="0"/>
        <v>S</v>
      </c>
      <c r="B42">
        <f t="shared" si="1"/>
        <v>0</v>
      </c>
      <c r="C42">
        <f t="shared" ca="1" si="2"/>
        <v>3</v>
      </c>
      <c r="D42">
        <f t="shared" ca="1" si="3"/>
        <v>1</v>
      </c>
      <c r="E42">
        <f t="shared" ca="1" si="4"/>
        <v>0</v>
      </c>
      <c r="F42">
        <f t="shared" ca="1" si="5"/>
        <v>0</v>
      </c>
      <c r="G42">
        <f t="shared" ca="1" si="6"/>
        <v>2</v>
      </c>
      <c r="H42">
        <f t="shared" ca="1" si="7"/>
        <v>0</v>
      </c>
      <c r="I42">
        <f t="shared" ca="1" si="8"/>
        <v>0</v>
      </c>
      <c r="J42" s="356" t="s">
        <v>103</v>
      </c>
      <c r="K42" s="138" t="str">
        <f t="shared" ca="1" si="9"/>
        <v>3.1.0.2.</v>
      </c>
      <c r="L42" s="357" t="s">
        <v>233</v>
      </c>
      <c r="M42" s="357" t="s">
        <v>642</v>
      </c>
      <c r="N42" s="358" t="s">
        <v>951</v>
      </c>
      <c r="O42" s="359" t="s">
        <v>635</v>
      </c>
      <c r="P42" s="360">
        <v>131.71</v>
      </c>
      <c r="Q42" s="195"/>
      <c r="R42" s="198" t="s">
        <v>7</v>
      </c>
      <c r="S42" s="103">
        <f t="shared" si="10"/>
        <v>0</v>
      </c>
      <c r="T42" s="83">
        <f t="shared" si="11"/>
        <v>0</v>
      </c>
      <c r="U42" s="9" t="str">
        <f t="shared" si="12"/>
        <v>SEM VALOR</v>
      </c>
      <c r="V42" s="1" t="str">
        <f ca="1">IF(OR($A42=0,$A42="S",$A42&gt;CFF!$A$9),"",MAX(V$12:OFFSET(V42,-1,0))+1)</f>
        <v/>
      </c>
      <c r="W42" s="4" t="str">
        <f t="shared" si="13"/>
        <v>SINAPI-96534</v>
      </c>
      <c r="X42" s="1">
        <f t="shared" ca="1" si="14"/>
        <v>2459</v>
      </c>
      <c r="Y42" s="103">
        <v>92.95</v>
      </c>
      <c r="Z42" s="113">
        <f ca="1">ROUND(IF(ISNUMBER(R42),R42,IF(LEFT(R42,3)="BDI",HLOOKUP(R42,DADOS!$T$37:$X$38,2,FALSE),0)),15-11*$X$5)</f>
        <v>0.25</v>
      </c>
      <c r="AA42" s="1"/>
    </row>
    <row r="43" spans="1:27" ht="26.4" x14ac:dyDescent="0.25">
      <c r="A43" t="str">
        <f t="shared" si="0"/>
        <v>S</v>
      </c>
      <c r="B43">
        <f t="shared" si="1"/>
        <v>0</v>
      </c>
      <c r="C43">
        <f t="shared" ca="1" si="2"/>
        <v>3</v>
      </c>
      <c r="D43">
        <f t="shared" ca="1" si="3"/>
        <v>1</v>
      </c>
      <c r="E43">
        <f t="shared" ca="1" si="4"/>
        <v>0</v>
      </c>
      <c r="F43">
        <f t="shared" ca="1" si="5"/>
        <v>0</v>
      </c>
      <c r="G43">
        <f t="shared" ca="1" si="6"/>
        <v>3</v>
      </c>
      <c r="H43">
        <f t="shared" ca="1" si="7"/>
        <v>0</v>
      </c>
      <c r="I43">
        <f t="shared" ca="1" si="8"/>
        <v>0</v>
      </c>
      <c r="J43" s="356" t="s">
        <v>103</v>
      </c>
      <c r="K43" s="138" t="str">
        <f t="shared" ca="1" si="9"/>
        <v>3.1.0.3.</v>
      </c>
      <c r="L43" s="357" t="s">
        <v>233</v>
      </c>
      <c r="M43" s="357" t="s">
        <v>255</v>
      </c>
      <c r="N43" s="358" t="s">
        <v>895</v>
      </c>
      <c r="O43" s="359" t="s">
        <v>892</v>
      </c>
      <c r="P43" s="360">
        <v>317.2</v>
      </c>
      <c r="Q43" s="195"/>
      <c r="R43" s="198" t="s">
        <v>7</v>
      </c>
      <c r="S43" s="103">
        <f t="shared" si="10"/>
        <v>0</v>
      </c>
      <c r="T43" s="83">
        <f t="shared" si="11"/>
        <v>0</v>
      </c>
      <c r="U43" s="9" t="str">
        <f t="shared" si="12"/>
        <v>SEM VALOR</v>
      </c>
      <c r="V43" s="1" t="str">
        <f ca="1">IF(OR($A43=0,$A43="S",$A43&gt;CFF!$A$9),"",MAX(V$12:OFFSET(V43,-1,0))+1)</f>
        <v/>
      </c>
      <c r="W43" s="4" t="str">
        <f t="shared" si="13"/>
        <v>SINAPI-104917</v>
      </c>
      <c r="X43" s="1">
        <f t="shared" ca="1" si="14"/>
        <v>2673</v>
      </c>
      <c r="Y43" s="103">
        <v>19.89</v>
      </c>
      <c r="Z43" s="113">
        <f ca="1">ROUND(IF(ISNUMBER(R43),R43,IF(LEFT(R43,3)="BDI",HLOOKUP(R43,DADOS!$T$37:$X$38,2,FALSE),0)),15-11*$X$5)</f>
        <v>0.25</v>
      </c>
      <c r="AA43" s="1"/>
    </row>
    <row r="44" spans="1:27" ht="26.4" x14ac:dyDescent="0.25">
      <c r="A44" t="str">
        <f t="shared" si="0"/>
        <v>S</v>
      </c>
      <c r="B44">
        <f t="shared" si="1"/>
        <v>0</v>
      </c>
      <c r="C44">
        <f t="shared" ca="1" si="2"/>
        <v>3</v>
      </c>
      <c r="D44">
        <f t="shared" ca="1" si="3"/>
        <v>1</v>
      </c>
      <c r="E44">
        <f t="shared" ca="1" si="4"/>
        <v>0</v>
      </c>
      <c r="F44">
        <f t="shared" ca="1" si="5"/>
        <v>0</v>
      </c>
      <c r="G44">
        <f t="shared" ca="1" si="6"/>
        <v>4</v>
      </c>
      <c r="H44">
        <f t="shared" ca="1" si="7"/>
        <v>0</v>
      </c>
      <c r="I44">
        <f t="shared" ca="1" si="8"/>
        <v>0</v>
      </c>
      <c r="J44" s="356" t="s">
        <v>103</v>
      </c>
      <c r="K44" s="138" t="str">
        <f t="shared" ca="1" si="9"/>
        <v>3.1.0.4.</v>
      </c>
      <c r="L44" s="357" t="s">
        <v>233</v>
      </c>
      <c r="M44" s="357" t="s">
        <v>256</v>
      </c>
      <c r="N44" s="358" t="s">
        <v>891</v>
      </c>
      <c r="O44" s="359" t="s">
        <v>892</v>
      </c>
      <c r="P44" s="360">
        <v>41.25</v>
      </c>
      <c r="Q44" s="195"/>
      <c r="R44" s="198" t="s">
        <v>7</v>
      </c>
      <c r="S44" s="103">
        <f t="shared" si="10"/>
        <v>0</v>
      </c>
      <c r="T44" s="83">
        <f t="shared" si="11"/>
        <v>0</v>
      </c>
      <c r="U44" s="9" t="str">
        <f t="shared" si="12"/>
        <v>SEM VALOR</v>
      </c>
      <c r="V44" s="1" t="str">
        <f ca="1">IF(OR($A44=0,$A44="S",$A44&gt;CFF!$A$9),"",MAX(V$12:OFFSET(V44,-1,0))+1)</f>
        <v/>
      </c>
      <c r="W44" s="4" t="str">
        <f t="shared" si="13"/>
        <v>SINAPI-104918</v>
      </c>
      <c r="X44" s="1">
        <f t="shared" ca="1" si="14"/>
        <v>2674</v>
      </c>
      <c r="Y44" s="103">
        <v>18.45</v>
      </c>
      <c r="Z44" s="113">
        <f ca="1">ROUND(IF(ISNUMBER(R44),R44,IF(LEFT(R44,3)="BDI",HLOOKUP(R44,DADOS!$T$37:$X$38,2,FALSE),0)),15-11*$X$5)</f>
        <v>0.25</v>
      </c>
      <c r="AA44" s="1"/>
    </row>
    <row r="45" spans="1:27" ht="26.4" x14ac:dyDescent="0.25">
      <c r="A45" t="str">
        <f t="shared" si="0"/>
        <v>S</v>
      </c>
      <c r="B45">
        <f t="shared" si="1"/>
        <v>0</v>
      </c>
      <c r="C45">
        <f t="shared" ca="1" si="2"/>
        <v>3</v>
      </c>
      <c r="D45">
        <f t="shared" ca="1" si="3"/>
        <v>1</v>
      </c>
      <c r="E45">
        <f t="shared" ca="1" si="4"/>
        <v>0</v>
      </c>
      <c r="F45">
        <f t="shared" ca="1" si="5"/>
        <v>0</v>
      </c>
      <c r="G45">
        <f t="shared" ca="1" si="6"/>
        <v>5</v>
      </c>
      <c r="H45">
        <f t="shared" ca="1" si="7"/>
        <v>0</v>
      </c>
      <c r="I45">
        <f t="shared" ca="1" si="8"/>
        <v>0</v>
      </c>
      <c r="J45" s="356" t="s">
        <v>103</v>
      </c>
      <c r="K45" s="138" t="str">
        <f t="shared" ca="1" si="9"/>
        <v>3.1.0.5.</v>
      </c>
      <c r="L45" s="357" t="s">
        <v>233</v>
      </c>
      <c r="M45" s="357" t="s">
        <v>257</v>
      </c>
      <c r="N45" s="358" t="s">
        <v>893</v>
      </c>
      <c r="O45" s="359" t="s">
        <v>892</v>
      </c>
      <c r="P45" s="360">
        <v>366.94</v>
      </c>
      <c r="Q45" s="195"/>
      <c r="R45" s="198" t="s">
        <v>7</v>
      </c>
      <c r="S45" s="103">
        <f t="shared" si="10"/>
        <v>0</v>
      </c>
      <c r="T45" s="83">
        <f t="shared" si="11"/>
        <v>0</v>
      </c>
      <c r="U45" s="9" t="str">
        <f t="shared" si="12"/>
        <v>SEM VALOR</v>
      </c>
      <c r="V45" s="1" t="str">
        <f ca="1">IF(OR($A45=0,$A45="S",$A45&gt;CFF!$A$9),"",MAX(V$12:OFFSET(V45,-1,0))+1)</f>
        <v/>
      </c>
      <c r="W45" s="4" t="str">
        <f t="shared" si="13"/>
        <v>SINAPI-104919</v>
      </c>
      <c r="X45" s="1">
        <f t="shared" ca="1" si="14"/>
        <v>2675</v>
      </c>
      <c r="Y45" s="103">
        <v>16.45</v>
      </c>
      <c r="Z45" s="113">
        <f ca="1">ROUND(IF(ISNUMBER(R45),R45,IF(LEFT(R45,3)="BDI",HLOOKUP(R45,DADOS!$T$37:$X$38,2,FALSE),0)),15-11*$X$5)</f>
        <v>0.25</v>
      </c>
      <c r="AA45" s="1"/>
    </row>
    <row r="46" spans="1:27" ht="26.4" x14ac:dyDescent="0.25">
      <c r="A46" t="str">
        <f>CHOOSE(1+LOG(1+2*(J46="Meta")+4*(J46="Nível 2")+8*(J46="Nível 3")+16*(J46="Nível 4")+32*(J46="Serviço"),2),0,1,2,3,4,"S")</f>
        <v>S</v>
      </c>
      <c r="B46">
        <f>IF(OR(A46="S",A46=0),0,IF(ISERROR(I46),H46,SMALL(H46:I46,1)))</f>
        <v>0</v>
      </c>
      <c r="C46">
        <f ca="1">IF($A46=1,OFFSET(C46,-1,0)+1,OFFSET(C46,-1,0))</f>
        <v>3</v>
      </c>
      <c r="D46">
        <f ca="1">IF($A46=1,0,IF($A46=2,OFFSET(D46,-1,0)+1,OFFSET(D46,-1,0)))</f>
        <v>1</v>
      </c>
      <c r="E46">
        <f ca="1">IF(AND($A46&lt;=2,$A46&lt;&gt;0),0,IF($A46=3,OFFSET(E46,-1,0)+1,OFFSET(E46,-1,0)))</f>
        <v>0</v>
      </c>
      <c r="F46">
        <f ca="1">IF(AND($A46&lt;=3,$A46&lt;&gt;0),0,IF($A46=4,OFFSET(F46,-1,0)+1,OFFSET(F46,-1,0)))</f>
        <v>0</v>
      </c>
      <c r="G46">
        <f ca="1">IF(AND($A46&lt;=4,$A46&lt;&gt;0),0,IF($A46="S",OFFSET(G46,-1,0)+1,OFFSET(G46,-1,0)))</f>
        <v>6</v>
      </c>
      <c r="H46">
        <f t="shared" ca="1" si="7"/>
        <v>0</v>
      </c>
      <c r="I46">
        <f t="shared" ca="1" si="8"/>
        <v>0</v>
      </c>
      <c r="J46" s="356" t="s">
        <v>103</v>
      </c>
      <c r="K46" s="138" t="str">
        <f ca="1">IF($A46=0,"-",CONCATENATE(C46&amp;".",IF(AND($A$5&gt;=2,$A46&gt;=2),D46&amp;".",""),IF(AND($A$5&gt;=3,$A46&gt;=3),E46&amp;".",""),IF(AND($A$5&gt;=4,$A46&gt;=4),F46&amp;".",""),IF($A46="S",G46&amp;".","")))</f>
        <v>3.1.0.6.</v>
      </c>
      <c r="L46" s="357" t="s">
        <v>233</v>
      </c>
      <c r="M46" s="357" t="s">
        <v>258</v>
      </c>
      <c r="N46" s="358" t="s">
        <v>894</v>
      </c>
      <c r="O46" s="359" t="s">
        <v>892</v>
      </c>
      <c r="P46" s="360">
        <v>225</v>
      </c>
      <c r="Q46" s="195"/>
      <c r="R46" s="198" t="s">
        <v>7</v>
      </c>
      <c r="S46" s="103">
        <f>IF($A46="S",IF($Q$10="Preço Unitário (R$)",PO.CustoUnitario,ROUND(PO.CustoUnitario*(1+$Z46),15-13*$X$6)),0)</f>
        <v>0</v>
      </c>
      <c r="T46" s="83">
        <f>IF($A46="S",VTOTAL1,IF($A46=0,0,ROUND(SomaAgrup,15-13*$X$7)))</f>
        <v>0</v>
      </c>
      <c r="U46" s="9" t="str">
        <f>IF($J46="","",IF($N46="","DESCRIÇÃO",IF(AND($J46="Serviço",$O46=""),"UNIDADE",IF($T46&lt;=0,"SEM VALOR",IF(AND($Y46&lt;&gt;"",$Q46&gt;$Y46),"ACIMA REF.","")))))</f>
        <v>SEM VALOR</v>
      </c>
      <c r="V46" s="1" t="str">
        <f ca="1">IF(OR($A46=0,$A46="S",$A46&gt;CFF!$A$9),"",MAX(V$12:OFFSET(V46,-1,0))+1)</f>
        <v/>
      </c>
      <c r="W46" s="4" t="str">
        <f>IF(AND($J46="Serviço",$M46&lt;&gt;""),IF($L46="",$M46,CONCATENATE($L46,"-",$M46)))</f>
        <v>SINAPI-104920</v>
      </c>
      <c r="X46" s="1">
        <f ca="1">IF(AND(Fonte&lt;&gt;"",Código&lt;&gt;""),MATCH(Fonte&amp;" "&amp;IF(Fonte="sinapi",SUBSTITUTE(SUBSTITUTE(Código,"/00","/"),"/0","/"),Código),INDIRECT("'[Referência "&amp;_xlnm.Database&amp;".xls]Banco'!$a:$a"),0),"X")</f>
        <v>2676</v>
      </c>
      <c r="Y46" s="103">
        <v>13.95</v>
      </c>
      <c r="Z46" s="113">
        <f ca="1">ROUND(IF(ISNUMBER(R46),R46,IF(LEFT(R46,3)="BDI",HLOOKUP(R46,DADOS!$T$37:$X$38,2,FALSE),0)),15-11*$X$5)</f>
        <v>0.25</v>
      </c>
      <c r="AA46" s="1"/>
    </row>
    <row r="47" spans="1:27" ht="26.4" x14ac:dyDescent="0.25">
      <c r="A47" t="str">
        <f t="shared" si="0"/>
        <v>S</v>
      </c>
      <c r="B47">
        <f t="shared" si="1"/>
        <v>0</v>
      </c>
      <c r="C47">
        <f t="shared" ca="1" si="2"/>
        <v>3</v>
      </c>
      <c r="D47">
        <f t="shared" ca="1" si="3"/>
        <v>1</v>
      </c>
      <c r="E47">
        <f t="shared" ca="1" si="4"/>
        <v>0</v>
      </c>
      <c r="F47">
        <f t="shared" ca="1" si="5"/>
        <v>0</v>
      </c>
      <c r="G47">
        <f t="shared" ca="1" si="6"/>
        <v>7</v>
      </c>
      <c r="H47">
        <f t="shared" ca="1" si="7"/>
        <v>0</v>
      </c>
      <c r="I47">
        <f t="shared" ca="1" si="8"/>
        <v>0</v>
      </c>
      <c r="J47" s="356" t="s">
        <v>103</v>
      </c>
      <c r="K47" s="138" t="str">
        <f t="shared" ca="1" si="9"/>
        <v>3.1.0.7.</v>
      </c>
      <c r="L47" s="357" t="s">
        <v>233</v>
      </c>
      <c r="M47" s="357" t="s">
        <v>643</v>
      </c>
      <c r="N47" s="358" t="s">
        <v>952</v>
      </c>
      <c r="O47" s="359" t="s">
        <v>892</v>
      </c>
      <c r="P47" s="360">
        <v>134.38</v>
      </c>
      <c r="Q47" s="195"/>
      <c r="R47" s="198" t="s">
        <v>7</v>
      </c>
      <c r="S47" s="103">
        <f t="shared" si="10"/>
        <v>0</v>
      </c>
      <c r="T47" s="83">
        <f t="shared" si="11"/>
        <v>0</v>
      </c>
      <c r="U47" s="9" t="str">
        <f t="shared" si="12"/>
        <v>SEM VALOR</v>
      </c>
      <c r="V47" s="1" t="str">
        <f ca="1">IF(OR($A47=0,$A47="S",$A47&gt;CFF!$A$9),"",MAX(V$12:OFFSET(V47,-1,0))+1)</f>
        <v/>
      </c>
      <c r="W47" s="4" t="str">
        <f t="shared" si="13"/>
        <v>SINAPI-92915</v>
      </c>
      <c r="X47" s="1">
        <f t="shared" ca="1" si="14"/>
        <v>2626</v>
      </c>
      <c r="Y47" s="103">
        <v>21.45</v>
      </c>
      <c r="Z47" s="113">
        <f ca="1">ROUND(IF(ISNUMBER(R47),R47,IF(LEFT(R47,3)="BDI",HLOOKUP(R47,DADOS!$T$37:$X$38,2,FALSE),0)),15-11*$X$5)</f>
        <v>0.25</v>
      </c>
      <c r="AA47" s="1"/>
    </row>
    <row r="48" spans="1:27" ht="26.4" x14ac:dyDescent="0.25">
      <c r="A48" t="str">
        <f t="shared" si="0"/>
        <v>S</v>
      </c>
      <c r="B48">
        <f t="shared" si="1"/>
        <v>0</v>
      </c>
      <c r="C48">
        <f t="shared" ca="1" si="2"/>
        <v>3</v>
      </c>
      <c r="D48">
        <f t="shared" ca="1" si="3"/>
        <v>1</v>
      </c>
      <c r="E48">
        <f t="shared" ca="1" si="4"/>
        <v>0</v>
      </c>
      <c r="F48">
        <f t="shared" ca="1" si="5"/>
        <v>0</v>
      </c>
      <c r="G48">
        <f t="shared" ca="1" si="6"/>
        <v>8</v>
      </c>
      <c r="H48">
        <f t="shared" ca="1" si="7"/>
        <v>0</v>
      </c>
      <c r="I48">
        <f t="shared" ca="1" si="8"/>
        <v>0</v>
      </c>
      <c r="J48" s="356" t="s">
        <v>103</v>
      </c>
      <c r="K48" s="138" t="str">
        <f t="shared" ca="1" si="9"/>
        <v>3.1.0.8.</v>
      </c>
      <c r="L48" s="357" t="s">
        <v>233</v>
      </c>
      <c r="M48" s="357" t="s">
        <v>259</v>
      </c>
      <c r="N48" s="358" t="s">
        <v>896</v>
      </c>
      <c r="O48" s="359" t="s">
        <v>660</v>
      </c>
      <c r="P48" s="360">
        <v>15.55</v>
      </c>
      <c r="Q48" s="195"/>
      <c r="R48" s="198" t="s">
        <v>7</v>
      </c>
      <c r="S48" s="103">
        <f t="shared" si="10"/>
        <v>0</v>
      </c>
      <c r="T48" s="83">
        <f t="shared" si="11"/>
        <v>0</v>
      </c>
      <c r="U48" s="9" t="str">
        <f t="shared" si="12"/>
        <v>SEM VALOR</v>
      </c>
      <c r="V48" s="1" t="str">
        <f ca="1">IF(OR($A48=0,$A48="S",$A48&gt;CFF!$A$9),"",MAX(V$12:OFFSET(V48,-1,0))+1)</f>
        <v/>
      </c>
      <c r="W48" s="4" t="str">
        <f t="shared" si="13"/>
        <v>SINAPI-96558</v>
      </c>
      <c r="X48" s="1">
        <f t="shared" ca="1" si="14"/>
        <v>2707</v>
      </c>
      <c r="Y48" s="103">
        <v>964.86</v>
      </c>
      <c r="Z48" s="113">
        <f ca="1">ROUND(IF(ISNUMBER(R48),R48,IF(LEFT(R48,3)="BDI",HLOOKUP(R48,DADOS!$T$37:$X$38,2,FALSE),0)),15-11*$X$5)</f>
        <v>0.25</v>
      </c>
      <c r="AA48" s="1"/>
    </row>
    <row r="49" spans="1:27" x14ac:dyDescent="0.25">
      <c r="A49">
        <f t="shared" si="0"/>
        <v>2</v>
      </c>
      <c r="B49">
        <f t="shared" ca="1" si="1"/>
        <v>9</v>
      </c>
      <c r="C49">
        <f t="shared" ca="1" si="2"/>
        <v>3</v>
      </c>
      <c r="D49">
        <f t="shared" ca="1" si="3"/>
        <v>2</v>
      </c>
      <c r="E49">
        <f t="shared" ca="1" si="4"/>
        <v>0</v>
      </c>
      <c r="F49">
        <f t="shared" ca="1" si="5"/>
        <v>0</v>
      </c>
      <c r="G49">
        <f t="shared" ca="1" si="6"/>
        <v>0</v>
      </c>
      <c r="H49">
        <f t="shared" ca="1" si="7"/>
        <v>30</v>
      </c>
      <c r="I49">
        <f t="shared" ca="1" si="8"/>
        <v>9</v>
      </c>
      <c r="J49" s="356" t="s">
        <v>100</v>
      </c>
      <c r="K49" s="138" t="str">
        <f t="shared" ca="1" si="9"/>
        <v>3.2.</v>
      </c>
      <c r="L49" s="357"/>
      <c r="M49" s="357"/>
      <c r="N49" s="358" t="s">
        <v>688</v>
      </c>
      <c r="O49" s="359" t="s">
        <v>106</v>
      </c>
      <c r="P49" s="360"/>
      <c r="Q49" s="195"/>
      <c r="R49" s="198" t="s">
        <v>7</v>
      </c>
      <c r="S49" s="103">
        <f t="shared" si="10"/>
        <v>0</v>
      </c>
      <c r="T49" s="83">
        <f t="shared" ca="1" si="11"/>
        <v>0</v>
      </c>
      <c r="U49" s="9" t="str">
        <f t="shared" ca="1" si="12"/>
        <v>SEM VALOR</v>
      </c>
      <c r="V49" s="1">
        <f ca="1">IF(OR($A49=0,$A49="S",$A49&gt;CFF!$A$9),"",MAX(V$12:OFFSET(V49,-1,0))+1)</f>
        <v>8</v>
      </c>
      <c r="W49" s="4" t="b">
        <f t="shared" si="13"/>
        <v>0</v>
      </c>
      <c r="X49" s="1" t="str">
        <f t="shared" ca="1" si="14"/>
        <v>X</v>
      </c>
      <c r="Y49" s="103">
        <v>0</v>
      </c>
      <c r="Z49" s="113">
        <f ca="1">ROUND(IF(ISNUMBER(R49),R49,IF(LEFT(R49,3)="BDI",HLOOKUP(R49,DADOS!$T$37:$X$38,2,FALSE),0)),15-11*$X$5)</f>
        <v>0.25</v>
      </c>
      <c r="AA49" s="1"/>
    </row>
    <row r="50" spans="1:27" ht="26.4" x14ac:dyDescent="0.25">
      <c r="A50" t="str">
        <f t="shared" si="0"/>
        <v>S</v>
      </c>
      <c r="B50">
        <f t="shared" si="1"/>
        <v>0</v>
      </c>
      <c r="C50">
        <f t="shared" ca="1" si="2"/>
        <v>3</v>
      </c>
      <c r="D50">
        <f t="shared" ca="1" si="3"/>
        <v>2</v>
      </c>
      <c r="E50">
        <f t="shared" ca="1" si="4"/>
        <v>0</v>
      </c>
      <c r="F50">
        <f t="shared" ca="1" si="5"/>
        <v>0</v>
      </c>
      <c r="G50">
        <f t="shared" ca="1" si="6"/>
        <v>1</v>
      </c>
      <c r="H50">
        <f t="shared" ca="1" si="7"/>
        <v>0</v>
      </c>
      <c r="I50">
        <f t="shared" ca="1" si="8"/>
        <v>0</v>
      </c>
      <c r="J50" s="356" t="s">
        <v>103</v>
      </c>
      <c r="K50" s="138" t="str">
        <f t="shared" ca="1" si="9"/>
        <v>3.2.0.1.</v>
      </c>
      <c r="L50" s="357" t="s">
        <v>233</v>
      </c>
      <c r="M50" s="357" t="s">
        <v>254</v>
      </c>
      <c r="N50" s="358" t="s">
        <v>888</v>
      </c>
      <c r="O50" s="359" t="s">
        <v>635</v>
      </c>
      <c r="P50" s="360">
        <v>60.44</v>
      </c>
      <c r="Q50" s="195"/>
      <c r="R50" s="198" t="s">
        <v>7</v>
      </c>
      <c r="S50" s="103">
        <f t="shared" si="10"/>
        <v>0</v>
      </c>
      <c r="T50" s="83">
        <f t="shared" si="11"/>
        <v>0</v>
      </c>
      <c r="U50" s="9" t="str">
        <f t="shared" si="12"/>
        <v>SEM VALOR</v>
      </c>
      <c r="V50" s="1" t="str">
        <f ca="1">IF(OR($A50=0,$A50="S",$A50&gt;CFF!$A$9),"",MAX(V$12:OFFSET(V50,-1,0))+1)</f>
        <v/>
      </c>
      <c r="W50" s="4" t="str">
        <f t="shared" si="13"/>
        <v>SINAPI-96619</v>
      </c>
      <c r="X50" s="1">
        <f t="shared" ca="1" si="14"/>
        <v>2324</v>
      </c>
      <c r="Y50" s="103">
        <v>51.01</v>
      </c>
      <c r="Z50" s="113">
        <f ca="1">ROUND(IF(ISNUMBER(R50),R50,IF(LEFT(R50,3)="BDI",HLOOKUP(R50,DADOS!$T$37:$X$38,2,FALSE),0)),15-11*$X$5)</f>
        <v>0.25</v>
      </c>
      <c r="AA50" s="1"/>
    </row>
    <row r="51" spans="1:27" x14ac:dyDescent="0.25">
      <c r="A51" t="str">
        <f>CHOOSE(1+LOG(1+2*(J51="Meta")+4*(J51="Nível 2")+8*(J51="Nível 3")+16*(J51="Nível 4")+32*(J51="Serviço"),2),0,1,2,3,4,"S")</f>
        <v>S</v>
      </c>
      <c r="B51">
        <f>IF(OR(A51="S",A51=0),0,IF(ISERROR(I51),H51,SMALL(H51:I51,1)))</f>
        <v>0</v>
      </c>
      <c r="C51">
        <f ca="1">IF($A51=1,OFFSET(C51,-1,0)+1,OFFSET(C51,-1,0))</f>
        <v>3</v>
      </c>
      <c r="D51">
        <f ca="1">IF($A51=1,0,IF($A51=2,OFFSET(D51,-1,0)+1,OFFSET(D51,-1,0)))</f>
        <v>2</v>
      </c>
      <c r="E51">
        <f ca="1">IF(AND($A51&lt;=2,$A51&lt;&gt;0),0,IF($A51=3,OFFSET(E51,-1,0)+1,OFFSET(E51,-1,0)))</f>
        <v>0</v>
      </c>
      <c r="F51">
        <f ca="1">IF(AND($A51&lt;=3,$A51&lt;&gt;0),0,IF($A51=4,OFFSET(F51,-1,0)+1,OFFSET(F51,-1,0)))</f>
        <v>0</v>
      </c>
      <c r="G51">
        <f ca="1">IF(AND($A51&lt;=4,$A51&lt;&gt;0),0,IF($A51="S",OFFSET(G51,-1,0)+1,OFFSET(G51,-1,0)))</f>
        <v>2</v>
      </c>
      <c r="H51">
        <f t="shared" ca="1" si="7"/>
        <v>0</v>
      </c>
      <c r="I51">
        <f t="shared" ca="1" si="8"/>
        <v>0</v>
      </c>
      <c r="J51" s="356" t="s">
        <v>103</v>
      </c>
      <c r="K51" s="138" t="str">
        <f ca="1">IF($A51=0,"-",CONCATENATE(C51&amp;".",IF(AND($A$5&gt;=2,$A51&gt;=2),D51&amp;".",""),IF(AND($A$5&gt;=3,$A51&gt;=3),E51&amp;".",""),IF(AND($A$5&gt;=4,$A51&gt;=4),F51&amp;".",""),IF($A51="S",G51&amp;".","")))</f>
        <v>3.2.0.2.</v>
      </c>
      <c r="L51" s="357" t="s">
        <v>233</v>
      </c>
      <c r="M51" s="357" t="s">
        <v>674</v>
      </c>
      <c r="N51" s="358" t="s">
        <v>953</v>
      </c>
      <c r="O51" s="359" t="s">
        <v>660</v>
      </c>
      <c r="P51" s="360">
        <v>3.89</v>
      </c>
      <c r="Q51" s="195"/>
      <c r="R51" s="198" t="s">
        <v>7</v>
      </c>
      <c r="S51" s="103">
        <f>IF($A51="S",IF($Q$10="Preço Unitário (R$)",PO.CustoUnitario,ROUND(PO.CustoUnitario*(1+$Z51),15-13*$X$6)),0)</f>
        <v>0</v>
      </c>
      <c r="T51" s="83">
        <f>IF($A51="S",VTOTAL1,IF($A51=0,0,ROUND(SomaAgrup,15-13*$X$7)))</f>
        <v>0</v>
      </c>
      <c r="U51" s="9" t="str">
        <f>IF($J51="","",IF($N51="","DESCRIÇÃO",IF(AND($J51="Serviço",$O51=""),"UNIDADE",IF($T51&lt;=0,"SEM VALOR",IF(AND($Y51&lt;&gt;"",$Q51&gt;$Y51),"ACIMA REF.","")))))</f>
        <v>SEM VALOR</v>
      </c>
      <c r="V51" s="1" t="str">
        <f ca="1">IF(OR($A51=0,$A51="S",$A51&gt;CFF!$A$9),"",MAX(V$12:OFFSET(V51,-1,0))+1)</f>
        <v/>
      </c>
      <c r="W51" s="4" t="str">
        <f>IF(AND($J51="Serviço",$M51&lt;&gt;""),IF($L51="",$M51,CONCATENATE($L51,"-",$M51)))</f>
        <v>SINAPI-96616</v>
      </c>
      <c r="X51" s="1">
        <f ca="1">IF(AND(Fonte&lt;&gt;"",Código&lt;&gt;""),MATCH(Fonte&amp;" "&amp;IF(Fonte="sinapi",SUBSTITUTE(SUBSTITUTE(Código,"/00","/"),"/0","/"),Código),INDIRECT("'[Referência "&amp;_xlnm.Database&amp;".xls]Banco'!$a:$a"),0),"X")</f>
        <v>2322</v>
      </c>
      <c r="Y51" s="103">
        <v>1020.71</v>
      </c>
      <c r="Z51" s="113">
        <f ca="1">ROUND(IF(ISNUMBER(R51),R51,IF(LEFT(R51,3)="BDI",HLOOKUP(R51,DADOS!$T$37:$X$38,2,FALSE),0)),15-11*$X$5)</f>
        <v>0.25</v>
      </c>
      <c r="AA51" s="1"/>
    </row>
    <row r="52" spans="1:27" ht="26.4" x14ac:dyDescent="0.25">
      <c r="A52" t="str">
        <f t="shared" si="0"/>
        <v>S</v>
      </c>
      <c r="B52">
        <f t="shared" si="1"/>
        <v>0</v>
      </c>
      <c r="C52">
        <f t="shared" ca="1" si="2"/>
        <v>3</v>
      </c>
      <c r="D52">
        <f t="shared" ca="1" si="3"/>
        <v>2</v>
      </c>
      <c r="E52">
        <f t="shared" ca="1" si="4"/>
        <v>0</v>
      </c>
      <c r="F52">
        <f t="shared" ca="1" si="5"/>
        <v>0</v>
      </c>
      <c r="G52">
        <f t="shared" ca="1" si="6"/>
        <v>3</v>
      </c>
      <c r="H52">
        <f t="shared" ca="1" si="7"/>
        <v>0</v>
      </c>
      <c r="I52">
        <f t="shared" ca="1" si="8"/>
        <v>0</v>
      </c>
      <c r="J52" s="356" t="s">
        <v>103</v>
      </c>
      <c r="K52" s="138" t="str">
        <f t="shared" ca="1" si="9"/>
        <v>3.2.0.3.</v>
      </c>
      <c r="L52" s="357" t="s">
        <v>233</v>
      </c>
      <c r="M52" s="357" t="s">
        <v>642</v>
      </c>
      <c r="N52" s="358" t="s">
        <v>951</v>
      </c>
      <c r="O52" s="359" t="s">
        <v>635</v>
      </c>
      <c r="P52" s="360">
        <v>349.55</v>
      </c>
      <c r="Q52" s="195"/>
      <c r="R52" s="198" t="s">
        <v>7</v>
      </c>
      <c r="S52" s="103">
        <f t="shared" si="10"/>
        <v>0</v>
      </c>
      <c r="T52" s="83">
        <f t="shared" si="11"/>
        <v>0</v>
      </c>
      <c r="U52" s="9" t="str">
        <f t="shared" si="12"/>
        <v>SEM VALOR</v>
      </c>
      <c r="V52" s="1" t="str">
        <f ca="1">IF(OR($A52=0,$A52="S",$A52&gt;CFF!$A$9),"",MAX(V$12:OFFSET(V52,-1,0))+1)</f>
        <v/>
      </c>
      <c r="W52" s="4" t="str">
        <f t="shared" si="13"/>
        <v>SINAPI-96534</v>
      </c>
      <c r="X52" s="1">
        <f t="shared" ca="1" si="14"/>
        <v>2459</v>
      </c>
      <c r="Y52" s="103">
        <v>92.95</v>
      </c>
      <c r="Z52" s="113">
        <f ca="1">ROUND(IF(ISNUMBER(R52),R52,IF(LEFT(R52,3)="BDI",HLOOKUP(R52,DADOS!$T$37:$X$38,2,FALSE),0)),15-11*$X$5)</f>
        <v>0.25</v>
      </c>
      <c r="AA52" s="1"/>
    </row>
    <row r="53" spans="1:27" ht="26.4" x14ac:dyDescent="0.25">
      <c r="A53" t="str">
        <f t="shared" si="0"/>
        <v>S</v>
      </c>
      <c r="B53">
        <f t="shared" si="1"/>
        <v>0</v>
      </c>
      <c r="C53">
        <f t="shared" ca="1" si="2"/>
        <v>3</v>
      </c>
      <c r="D53">
        <f t="shared" ca="1" si="3"/>
        <v>2</v>
      </c>
      <c r="E53">
        <f t="shared" ca="1" si="4"/>
        <v>0</v>
      </c>
      <c r="F53">
        <f t="shared" ca="1" si="5"/>
        <v>0</v>
      </c>
      <c r="G53">
        <f t="shared" ca="1" si="6"/>
        <v>4</v>
      </c>
      <c r="H53">
        <f t="shared" ca="1" si="7"/>
        <v>0</v>
      </c>
      <c r="I53">
        <f t="shared" ca="1" si="8"/>
        <v>0</v>
      </c>
      <c r="J53" s="356" t="s">
        <v>103</v>
      </c>
      <c r="K53" s="138" t="str">
        <f t="shared" ca="1" si="9"/>
        <v>3.2.0.4.</v>
      </c>
      <c r="L53" s="357" t="s">
        <v>233</v>
      </c>
      <c r="M53" s="357" t="s">
        <v>256</v>
      </c>
      <c r="N53" s="358" t="s">
        <v>891</v>
      </c>
      <c r="O53" s="359" t="s">
        <v>892</v>
      </c>
      <c r="P53" s="360">
        <v>660.1</v>
      </c>
      <c r="Q53" s="195"/>
      <c r="R53" s="198" t="s">
        <v>7</v>
      </c>
      <c r="S53" s="103">
        <f t="shared" si="10"/>
        <v>0</v>
      </c>
      <c r="T53" s="83">
        <f t="shared" si="11"/>
        <v>0</v>
      </c>
      <c r="U53" s="9" t="str">
        <f t="shared" si="12"/>
        <v>SEM VALOR</v>
      </c>
      <c r="V53" s="1" t="str">
        <f ca="1">IF(OR($A53=0,$A53="S",$A53&gt;CFF!$A$9),"",MAX(V$12:OFFSET(V53,-1,0))+1)</f>
        <v/>
      </c>
      <c r="W53" s="4" t="str">
        <f t="shared" si="13"/>
        <v>SINAPI-104918</v>
      </c>
      <c r="X53" s="1">
        <f t="shared" ca="1" si="14"/>
        <v>2674</v>
      </c>
      <c r="Y53" s="103">
        <v>18.45</v>
      </c>
      <c r="Z53" s="113">
        <f ca="1">ROUND(IF(ISNUMBER(R53),R53,IF(LEFT(R53,3)="BDI",HLOOKUP(R53,DADOS!$T$37:$X$38,2,FALSE),0)),15-11*$X$5)</f>
        <v>0.25</v>
      </c>
      <c r="AA53" s="1"/>
    </row>
    <row r="54" spans="1:27" ht="26.4" x14ac:dyDescent="0.25">
      <c r="A54" t="str">
        <f t="shared" si="0"/>
        <v>S</v>
      </c>
      <c r="B54">
        <f t="shared" si="1"/>
        <v>0</v>
      </c>
      <c r="C54">
        <f t="shared" ca="1" si="2"/>
        <v>3</v>
      </c>
      <c r="D54">
        <f t="shared" ca="1" si="3"/>
        <v>2</v>
      </c>
      <c r="E54">
        <f t="shared" ca="1" si="4"/>
        <v>0</v>
      </c>
      <c r="F54">
        <f t="shared" ca="1" si="5"/>
        <v>0</v>
      </c>
      <c r="G54">
        <f t="shared" ca="1" si="6"/>
        <v>5</v>
      </c>
      <c r="H54">
        <f t="shared" ca="1" si="7"/>
        <v>0</v>
      </c>
      <c r="I54">
        <f t="shared" ca="1" si="8"/>
        <v>0</v>
      </c>
      <c r="J54" s="356" t="s">
        <v>103</v>
      </c>
      <c r="K54" s="138" t="str">
        <f t="shared" ca="1" si="9"/>
        <v>3.2.0.5.</v>
      </c>
      <c r="L54" s="357" t="s">
        <v>233</v>
      </c>
      <c r="M54" s="357" t="s">
        <v>257</v>
      </c>
      <c r="N54" s="358" t="s">
        <v>893</v>
      </c>
      <c r="O54" s="359" t="s">
        <v>892</v>
      </c>
      <c r="P54" s="360">
        <v>113.6</v>
      </c>
      <c r="Q54" s="195"/>
      <c r="R54" s="198" t="s">
        <v>7</v>
      </c>
      <c r="S54" s="103">
        <f t="shared" si="10"/>
        <v>0</v>
      </c>
      <c r="T54" s="83">
        <f t="shared" si="11"/>
        <v>0</v>
      </c>
      <c r="U54" s="9" t="str">
        <f t="shared" si="12"/>
        <v>SEM VALOR</v>
      </c>
      <c r="V54" s="1" t="str">
        <f ca="1">IF(OR($A54=0,$A54="S",$A54&gt;CFF!$A$9),"",MAX(V$12:OFFSET(V54,-1,0))+1)</f>
        <v/>
      </c>
      <c r="W54" s="4" t="str">
        <f t="shared" si="13"/>
        <v>SINAPI-104919</v>
      </c>
      <c r="X54" s="1">
        <f t="shared" ca="1" si="14"/>
        <v>2675</v>
      </c>
      <c r="Y54" s="103">
        <v>16.45</v>
      </c>
      <c r="Z54" s="113">
        <f ca="1">ROUND(IF(ISNUMBER(R54),R54,IF(LEFT(R54,3)="BDI",HLOOKUP(R54,DADOS!$T$37:$X$38,2,FALSE),0)),15-11*$X$5)</f>
        <v>0.25</v>
      </c>
      <c r="AA54" s="1"/>
    </row>
    <row r="55" spans="1:27" ht="26.4" x14ac:dyDescent="0.25">
      <c r="A55" t="str">
        <f t="shared" si="0"/>
        <v>S</v>
      </c>
      <c r="B55">
        <f t="shared" si="1"/>
        <v>0</v>
      </c>
      <c r="C55">
        <f t="shared" ca="1" si="2"/>
        <v>3</v>
      </c>
      <c r="D55">
        <f t="shared" ca="1" si="3"/>
        <v>2</v>
      </c>
      <c r="E55">
        <f t="shared" ca="1" si="4"/>
        <v>0</v>
      </c>
      <c r="F55">
        <f t="shared" ca="1" si="5"/>
        <v>0</v>
      </c>
      <c r="G55">
        <f t="shared" ca="1" si="6"/>
        <v>6</v>
      </c>
      <c r="H55">
        <f t="shared" ca="1" si="7"/>
        <v>0</v>
      </c>
      <c r="I55">
        <f t="shared" ca="1" si="8"/>
        <v>0</v>
      </c>
      <c r="J55" s="356" t="s">
        <v>103</v>
      </c>
      <c r="K55" s="138" t="str">
        <f t="shared" ca="1" si="9"/>
        <v>3.2.0.6.</v>
      </c>
      <c r="L55" s="357" t="s">
        <v>233</v>
      </c>
      <c r="M55" s="357" t="s">
        <v>258</v>
      </c>
      <c r="N55" s="358" t="s">
        <v>894</v>
      </c>
      <c r="O55" s="359" t="s">
        <v>892</v>
      </c>
      <c r="P55" s="360">
        <v>26.41</v>
      </c>
      <c r="Q55" s="195"/>
      <c r="R55" s="198" t="s">
        <v>7</v>
      </c>
      <c r="S55" s="103">
        <f t="shared" si="10"/>
        <v>0</v>
      </c>
      <c r="T55" s="83">
        <f t="shared" si="11"/>
        <v>0</v>
      </c>
      <c r="U55" s="9" t="str">
        <f t="shared" si="12"/>
        <v>SEM VALOR</v>
      </c>
      <c r="V55" s="1" t="str">
        <f ca="1">IF(OR($A55=0,$A55="S",$A55&gt;CFF!$A$9),"",MAX(V$12:OFFSET(V55,-1,0))+1)</f>
        <v/>
      </c>
      <c r="W55" s="4" t="str">
        <f t="shared" si="13"/>
        <v>SINAPI-104920</v>
      </c>
      <c r="X55" s="1">
        <f t="shared" ca="1" si="14"/>
        <v>2676</v>
      </c>
      <c r="Y55" s="103">
        <v>13.95</v>
      </c>
      <c r="Z55" s="113">
        <f ca="1">ROUND(IF(ISNUMBER(R55),R55,IF(LEFT(R55,3)="BDI",HLOOKUP(R55,DADOS!$T$37:$X$38,2,FALSE),0)),15-11*$X$5)</f>
        <v>0.25</v>
      </c>
      <c r="AA55" s="1"/>
    </row>
    <row r="56" spans="1:27" x14ac:dyDescent="0.25">
      <c r="A56" t="str">
        <f t="shared" si="0"/>
        <v>S</v>
      </c>
      <c r="B56">
        <f t="shared" si="1"/>
        <v>0</v>
      </c>
      <c r="C56">
        <f t="shared" ca="1" si="2"/>
        <v>3</v>
      </c>
      <c r="D56">
        <f t="shared" ca="1" si="3"/>
        <v>2</v>
      </c>
      <c r="E56">
        <f t="shared" ca="1" si="4"/>
        <v>0</v>
      </c>
      <c r="F56">
        <f t="shared" ca="1" si="5"/>
        <v>0</v>
      </c>
      <c r="G56">
        <f t="shared" ca="1" si="6"/>
        <v>7</v>
      </c>
      <c r="H56">
        <f t="shared" ca="1" si="7"/>
        <v>0</v>
      </c>
      <c r="I56">
        <f t="shared" ca="1" si="8"/>
        <v>0</v>
      </c>
      <c r="J56" s="356" t="s">
        <v>103</v>
      </c>
      <c r="K56" s="138" t="str">
        <f t="shared" ca="1" si="9"/>
        <v>3.2.0.7.</v>
      </c>
      <c r="L56" s="357" t="s">
        <v>233</v>
      </c>
      <c r="M56" s="357" t="s">
        <v>644</v>
      </c>
      <c r="N56" s="358" t="s">
        <v>954</v>
      </c>
      <c r="O56" s="359" t="s">
        <v>892</v>
      </c>
      <c r="P56" s="360">
        <v>356.91</v>
      </c>
      <c r="Q56" s="195"/>
      <c r="R56" s="198" t="s">
        <v>7</v>
      </c>
      <c r="S56" s="103">
        <f t="shared" si="10"/>
        <v>0</v>
      </c>
      <c r="T56" s="83">
        <f t="shared" si="11"/>
        <v>0</v>
      </c>
      <c r="U56" s="9" t="str">
        <f t="shared" si="12"/>
        <v>SEM VALOR</v>
      </c>
      <c r="V56" s="1" t="str">
        <f ca="1">IF(OR($A56=0,$A56="S",$A56&gt;CFF!$A$9),"",MAX(V$12:OFFSET(V56,-1,0))+1)</f>
        <v/>
      </c>
      <c r="W56" s="4" t="str">
        <f t="shared" si="13"/>
        <v>SINAPI-96543</v>
      </c>
      <c r="X56" s="1">
        <f t="shared" ca="1" si="14"/>
        <v>2468</v>
      </c>
      <c r="Y56" s="103">
        <v>25.45</v>
      </c>
      <c r="Z56" s="113">
        <f ca="1">ROUND(IF(ISNUMBER(R56),R56,IF(LEFT(R56,3)="BDI",HLOOKUP(R56,DADOS!$T$37:$X$38,2,FALSE),0)),15-11*$X$5)</f>
        <v>0.25</v>
      </c>
      <c r="AA56" s="1"/>
    </row>
    <row r="57" spans="1:27" ht="26.4" x14ac:dyDescent="0.25">
      <c r="A57" t="str">
        <f t="shared" si="0"/>
        <v>S</v>
      </c>
      <c r="B57">
        <f t="shared" si="1"/>
        <v>0</v>
      </c>
      <c r="C57">
        <f t="shared" ca="1" si="2"/>
        <v>3</v>
      </c>
      <c r="D57">
        <f t="shared" ca="1" si="3"/>
        <v>2</v>
      </c>
      <c r="E57">
        <f t="shared" ca="1" si="4"/>
        <v>0</v>
      </c>
      <c r="F57">
        <f t="shared" ca="1" si="5"/>
        <v>0</v>
      </c>
      <c r="G57">
        <f t="shared" ca="1" si="6"/>
        <v>8</v>
      </c>
      <c r="H57">
        <f t="shared" ca="1" si="7"/>
        <v>0</v>
      </c>
      <c r="I57">
        <f t="shared" ca="1" si="8"/>
        <v>0</v>
      </c>
      <c r="J57" s="356" t="s">
        <v>103</v>
      </c>
      <c r="K57" s="138" t="str">
        <f t="shared" ca="1" si="9"/>
        <v>3.2.0.8.</v>
      </c>
      <c r="L57" s="357" t="s">
        <v>233</v>
      </c>
      <c r="M57" s="357" t="s">
        <v>260</v>
      </c>
      <c r="N57" s="358" t="s">
        <v>955</v>
      </c>
      <c r="O57" s="359" t="s">
        <v>660</v>
      </c>
      <c r="P57" s="360">
        <v>24.18</v>
      </c>
      <c r="Q57" s="195"/>
      <c r="R57" s="198" t="s">
        <v>7</v>
      </c>
      <c r="S57" s="103">
        <f t="shared" si="10"/>
        <v>0</v>
      </c>
      <c r="T57" s="83">
        <f t="shared" si="11"/>
        <v>0</v>
      </c>
      <c r="U57" s="9" t="str">
        <f t="shared" si="12"/>
        <v>SEM VALOR</v>
      </c>
      <c r="V57" s="1" t="str">
        <f ca="1">IF(OR($A57=0,$A57="S",$A57&gt;CFF!$A$9),"",MAX(V$12:OFFSET(V57,-1,0))+1)</f>
        <v/>
      </c>
      <c r="W57" s="4" t="str">
        <f t="shared" si="13"/>
        <v>SINAPI-96557</v>
      </c>
      <c r="X57" s="1">
        <f t="shared" ca="1" si="14"/>
        <v>2706</v>
      </c>
      <c r="Y57" s="103">
        <v>923.03</v>
      </c>
      <c r="Z57" s="113">
        <f ca="1">ROUND(IF(ISNUMBER(R57),R57,IF(LEFT(R57,3)="BDI",HLOOKUP(R57,DADOS!$T$37:$X$38,2,FALSE),0)),15-11*$X$5)</f>
        <v>0.25</v>
      </c>
      <c r="AA57" s="1"/>
    </row>
    <row r="58" spans="1:27" x14ac:dyDescent="0.25">
      <c r="A58">
        <f t="shared" si="0"/>
        <v>2</v>
      </c>
      <c r="B58">
        <f t="shared" ca="1" si="1"/>
        <v>10</v>
      </c>
      <c r="C58">
        <f t="shared" ca="1" si="2"/>
        <v>3</v>
      </c>
      <c r="D58">
        <f t="shared" ca="1" si="3"/>
        <v>3</v>
      </c>
      <c r="E58">
        <f t="shared" ca="1" si="4"/>
        <v>0</v>
      </c>
      <c r="F58">
        <f t="shared" ca="1" si="5"/>
        <v>0</v>
      </c>
      <c r="G58">
        <f t="shared" ca="1" si="6"/>
        <v>0</v>
      </c>
      <c r="H58">
        <f t="shared" ca="1" si="7"/>
        <v>21</v>
      </c>
      <c r="I58">
        <f t="shared" ca="1" si="8"/>
        <v>10</v>
      </c>
      <c r="J58" s="356" t="s">
        <v>100</v>
      </c>
      <c r="K58" s="138" t="str">
        <f t="shared" ca="1" si="9"/>
        <v>3.3.</v>
      </c>
      <c r="L58" s="357"/>
      <c r="M58" s="357"/>
      <c r="N58" s="358" t="s">
        <v>645</v>
      </c>
      <c r="O58" s="359" t="s">
        <v>106</v>
      </c>
      <c r="P58" s="360"/>
      <c r="Q58" s="195"/>
      <c r="R58" s="198" t="s">
        <v>7</v>
      </c>
      <c r="S58" s="103">
        <f t="shared" si="10"/>
        <v>0</v>
      </c>
      <c r="T58" s="83">
        <f t="shared" ca="1" si="11"/>
        <v>0</v>
      </c>
      <c r="U58" s="9" t="str">
        <f t="shared" ca="1" si="12"/>
        <v>SEM VALOR</v>
      </c>
      <c r="V58" s="1">
        <f ca="1">IF(OR($A58=0,$A58="S",$A58&gt;CFF!$A$9),"",MAX(V$12:OFFSET(V58,-1,0))+1)</f>
        <v>9</v>
      </c>
      <c r="W58" s="4" t="b">
        <f t="shared" si="13"/>
        <v>0</v>
      </c>
      <c r="X58" s="1" t="str">
        <f t="shared" ca="1" si="14"/>
        <v>X</v>
      </c>
      <c r="Y58" s="103">
        <v>0</v>
      </c>
      <c r="Z58" s="113">
        <f ca="1">ROUND(IF(ISNUMBER(R58),R58,IF(LEFT(R58,3)="BDI",HLOOKUP(R58,DADOS!$T$37:$X$38,2,FALSE),0)),15-11*$X$5)</f>
        <v>0.25</v>
      </c>
      <c r="AA58" s="1"/>
    </row>
    <row r="59" spans="1:27" ht="26.4" x14ac:dyDescent="0.25">
      <c r="A59" t="str">
        <f t="shared" si="0"/>
        <v>S</v>
      </c>
      <c r="B59">
        <f t="shared" si="1"/>
        <v>0</v>
      </c>
      <c r="C59">
        <f t="shared" ca="1" si="2"/>
        <v>3</v>
      </c>
      <c r="D59">
        <f t="shared" ca="1" si="3"/>
        <v>3</v>
      </c>
      <c r="E59">
        <f t="shared" ca="1" si="4"/>
        <v>0</v>
      </c>
      <c r="F59">
        <f t="shared" ca="1" si="5"/>
        <v>0</v>
      </c>
      <c r="G59">
        <f t="shared" ca="1" si="6"/>
        <v>1</v>
      </c>
      <c r="H59">
        <f t="shared" ca="1" si="7"/>
        <v>0</v>
      </c>
      <c r="I59">
        <f t="shared" ca="1" si="8"/>
        <v>0</v>
      </c>
      <c r="J59" s="356" t="s">
        <v>103</v>
      </c>
      <c r="K59" s="138" t="str">
        <f t="shared" ca="1" si="9"/>
        <v>3.3.0.1.</v>
      </c>
      <c r="L59" s="357" t="s">
        <v>233</v>
      </c>
      <c r="M59" s="357" t="s">
        <v>675</v>
      </c>
      <c r="N59" s="358" t="s">
        <v>956</v>
      </c>
      <c r="O59" s="359" t="s">
        <v>590</v>
      </c>
      <c r="P59" s="360">
        <v>35</v>
      </c>
      <c r="Q59" s="195"/>
      <c r="R59" s="198" t="s">
        <v>7</v>
      </c>
      <c r="S59" s="103">
        <f t="shared" si="10"/>
        <v>0</v>
      </c>
      <c r="T59" s="83">
        <f t="shared" si="11"/>
        <v>0</v>
      </c>
      <c r="U59" s="9" t="str">
        <f t="shared" si="12"/>
        <v>SEM VALOR</v>
      </c>
      <c r="V59" s="1" t="str">
        <f ca="1">IF(OR($A59=0,$A59="S",$A59&gt;CFF!$A$9),"",MAX(V$12:OFFSET(V59,-1,0))+1)</f>
        <v/>
      </c>
      <c r="W59" s="4" t="str">
        <f t="shared" si="13"/>
        <v>SINAPI-100896</v>
      </c>
      <c r="X59" s="1">
        <f t="shared" ca="1" si="14"/>
        <v>2308</v>
      </c>
      <c r="Y59" s="103">
        <v>81.16</v>
      </c>
      <c r="Z59" s="113">
        <f ca="1">ROUND(IF(ISNUMBER(R59),R59,IF(LEFT(R59,3)="BDI",HLOOKUP(R59,DADOS!$T$37:$X$38,2,FALSE),0)),15-11*$X$5)</f>
        <v>0.25</v>
      </c>
      <c r="AA59" s="1"/>
    </row>
    <row r="60" spans="1:27" x14ac:dyDescent="0.25">
      <c r="A60" t="str">
        <f t="shared" si="0"/>
        <v>S</v>
      </c>
      <c r="B60">
        <f t="shared" si="1"/>
        <v>0</v>
      </c>
      <c r="C60">
        <f t="shared" ca="1" si="2"/>
        <v>3</v>
      </c>
      <c r="D60">
        <f t="shared" ca="1" si="3"/>
        <v>3</v>
      </c>
      <c r="E60">
        <f t="shared" ca="1" si="4"/>
        <v>0</v>
      </c>
      <c r="F60">
        <f t="shared" ca="1" si="5"/>
        <v>0</v>
      </c>
      <c r="G60">
        <f t="shared" ca="1" si="6"/>
        <v>2</v>
      </c>
      <c r="H60">
        <f t="shared" ca="1" si="7"/>
        <v>0</v>
      </c>
      <c r="I60">
        <f t="shared" ca="1" si="8"/>
        <v>0</v>
      </c>
      <c r="J60" s="356" t="s">
        <v>103</v>
      </c>
      <c r="K60" s="138" t="str">
        <f t="shared" ca="1" si="9"/>
        <v>3.3.0.2.</v>
      </c>
      <c r="L60" s="357" t="s">
        <v>233</v>
      </c>
      <c r="M60" s="357" t="s">
        <v>676</v>
      </c>
      <c r="N60" s="358" t="s">
        <v>957</v>
      </c>
      <c r="O60" s="359" t="s">
        <v>470</v>
      </c>
      <c r="P60" s="360">
        <v>5</v>
      </c>
      <c r="Q60" s="195"/>
      <c r="R60" s="198" t="s">
        <v>7</v>
      </c>
      <c r="S60" s="103">
        <f t="shared" si="10"/>
        <v>0</v>
      </c>
      <c r="T60" s="83">
        <f t="shared" si="11"/>
        <v>0</v>
      </c>
      <c r="U60" s="9" t="str">
        <f t="shared" si="12"/>
        <v>SEM VALOR</v>
      </c>
      <c r="V60" s="1" t="str">
        <f ca="1">IF(OR($A60=0,$A60="S",$A60&gt;CFF!$A$9),"",MAX(V$12:OFFSET(V60,-1,0))+1)</f>
        <v/>
      </c>
      <c r="W60" s="4" t="str">
        <f t="shared" si="13"/>
        <v>SINAPI-95601</v>
      </c>
      <c r="X60" s="1">
        <f t="shared" ca="1" si="14"/>
        <v>2287</v>
      </c>
      <c r="Y60" s="103">
        <v>26.59</v>
      </c>
      <c r="Z60" s="113">
        <f ca="1">ROUND(IF(ISNUMBER(R60),R60,IF(LEFT(R60,3)="BDI",HLOOKUP(R60,DADOS!$T$37:$X$38,2,FALSE),0)),15-11*$X$5)</f>
        <v>0.25</v>
      </c>
      <c r="AA60" s="1"/>
    </row>
    <row r="61" spans="1:27" ht="26.4" x14ac:dyDescent="0.25">
      <c r="A61" t="str">
        <f t="shared" si="0"/>
        <v>S</v>
      </c>
      <c r="B61">
        <f t="shared" si="1"/>
        <v>0</v>
      </c>
      <c r="C61">
        <f t="shared" ca="1" si="2"/>
        <v>3</v>
      </c>
      <c r="D61">
        <f t="shared" ca="1" si="3"/>
        <v>3</v>
      </c>
      <c r="E61">
        <f t="shared" ca="1" si="4"/>
        <v>0</v>
      </c>
      <c r="F61">
        <f t="shared" ca="1" si="5"/>
        <v>0</v>
      </c>
      <c r="G61">
        <f t="shared" ca="1" si="6"/>
        <v>3</v>
      </c>
      <c r="H61">
        <f t="shared" ca="1" si="7"/>
        <v>0</v>
      </c>
      <c r="I61">
        <f t="shared" ca="1" si="8"/>
        <v>0</v>
      </c>
      <c r="J61" s="356" t="s">
        <v>103</v>
      </c>
      <c r="K61" s="138" t="str">
        <f t="shared" ca="1" si="9"/>
        <v>3.3.0.3.</v>
      </c>
      <c r="L61" s="357" t="s">
        <v>233</v>
      </c>
      <c r="M61" s="357" t="s">
        <v>254</v>
      </c>
      <c r="N61" s="358" t="s">
        <v>888</v>
      </c>
      <c r="O61" s="359" t="s">
        <v>635</v>
      </c>
      <c r="P61" s="360">
        <v>4.84</v>
      </c>
      <c r="Q61" s="195"/>
      <c r="R61" s="198" t="s">
        <v>7</v>
      </c>
      <c r="S61" s="103">
        <f t="shared" si="10"/>
        <v>0</v>
      </c>
      <c r="T61" s="83">
        <f t="shared" si="11"/>
        <v>0</v>
      </c>
      <c r="U61" s="9" t="str">
        <f t="shared" si="12"/>
        <v>SEM VALOR</v>
      </c>
      <c r="V61" s="1" t="str">
        <f ca="1">IF(OR($A61=0,$A61="S",$A61&gt;CFF!$A$9),"",MAX(V$12:OFFSET(V61,-1,0))+1)</f>
        <v/>
      </c>
      <c r="W61" s="4" t="str">
        <f t="shared" si="13"/>
        <v>SINAPI-96619</v>
      </c>
      <c r="X61" s="1">
        <f t="shared" ca="1" si="14"/>
        <v>2324</v>
      </c>
      <c r="Y61" s="103">
        <v>51.01</v>
      </c>
      <c r="Z61" s="113">
        <f ca="1">ROUND(IF(ISNUMBER(R61),R61,IF(LEFT(R61,3)="BDI",HLOOKUP(R61,DADOS!$T$37:$X$38,2,FALSE),0)),15-11*$X$5)</f>
        <v>0.25</v>
      </c>
      <c r="AA61" s="1"/>
    </row>
    <row r="62" spans="1:27" ht="26.4" x14ac:dyDescent="0.25">
      <c r="A62" t="str">
        <f t="shared" si="0"/>
        <v>S</v>
      </c>
      <c r="B62">
        <f t="shared" si="1"/>
        <v>0</v>
      </c>
      <c r="C62">
        <f t="shared" ca="1" si="2"/>
        <v>3</v>
      </c>
      <c r="D62">
        <f t="shared" ca="1" si="3"/>
        <v>3</v>
      </c>
      <c r="E62">
        <f t="shared" ca="1" si="4"/>
        <v>0</v>
      </c>
      <c r="F62">
        <f t="shared" ca="1" si="5"/>
        <v>0</v>
      </c>
      <c r="G62">
        <f t="shared" ca="1" si="6"/>
        <v>4</v>
      </c>
      <c r="H62">
        <f t="shared" ca="1" si="7"/>
        <v>0</v>
      </c>
      <c r="I62">
        <f t="shared" ca="1" si="8"/>
        <v>0</v>
      </c>
      <c r="J62" s="356" t="s">
        <v>103</v>
      </c>
      <c r="K62" s="138" t="str">
        <f t="shared" ca="1" si="9"/>
        <v>3.3.0.4.</v>
      </c>
      <c r="L62" s="357" t="s">
        <v>233</v>
      </c>
      <c r="M62" s="357" t="s">
        <v>647</v>
      </c>
      <c r="N62" s="358" t="s">
        <v>958</v>
      </c>
      <c r="O62" s="359" t="s">
        <v>635</v>
      </c>
      <c r="P62" s="360">
        <v>4.4000000000000004</v>
      </c>
      <c r="Q62" s="195"/>
      <c r="R62" s="198" t="s">
        <v>7</v>
      </c>
      <c r="S62" s="103">
        <f t="shared" si="10"/>
        <v>0</v>
      </c>
      <c r="T62" s="83">
        <f t="shared" si="11"/>
        <v>0</v>
      </c>
      <c r="U62" s="9" t="str">
        <f t="shared" si="12"/>
        <v>SEM VALOR</v>
      </c>
      <c r="V62" s="1" t="str">
        <f ca="1">IF(OR($A62=0,$A62="S",$A62&gt;CFF!$A$9),"",MAX(V$12:OFFSET(V62,-1,0))+1)</f>
        <v/>
      </c>
      <c r="W62" s="4" t="str">
        <f t="shared" si="13"/>
        <v>SINAPI-96540</v>
      </c>
      <c r="X62" s="1">
        <f t="shared" ca="1" si="14"/>
        <v>2465</v>
      </c>
      <c r="Y62" s="103">
        <v>162.04</v>
      </c>
      <c r="Z62" s="113">
        <f ca="1">ROUND(IF(ISNUMBER(R62),R62,IF(LEFT(R62,3)="BDI",HLOOKUP(R62,DADOS!$T$37:$X$38,2,FALSE),0)),15-11*$X$5)</f>
        <v>0.25</v>
      </c>
      <c r="AA62" s="1"/>
    </row>
    <row r="63" spans="1:27" x14ac:dyDescent="0.25">
      <c r="A63" t="str">
        <f t="shared" si="0"/>
        <v>S</v>
      </c>
      <c r="B63">
        <f t="shared" si="1"/>
        <v>0</v>
      </c>
      <c r="C63">
        <f t="shared" ca="1" si="2"/>
        <v>3</v>
      </c>
      <c r="D63">
        <f t="shared" ca="1" si="3"/>
        <v>3</v>
      </c>
      <c r="E63">
        <f t="shared" ca="1" si="4"/>
        <v>0</v>
      </c>
      <c r="F63">
        <f t="shared" ca="1" si="5"/>
        <v>0</v>
      </c>
      <c r="G63">
        <f t="shared" ca="1" si="6"/>
        <v>5</v>
      </c>
      <c r="H63">
        <f t="shared" ca="1" si="7"/>
        <v>0</v>
      </c>
      <c r="I63">
        <f t="shared" ca="1" si="8"/>
        <v>0</v>
      </c>
      <c r="J63" s="356" t="s">
        <v>103</v>
      </c>
      <c r="K63" s="138" t="str">
        <f t="shared" ca="1" si="9"/>
        <v>3.3.0.5.</v>
      </c>
      <c r="L63" s="357" t="s">
        <v>233</v>
      </c>
      <c r="M63" s="357" t="s">
        <v>677</v>
      </c>
      <c r="N63" s="358" t="s">
        <v>959</v>
      </c>
      <c r="O63" s="359" t="s">
        <v>892</v>
      </c>
      <c r="P63" s="360">
        <v>116.61</v>
      </c>
      <c r="Q63" s="195"/>
      <c r="R63" s="198" t="s">
        <v>7</v>
      </c>
      <c r="S63" s="103">
        <f t="shared" si="10"/>
        <v>0</v>
      </c>
      <c r="T63" s="83">
        <f t="shared" si="11"/>
        <v>0</v>
      </c>
      <c r="U63" s="9" t="str">
        <f t="shared" si="12"/>
        <v>SEM VALOR</v>
      </c>
      <c r="V63" s="1" t="str">
        <f ca="1">IF(OR($A63=0,$A63="S",$A63&gt;CFF!$A$9),"",MAX(V$12:OFFSET(V63,-1,0))+1)</f>
        <v/>
      </c>
      <c r="W63" s="4" t="str">
        <f t="shared" si="13"/>
        <v>SINAPI-96546</v>
      </c>
      <c r="X63" s="1">
        <f t="shared" ca="1" si="14"/>
        <v>2654</v>
      </c>
      <c r="Y63" s="103">
        <v>18.079999999999998</v>
      </c>
      <c r="Z63" s="113">
        <f ca="1">ROUND(IF(ISNUMBER(R63),R63,IF(LEFT(R63,3)="BDI",HLOOKUP(R63,DADOS!$T$37:$X$38,2,FALSE),0)),15-11*$X$5)</f>
        <v>0.25</v>
      </c>
      <c r="AA63" s="1"/>
    </row>
    <row r="64" spans="1:27" ht="26.4" x14ac:dyDescent="0.25">
      <c r="A64" t="str">
        <f t="shared" si="0"/>
        <v>S</v>
      </c>
      <c r="B64">
        <f t="shared" si="1"/>
        <v>0</v>
      </c>
      <c r="C64">
        <f t="shared" ca="1" si="2"/>
        <v>3</v>
      </c>
      <c r="D64">
        <f t="shared" ca="1" si="3"/>
        <v>3</v>
      </c>
      <c r="E64">
        <f t="shared" ca="1" si="4"/>
        <v>0</v>
      </c>
      <c r="F64">
        <f t="shared" ca="1" si="5"/>
        <v>0</v>
      </c>
      <c r="G64">
        <f t="shared" ca="1" si="6"/>
        <v>6</v>
      </c>
      <c r="H64">
        <f t="shared" ca="1" si="7"/>
        <v>0</v>
      </c>
      <c r="I64">
        <f t="shared" ca="1" si="8"/>
        <v>0</v>
      </c>
      <c r="J64" s="356" t="s">
        <v>103</v>
      </c>
      <c r="K64" s="138" t="str">
        <f t="shared" ca="1" si="9"/>
        <v>3.3.0.6.</v>
      </c>
      <c r="L64" s="357" t="s">
        <v>233</v>
      </c>
      <c r="M64" s="357" t="s">
        <v>258</v>
      </c>
      <c r="N64" s="358" t="s">
        <v>894</v>
      </c>
      <c r="O64" s="359" t="s">
        <v>892</v>
      </c>
      <c r="P64" s="360">
        <v>83.78</v>
      </c>
      <c r="Q64" s="195"/>
      <c r="R64" s="198" t="s">
        <v>7</v>
      </c>
      <c r="S64" s="103">
        <f t="shared" si="10"/>
        <v>0</v>
      </c>
      <c r="T64" s="83">
        <f t="shared" si="11"/>
        <v>0</v>
      </c>
      <c r="U64" s="9" t="str">
        <f t="shared" si="12"/>
        <v>SEM VALOR</v>
      </c>
      <c r="V64" s="1" t="str">
        <f ca="1">IF(OR($A64=0,$A64="S",$A64&gt;CFF!$A$9),"",MAX(V$12:OFFSET(V64,-1,0))+1)</f>
        <v/>
      </c>
      <c r="W64" s="4" t="str">
        <f t="shared" si="13"/>
        <v>SINAPI-104920</v>
      </c>
      <c r="X64" s="1">
        <f t="shared" ca="1" si="14"/>
        <v>2676</v>
      </c>
      <c r="Y64" s="103">
        <v>13.95</v>
      </c>
      <c r="Z64" s="113">
        <f ca="1">ROUND(IF(ISNUMBER(R64),R64,IF(LEFT(R64,3)="BDI",HLOOKUP(R64,DADOS!$T$37:$X$38,2,FALSE),0)),15-11*$X$5)</f>
        <v>0.25</v>
      </c>
      <c r="AA64" s="1"/>
    </row>
    <row r="65" spans="1:27" x14ac:dyDescent="0.25">
      <c r="A65" t="str">
        <f t="shared" si="0"/>
        <v>S</v>
      </c>
      <c r="B65">
        <f t="shared" si="1"/>
        <v>0</v>
      </c>
      <c r="C65">
        <f t="shared" ca="1" si="2"/>
        <v>3</v>
      </c>
      <c r="D65">
        <f t="shared" ca="1" si="3"/>
        <v>3</v>
      </c>
      <c r="E65">
        <f t="shared" ca="1" si="4"/>
        <v>0</v>
      </c>
      <c r="F65">
        <f t="shared" ca="1" si="5"/>
        <v>0</v>
      </c>
      <c r="G65">
        <f t="shared" ca="1" si="6"/>
        <v>7</v>
      </c>
      <c r="H65">
        <f t="shared" ca="1" si="7"/>
        <v>0</v>
      </c>
      <c r="I65">
        <f t="shared" ca="1" si="8"/>
        <v>0</v>
      </c>
      <c r="J65" s="356" t="s">
        <v>103</v>
      </c>
      <c r="K65" s="138" t="str">
        <f t="shared" ca="1" si="9"/>
        <v>3.3.0.7.</v>
      </c>
      <c r="L65" s="357" t="s">
        <v>233</v>
      </c>
      <c r="M65" s="357" t="s">
        <v>678</v>
      </c>
      <c r="N65" s="358" t="s">
        <v>960</v>
      </c>
      <c r="O65" s="359" t="s">
        <v>892</v>
      </c>
      <c r="P65" s="360">
        <v>13.87</v>
      </c>
      <c r="Q65" s="195"/>
      <c r="R65" s="198" t="s">
        <v>7</v>
      </c>
      <c r="S65" s="103">
        <f t="shared" si="10"/>
        <v>0</v>
      </c>
      <c r="T65" s="83">
        <f t="shared" si="11"/>
        <v>0</v>
      </c>
      <c r="U65" s="9" t="str">
        <f t="shared" si="12"/>
        <v>SEM VALOR</v>
      </c>
      <c r="V65" s="1" t="str">
        <f ca="1">IF(OR($A65=0,$A65="S",$A65&gt;CFF!$A$9),"",MAX(V$12:OFFSET(V65,-1,0))+1)</f>
        <v/>
      </c>
      <c r="W65" s="4" t="str">
        <f t="shared" si="13"/>
        <v>SINAPI-104915</v>
      </c>
      <c r="X65" s="1">
        <f t="shared" ca="1" si="14"/>
        <v>2672</v>
      </c>
      <c r="Y65" s="103">
        <v>13.2</v>
      </c>
      <c r="Z65" s="113">
        <f ca="1">ROUND(IF(ISNUMBER(R65),R65,IF(LEFT(R65,3)="BDI",HLOOKUP(R65,DADOS!$T$37:$X$38,2,FALSE),0)),15-11*$X$5)</f>
        <v>0.25</v>
      </c>
      <c r="AA65" s="1"/>
    </row>
    <row r="66" spans="1:27" x14ac:dyDescent="0.25">
      <c r="A66" t="str">
        <f>CHOOSE(1+LOG(1+2*(J66="Meta")+4*(J66="Nível 2")+8*(J66="Nível 3")+16*(J66="Nível 4")+32*(J66="Serviço"),2),0,1,2,3,4,"S")</f>
        <v>S</v>
      </c>
      <c r="B66">
        <f>IF(OR(A66="S",A66=0),0,IF(ISERROR(I66),H66,SMALL(H66:I66,1)))</f>
        <v>0</v>
      </c>
      <c r="C66">
        <f ca="1">IF($A66=1,OFFSET(C66,-1,0)+1,OFFSET(C66,-1,0))</f>
        <v>3</v>
      </c>
      <c r="D66">
        <f ca="1">IF($A66=1,0,IF($A66=2,OFFSET(D66,-1,0)+1,OFFSET(D66,-1,0)))</f>
        <v>3</v>
      </c>
      <c r="E66">
        <f ca="1">IF(AND($A66&lt;=2,$A66&lt;&gt;0),0,IF($A66=3,OFFSET(E66,-1,0)+1,OFFSET(E66,-1,0)))</f>
        <v>0</v>
      </c>
      <c r="F66">
        <f ca="1">IF(AND($A66&lt;=3,$A66&lt;&gt;0),0,IF($A66=4,OFFSET(F66,-1,0)+1,OFFSET(F66,-1,0)))</f>
        <v>0</v>
      </c>
      <c r="G66">
        <f ca="1">IF(AND($A66&lt;=4,$A66&lt;&gt;0),0,IF($A66="S",OFFSET(G66,-1,0)+1,OFFSET(G66,-1,0)))</f>
        <v>8</v>
      </c>
      <c r="H66">
        <f t="shared" ca="1" si="7"/>
        <v>0</v>
      </c>
      <c r="I66">
        <f t="shared" ca="1" si="8"/>
        <v>0</v>
      </c>
      <c r="J66" s="356" t="s">
        <v>103</v>
      </c>
      <c r="K66" s="138" t="str">
        <f ca="1">IF($A66=0,"-",CONCATENATE(C66&amp;".",IF(AND($A$5&gt;=2,$A66&gt;=2),D66&amp;".",""),IF(AND($A$5&gt;=3,$A66&gt;=3),E66&amp;".",""),IF(AND($A$5&gt;=4,$A66&gt;=4),F66&amp;".",""),IF($A66="S",G66&amp;".","")))</f>
        <v>3.3.0.8.</v>
      </c>
      <c r="L66" s="357" t="s">
        <v>233</v>
      </c>
      <c r="M66" s="357" t="s">
        <v>644</v>
      </c>
      <c r="N66" s="358" t="s">
        <v>954</v>
      </c>
      <c r="O66" s="359" t="s">
        <v>892</v>
      </c>
      <c r="P66" s="360">
        <v>13.08</v>
      </c>
      <c r="Q66" s="195"/>
      <c r="R66" s="198" t="s">
        <v>7</v>
      </c>
      <c r="S66" s="103">
        <f>IF($A66="S",IF($Q$10="Preço Unitário (R$)",PO.CustoUnitario,ROUND(PO.CustoUnitario*(1+$Z66),15-13*$X$6)),0)</f>
        <v>0</v>
      </c>
      <c r="T66" s="83">
        <f>IF($A66="S",VTOTAL1,IF($A66=0,0,ROUND(SomaAgrup,15-13*$X$7)))</f>
        <v>0</v>
      </c>
      <c r="U66" s="9" t="str">
        <f>IF($J66="","",IF($N66="","DESCRIÇÃO",IF(AND($J66="Serviço",$O66=""),"UNIDADE",IF($T66&lt;=0,"SEM VALOR",IF(AND($Y66&lt;&gt;"",$Q66&gt;$Y66),"ACIMA REF.","")))))</f>
        <v>SEM VALOR</v>
      </c>
      <c r="V66" s="1" t="str">
        <f ca="1">IF(OR($A66=0,$A66="S",$A66&gt;CFF!$A$9),"",MAX(V$12:OFFSET(V66,-1,0))+1)</f>
        <v/>
      </c>
      <c r="W66" s="4" t="str">
        <f>IF(AND($J66="Serviço",$M66&lt;&gt;""),IF($L66="",$M66,CONCATENATE($L66,"-",$M66)))</f>
        <v>SINAPI-96543</v>
      </c>
      <c r="X66" s="1">
        <f ca="1">IF(AND(Fonte&lt;&gt;"",Código&lt;&gt;""),MATCH(Fonte&amp;" "&amp;IF(Fonte="sinapi",SUBSTITUTE(SUBSTITUTE(Código,"/00","/"),"/0","/"),Código),INDIRECT("'[Referência "&amp;_xlnm.Database&amp;".xls]Banco'!$a:$a"),0),"X")</f>
        <v>2468</v>
      </c>
      <c r="Y66" s="103">
        <v>25.45</v>
      </c>
      <c r="Z66" s="113">
        <f ca="1">ROUND(IF(ISNUMBER(R66),R66,IF(LEFT(R66,3)="BDI",HLOOKUP(R66,DADOS!$T$37:$X$38,2,FALSE),0)),15-11*$X$5)</f>
        <v>0.25</v>
      </c>
      <c r="AA66" s="1"/>
    </row>
    <row r="67" spans="1:27" ht="26.4" x14ac:dyDescent="0.25">
      <c r="A67" t="str">
        <f>CHOOSE(1+LOG(1+2*(J67="Meta")+4*(J67="Nível 2")+8*(J67="Nível 3")+16*(J67="Nível 4")+32*(J67="Serviço"),2),0,1,2,3,4,"S")</f>
        <v>S</v>
      </c>
      <c r="B67">
        <f>IF(OR(A67="S",A67=0),0,IF(ISERROR(I67),H67,SMALL(H67:I67,1)))</f>
        <v>0</v>
      </c>
      <c r="C67">
        <f ca="1">IF($A67=1,OFFSET(C67,-1,0)+1,OFFSET(C67,-1,0))</f>
        <v>3</v>
      </c>
      <c r="D67">
        <f ca="1">IF($A67=1,0,IF($A67=2,OFFSET(D67,-1,0)+1,OFFSET(D67,-1,0)))</f>
        <v>3</v>
      </c>
      <c r="E67">
        <f ca="1">IF(AND($A67&lt;=2,$A67&lt;&gt;0),0,IF($A67=3,OFFSET(E67,-1,0)+1,OFFSET(E67,-1,0)))</f>
        <v>0</v>
      </c>
      <c r="F67">
        <f ca="1">IF(AND($A67&lt;=3,$A67&lt;&gt;0),0,IF($A67=4,OFFSET(F67,-1,0)+1,OFFSET(F67,-1,0)))</f>
        <v>0</v>
      </c>
      <c r="G67">
        <f ca="1">IF(AND($A67&lt;=4,$A67&lt;&gt;0),0,IF($A67="S",OFFSET(G67,-1,0)+1,OFFSET(G67,-1,0)))</f>
        <v>9</v>
      </c>
      <c r="H67">
        <f t="shared" ca="1" si="7"/>
        <v>0</v>
      </c>
      <c r="I67">
        <f t="shared" ca="1" si="8"/>
        <v>0</v>
      </c>
      <c r="J67" s="356" t="s">
        <v>103</v>
      </c>
      <c r="K67" s="138" t="str">
        <f ca="1">IF($A67=0,"-",CONCATENATE(C67&amp;".",IF(AND($A$5&gt;=2,$A67&gt;=2),D67&amp;".",""),IF(AND($A$5&gt;=3,$A67&gt;=3),E67&amp;".",""),IF(AND($A$5&gt;=4,$A67&gt;=4),F67&amp;".",""),IF($A67="S",G67&amp;".","")))</f>
        <v>3.3.0.9.</v>
      </c>
      <c r="L67" s="357" t="s">
        <v>233</v>
      </c>
      <c r="M67" s="357" t="s">
        <v>260</v>
      </c>
      <c r="N67" s="358" t="s">
        <v>955</v>
      </c>
      <c r="O67" s="359" t="s">
        <v>660</v>
      </c>
      <c r="P67" s="360">
        <v>2.42</v>
      </c>
      <c r="Q67" s="195"/>
      <c r="R67" s="198" t="s">
        <v>7</v>
      </c>
      <c r="S67" s="103">
        <f>IF($A67="S",IF($Q$10="Preço Unitário (R$)",PO.CustoUnitario,ROUND(PO.CustoUnitario*(1+$Z67),15-13*$X$6)),0)</f>
        <v>0</v>
      </c>
      <c r="T67" s="83">
        <f>IF($A67="S",VTOTAL1,IF($A67=0,0,ROUND(SomaAgrup,15-13*$X$7)))</f>
        <v>0</v>
      </c>
      <c r="U67" s="9" t="str">
        <f>IF($J67="","",IF($N67="","DESCRIÇÃO",IF(AND($J67="Serviço",$O67=""),"UNIDADE",IF($T67&lt;=0,"SEM VALOR",IF(AND($Y67&lt;&gt;"",$Q67&gt;$Y67),"ACIMA REF.","")))))</f>
        <v>SEM VALOR</v>
      </c>
      <c r="V67" s="1" t="str">
        <f ca="1">IF(OR($A67=0,$A67="S",$A67&gt;CFF!$A$9),"",MAX(V$12:OFFSET(V67,-1,0))+1)</f>
        <v/>
      </c>
      <c r="W67" s="4" t="str">
        <f>IF(AND($J67="Serviço",$M67&lt;&gt;""),IF($L67="",$M67,CONCATENATE($L67,"-",$M67)))</f>
        <v>SINAPI-96557</v>
      </c>
      <c r="X67" s="1">
        <f ca="1">IF(AND(Fonte&lt;&gt;"",Código&lt;&gt;""),MATCH(Fonte&amp;" "&amp;IF(Fonte="sinapi",SUBSTITUTE(SUBSTITUTE(Código,"/00","/"),"/0","/"),Código),INDIRECT("'[Referência "&amp;_xlnm.Database&amp;".xls]Banco'!$a:$a"),0),"X")</f>
        <v>2706</v>
      </c>
      <c r="Y67" s="103">
        <v>923.03</v>
      </c>
      <c r="Z67" s="113">
        <f ca="1">ROUND(IF(ISNUMBER(R67),R67,IF(LEFT(R67,3)="BDI",HLOOKUP(R67,DADOS!$T$37:$X$38,2,FALSE),0)),15-11*$X$5)</f>
        <v>0.25</v>
      </c>
      <c r="AA67" s="1"/>
    </row>
    <row r="68" spans="1:27" x14ac:dyDescent="0.25">
      <c r="A68">
        <f t="shared" si="0"/>
        <v>2</v>
      </c>
      <c r="B68">
        <f t="shared" ca="1" si="1"/>
        <v>6</v>
      </c>
      <c r="C68">
        <f t="shared" ca="1" si="2"/>
        <v>3</v>
      </c>
      <c r="D68">
        <f t="shared" ca="1" si="3"/>
        <v>4</v>
      </c>
      <c r="E68">
        <f t="shared" ca="1" si="4"/>
        <v>0</v>
      </c>
      <c r="F68">
        <f t="shared" ca="1" si="5"/>
        <v>0</v>
      </c>
      <c r="G68">
        <f t="shared" ca="1" si="6"/>
        <v>0</v>
      </c>
      <c r="H68">
        <f t="shared" ca="1" si="7"/>
        <v>11</v>
      </c>
      <c r="I68">
        <f t="shared" ca="1" si="8"/>
        <v>6</v>
      </c>
      <c r="J68" s="356" t="s">
        <v>100</v>
      </c>
      <c r="K68" s="138" t="str">
        <f t="shared" ca="1" si="9"/>
        <v>3.4.</v>
      </c>
      <c r="L68" s="357"/>
      <c r="M68" s="357"/>
      <c r="N68" s="358" t="s">
        <v>646</v>
      </c>
      <c r="O68" s="359" t="s">
        <v>106</v>
      </c>
      <c r="P68" s="360"/>
      <c r="Q68" s="195"/>
      <c r="R68" s="198" t="s">
        <v>7</v>
      </c>
      <c r="S68" s="103">
        <f t="shared" si="10"/>
        <v>0</v>
      </c>
      <c r="T68" s="83">
        <f t="shared" ca="1" si="11"/>
        <v>0</v>
      </c>
      <c r="U68" s="9" t="str">
        <f t="shared" ca="1" si="12"/>
        <v>SEM VALOR</v>
      </c>
      <c r="V68" s="1">
        <f ca="1">IF(OR($A68=0,$A68="S",$A68&gt;CFF!$A$9),"",MAX(V$12:OFFSET(V68,-1,0))+1)</f>
        <v>10</v>
      </c>
      <c r="W68" s="4" t="b">
        <f t="shared" si="13"/>
        <v>0</v>
      </c>
      <c r="X68" s="1" t="str">
        <f t="shared" ca="1" si="14"/>
        <v>X</v>
      </c>
      <c r="Y68" s="103">
        <v>0</v>
      </c>
      <c r="Z68" s="113">
        <f ca="1">ROUND(IF(ISNUMBER(R68),R68,IF(LEFT(R68,3)="BDI",HLOOKUP(R68,DADOS!$T$37:$X$38,2,FALSE),0)),15-11*$X$5)</f>
        <v>0.25</v>
      </c>
      <c r="AA68" s="1"/>
    </row>
    <row r="69" spans="1:27" ht="26.4" x14ac:dyDescent="0.25">
      <c r="A69" t="str">
        <f t="shared" si="0"/>
        <v>S</v>
      </c>
      <c r="B69">
        <f t="shared" si="1"/>
        <v>0</v>
      </c>
      <c r="C69">
        <f t="shared" ca="1" si="2"/>
        <v>3</v>
      </c>
      <c r="D69">
        <f t="shared" ca="1" si="3"/>
        <v>4</v>
      </c>
      <c r="E69">
        <f t="shared" ca="1" si="4"/>
        <v>0</v>
      </c>
      <c r="F69">
        <f t="shared" ca="1" si="5"/>
        <v>0</v>
      </c>
      <c r="G69">
        <f t="shared" ca="1" si="6"/>
        <v>1</v>
      </c>
      <c r="H69">
        <f t="shared" ca="1" si="7"/>
        <v>0</v>
      </c>
      <c r="I69">
        <f t="shared" ca="1" si="8"/>
        <v>0</v>
      </c>
      <c r="J69" s="356" t="s">
        <v>103</v>
      </c>
      <c r="K69" s="138" t="str">
        <f t="shared" ca="1" si="9"/>
        <v>3.4.0.1.</v>
      </c>
      <c r="L69" s="357" t="s">
        <v>233</v>
      </c>
      <c r="M69" s="357" t="s">
        <v>675</v>
      </c>
      <c r="N69" s="358" t="s">
        <v>956</v>
      </c>
      <c r="O69" s="359" t="s">
        <v>590</v>
      </c>
      <c r="P69" s="360">
        <v>17.5</v>
      </c>
      <c r="Q69" s="195"/>
      <c r="R69" s="198" t="s">
        <v>7</v>
      </c>
      <c r="S69" s="103">
        <f t="shared" si="10"/>
        <v>0</v>
      </c>
      <c r="T69" s="83">
        <f t="shared" si="11"/>
        <v>0</v>
      </c>
      <c r="U69" s="9" t="str">
        <f t="shared" si="12"/>
        <v>SEM VALOR</v>
      </c>
      <c r="V69" s="1" t="str">
        <f ca="1">IF(OR($A69=0,$A69="S",$A69&gt;CFF!$A$9),"",MAX(V$12:OFFSET(V69,-1,0))+1)</f>
        <v/>
      </c>
      <c r="W69" s="4" t="str">
        <f t="shared" si="13"/>
        <v>SINAPI-100896</v>
      </c>
      <c r="X69" s="1">
        <f t="shared" ca="1" si="14"/>
        <v>2308</v>
      </c>
      <c r="Y69" s="103">
        <v>81.16</v>
      </c>
      <c r="Z69" s="113">
        <f ca="1">ROUND(IF(ISNUMBER(R69),R69,IF(LEFT(R69,3)="BDI",HLOOKUP(R69,DADOS!$T$37:$X$38,2,FALSE),0)),15-11*$X$5)</f>
        <v>0.25</v>
      </c>
      <c r="AA69" s="1"/>
    </row>
    <row r="70" spans="1:27" ht="26.4" x14ac:dyDescent="0.25">
      <c r="A70" t="str">
        <f t="shared" si="0"/>
        <v>S</v>
      </c>
      <c r="B70">
        <f t="shared" si="1"/>
        <v>0</v>
      </c>
      <c r="C70">
        <f t="shared" ca="1" si="2"/>
        <v>3</v>
      </c>
      <c r="D70">
        <f t="shared" ca="1" si="3"/>
        <v>4</v>
      </c>
      <c r="E70">
        <f t="shared" ca="1" si="4"/>
        <v>0</v>
      </c>
      <c r="F70">
        <f t="shared" ca="1" si="5"/>
        <v>0</v>
      </c>
      <c r="G70">
        <f t="shared" ca="1" si="6"/>
        <v>2</v>
      </c>
      <c r="H70">
        <f t="shared" ca="1" si="7"/>
        <v>0</v>
      </c>
      <c r="I70">
        <f t="shared" ca="1" si="8"/>
        <v>0</v>
      </c>
      <c r="J70" s="356" t="s">
        <v>103</v>
      </c>
      <c r="K70" s="138" t="str">
        <f t="shared" ca="1" si="9"/>
        <v>3.4.0.2.</v>
      </c>
      <c r="L70" s="357" t="s">
        <v>233</v>
      </c>
      <c r="M70" s="357" t="s">
        <v>254</v>
      </c>
      <c r="N70" s="358" t="s">
        <v>888</v>
      </c>
      <c r="O70" s="359" t="s">
        <v>635</v>
      </c>
      <c r="P70" s="360">
        <v>1.25</v>
      </c>
      <c r="Q70" s="195"/>
      <c r="R70" s="198" t="s">
        <v>7</v>
      </c>
      <c r="S70" s="103">
        <f t="shared" si="10"/>
        <v>0</v>
      </c>
      <c r="T70" s="83">
        <f t="shared" si="11"/>
        <v>0</v>
      </c>
      <c r="U70" s="9" t="str">
        <f t="shared" si="12"/>
        <v>SEM VALOR</v>
      </c>
      <c r="V70" s="1" t="str">
        <f ca="1">IF(OR($A70=0,$A70="S",$A70&gt;CFF!$A$9),"",MAX(V$12:OFFSET(V70,-1,0))+1)</f>
        <v/>
      </c>
      <c r="W70" s="4" t="str">
        <f t="shared" si="13"/>
        <v>SINAPI-96619</v>
      </c>
      <c r="X70" s="1">
        <f t="shared" ref="X70:X78" ca="1" si="15">IF(AND(Fonte&lt;&gt;"",Código&lt;&gt;""),MATCH(Fonte&amp;" "&amp;IF(Fonte="sinapi",SUBSTITUTE(SUBSTITUTE(Código,"/00","/"),"/0","/"),Código),INDIRECT("'[Referência "&amp;_xlnm.Database&amp;".xls]Banco'!$a:$a"),0),"X")</f>
        <v>2324</v>
      </c>
      <c r="Y70" s="103">
        <v>51.01</v>
      </c>
      <c r="Z70" s="113">
        <f ca="1">ROUND(IF(ISNUMBER(R70),R70,IF(LEFT(R70,3)="BDI",HLOOKUP(R70,DADOS!$T$37:$X$38,2,FALSE),0)),15-11*$X$5)</f>
        <v>0.25</v>
      </c>
      <c r="AA70" s="1"/>
    </row>
    <row r="71" spans="1:27" ht="26.4" x14ac:dyDescent="0.25">
      <c r="A71" t="str">
        <f t="shared" si="0"/>
        <v>S</v>
      </c>
      <c r="B71">
        <f t="shared" si="1"/>
        <v>0</v>
      </c>
      <c r="C71">
        <f t="shared" ca="1" si="2"/>
        <v>3</v>
      </c>
      <c r="D71">
        <f t="shared" ca="1" si="3"/>
        <v>4</v>
      </c>
      <c r="E71">
        <f t="shared" ca="1" si="4"/>
        <v>0</v>
      </c>
      <c r="F71">
        <f t="shared" ca="1" si="5"/>
        <v>0</v>
      </c>
      <c r="G71">
        <f t="shared" ca="1" si="6"/>
        <v>3</v>
      </c>
      <c r="H71">
        <f t="shared" ca="1" si="7"/>
        <v>0</v>
      </c>
      <c r="I71">
        <f t="shared" ca="1" si="8"/>
        <v>0</v>
      </c>
      <c r="J71" s="356" t="s">
        <v>103</v>
      </c>
      <c r="K71" s="138" t="str">
        <f t="shared" ca="1" si="9"/>
        <v>3.4.0.3.</v>
      </c>
      <c r="L71" s="357" t="s">
        <v>233</v>
      </c>
      <c r="M71" s="357" t="s">
        <v>647</v>
      </c>
      <c r="N71" s="358" t="s">
        <v>958</v>
      </c>
      <c r="O71" s="359" t="s">
        <v>635</v>
      </c>
      <c r="P71" s="360">
        <v>5</v>
      </c>
      <c r="Q71" s="195"/>
      <c r="R71" s="198" t="s">
        <v>7</v>
      </c>
      <c r="S71" s="103">
        <f t="shared" si="10"/>
        <v>0</v>
      </c>
      <c r="T71" s="83">
        <f t="shared" si="11"/>
        <v>0</v>
      </c>
      <c r="U71" s="9" t="str">
        <f t="shared" si="12"/>
        <v>SEM VALOR</v>
      </c>
      <c r="V71" s="1" t="str">
        <f ca="1">IF(OR($A71=0,$A71="S",$A71&gt;CFF!$A$9),"",MAX(V$12:OFFSET(V71,-1,0))+1)</f>
        <v/>
      </c>
      <c r="W71" s="4" t="str">
        <f t="shared" si="13"/>
        <v>SINAPI-96540</v>
      </c>
      <c r="X71" s="1">
        <f t="shared" ca="1" si="15"/>
        <v>2465</v>
      </c>
      <c r="Y71" s="103">
        <v>162.04</v>
      </c>
      <c r="Z71" s="113">
        <f ca="1">ROUND(IF(ISNUMBER(R71),R71,IF(LEFT(R71,3)="BDI",HLOOKUP(R71,DADOS!$T$37:$X$38,2,FALSE),0)),15-11*$X$5)</f>
        <v>0.25</v>
      </c>
      <c r="AA71" s="1"/>
    </row>
    <row r="72" spans="1:27" x14ac:dyDescent="0.25">
      <c r="A72" t="str">
        <f t="shared" si="0"/>
        <v>S</v>
      </c>
      <c r="B72">
        <f t="shared" si="1"/>
        <v>0</v>
      </c>
      <c r="C72">
        <f t="shared" ca="1" si="2"/>
        <v>3</v>
      </c>
      <c r="D72">
        <f t="shared" ca="1" si="3"/>
        <v>4</v>
      </c>
      <c r="E72">
        <f t="shared" ca="1" si="4"/>
        <v>0</v>
      </c>
      <c r="F72">
        <f t="shared" ca="1" si="5"/>
        <v>0</v>
      </c>
      <c r="G72">
        <f t="shared" ca="1" si="6"/>
        <v>4</v>
      </c>
      <c r="H72">
        <f t="shared" ca="1" si="7"/>
        <v>0</v>
      </c>
      <c r="I72">
        <f t="shared" ca="1" si="8"/>
        <v>0</v>
      </c>
      <c r="J72" s="356" t="s">
        <v>103</v>
      </c>
      <c r="K72" s="138" t="str">
        <f t="shared" ca="1" si="9"/>
        <v>3.4.0.4.</v>
      </c>
      <c r="L72" s="357" t="s">
        <v>233</v>
      </c>
      <c r="M72" s="357" t="s">
        <v>648</v>
      </c>
      <c r="N72" s="358" t="s">
        <v>961</v>
      </c>
      <c r="O72" s="359" t="s">
        <v>892</v>
      </c>
      <c r="P72" s="360">
        <v>10.19</v>
      </c>
      <c r="Q72" s="195"/>
      <c r="R72" s="198" t="s">
        <v>7</v>
      </c>
      <c r="S72" s="103">
        <f t="shared" si="10"/>
        <v>0</v>
      </c>
      <c r="T72" s="83">
        <f t="shared" si="11"/>
        <v>0</v>
      </c>
      <c r="U72" s="9" t="str">
        <f t="shared" si="12"/>
        <v>SEM VALOR</v>
      </c>
      <c r="V72" s="1" t="str">
        <f ca="1">IF(OR($A72=0,$A72="S",$A72&gt;CFF!$A$9),"",MAX(V$12:OFFSET(V72,-1,0))+1)</f>
        <v/>
      </c>
      <c r="W72" s="4" t="str">
        <f t="shared" si="13"/>
        <v>SINAPI-103797</v>
      </c>
      <c r="X72" s="1">
        <f t="shared" ca="1" si="15"/>
        <v>2844</v>
      </c>
      <c r="Y72" s="103">
        <v>20.83</v>
      </c>
      <c r="Z72" s="113">
        <f ca="1">ROUND(IF(ISNUMBER(R72),R72,IF(LEFT(R72,3)="BDI",HLOOKUP(R72,DADOS!$T$37:$X$38,2,FALSE),0)),15-11*$X$5)</f>
        <v>0.25</v>
      </c>
      <c r="AA72" s="1"/>
    </row>
    <row r="73" spans="1:27" ht="26.4" x14ac:dyDescent="0.25">
      <c r="A73" t="str">
        <f>CHOOSE(1+LOG(1+2*(J73="Meta")+4*(J73="Nível 2")+8*(J73="Nível 3")+16*(J73="Nível 4")+32*(J73="Serviço"),2),0,1,2,3,4,"S")</f>
        <v>S</v>
      </c>
      <c r="B73">
        <f>IF(OR(A73="S",A73=0),0,IF(ISERROR(I73),H73,SMALL(H73:I73,1)))</f>
        <v>0</v>
      </c>
      <c r="C73">
        <f ca="1">IF($A73=1,OFFSET(C73,-1,0)+1,OFFSET(C73,-1,0))</f>
        <v>3</v>
      </c>
      <c r="D73">
        <f ca="1">IF($A73=1,0,IF($A73=2,OFFSET(D73,-1,0)+1,OFFSET(D73,-1,0)))</f>
        <v>4</v>
      </c>
      <c r="E73">
        <f ca="1">IF(AND($A73&lt;=2,$A73&lt;&gt;0),0,IF($A73=3,OFFSET(E73,-1,0)+1,OFFSET(E73,-1,0)))</f>
        <v>0</v>
      </c>
      <c r="F73">
        <f ca="1">IF(AND($A73&lt;=3,$A73&lt;&gt;0),0,IF($A73=4,OFFSET(F73,-1,0)+1,OFFSET(F73,-1,0)))</f>
        <v>0</v>
      </c>
      <c r="G73">
        <f ca="1">IF(AND($A73&lt;=4,$A73&lt;&gt;0),0,IF($A73="S",OFFSET(G73,-1,0)+1,OFFSET(G73,-1,0)))</f>
        <v>5</v>
      </c>
      <c r="H73">
        <f t="shared" ca="1" si="7"/>
        <v>0</v>
      </c>
      <c r="I73">
        <f t="shared" ca="1" si="8"/>
        <v>0</v>
      </c>
      <c r="J73" s="356" t="s">
        <v>103</v>
      </c>
      <c r="K73" s="138" t="str">
        <f ca="1">IF($A73=0,"-",CONCATENATE(C73&amp;".",IF(AND($A$5&gt;=2,$A73&gt;=2),D73&amp;".",""),IF(AND($A$5&gt;=3,$A73&gt;=3),E73&amp;".",""),IF(AND($A$5&gt;=4,$A73&gt;=4),F73&amp;".",""),IF($A73="S",G73&amp;".","")))</f>
        <v>3.4.0.5.</v>
      </c>
      <c r="L73" s="357" t="s">
        <v>233</v>
      </c>
      <c r="M73" s="357" t="s">
        <v>260</v>
      </c>
      <c r="N73" s="358" t="s">
        <v>955</v>
      </c>
      <c r="O73" s="359" t="s">
        <v>660</v>
      </c>
      <c r="P73" s="360">
        <v>0.63</v>
      </c>
      <c r="Q73" s="195"/>
      <c r="R73" s="198" t="s">
        <v>7</v>
      </c>
      <c r="S73" s="103">
        <f>IF($A73="S",IF($Q$10="Preço Unitário (R$)",PO.CustoUnitario,ROUND(PO.CustoUnitario*(1+$Z73),15-13*$X$6)),0)</f>
        <v>0</v>
      </c>
      <c r="T73" s="83">
        <f>IF($A73="S",VTOTAL1,IF($A73=0,0,ROUND(SomaAgrup,15-13*$X$7)))</f>
        <v>0</v>
      </c>
      <c r="U73" s="9" t="str">
        <f>IF($J73="","",IF($N73="","DESCRIÇÃO",IF(AND($J73="Serviço",$O73=""),"UNIDADE",IF($T73&lt;=0,"SEM VALOR",IF(AND($Y73&lt;&gt;"",$Q73&gt;$Y73),"ACIMA REF.","")))))</f>
        <v>SEM VALOR</v>
      </c>
      <c r="V73" s="1" t="str">
        <f ca="1">IF(OR($A73=0,$A73="S",$A73&gt;CFF!$A$9),"",MAX(V$12:OFFSET(V73,-1,0))+1)</f>
        <v/>
      </c>
      <c r="W73" s="4" t="str">
        <f>IF(AND($J73="Serviço",$M73&lt;&gt;""),IF($L73="",$M73,CONCATENATE($L73,"-",$M73)))</f>
        <v>SINAPI-96557</v>
      </c>
      <c r="X73" s="1">
        <f ca="1">IF(AND(Fonte&lt;&gt;"",Código&lt;&gt;""),MATCH(Fonte&amp;" "&amp;IF(Fonte="sinapi",SUBSTITUTE(SUBSTITUTE(Código,"/00","/"),"/0","/"),Código),INDIRECT("'[Referência "&amp;_xlnm.Database&amp;".xls]Banco'!$a:$a"),0),"X")</f>
        <v>2706</v>
      </c>
      <c r="Y73" s="103">
        <v>923.03</v>
      </c>
      <c r="Z73" s="113">
        <f ca="1">ROUND(IF(ISNUMBER(R73),R73,IF(LEFT(R73,3)="BDI",HLOOKUP(R73,DADOS!$T$37:$X$38,2,FALSE),0)),15-11*$X$5)</f>
        <v>0.25</v>
      </c>
      <c r="AA73" s="1"/>
    </row>
    <row r="74" spans="1:27" x14ac:dyDescent="0.25">
      <c r="A74">
        <f t="shared" si="0"/>
        <v>2</v>
      </c>
      <c r="B74">
        <f t="shared" ca="1" si="1"/>
        <v>5</v>
      </c>
      <c r="C74">
        <f t="shared" ca="1" si="2"/>
        <v>3</v>
      </c>
      <c r="D74">
        <f t="shared" ca="1" si="3"/>
        <v>5</v>
      </c>
      <c r="E74">
        <f t="shared" ca="1" si="4"/>
        <v>0</v>
      </c>
      <c r="F74">
        <f t="shared" ca="1" si="5"/>
        <v>0</v>
      </c>
      <c r="G74">
        <f t="shared" ca="1" si="6"/>
        <v>0</v>
      </c>
      <c r="H74">
        <f t="shared" ca="1" si="7"/>
        <v>5</v>
      </c>
      <c r="I74">
        <f t="shared" ca="1" si="8"/>
        <v>32</v>
      </c>
      <c r="J74" s="356" t="s">
        <v>100</v>
      </c>
      <c r="K74" s="138" t="str">
        <f t="shared" ca="1" si="9"/>
        <v>3.5.</v>
      </c>
      <c r="L74" s="357"/>
      <c r="M74" s="357"/>
      <c r="N74" s="358" t="s">
        <v>649</v>
      </c>
      <c r="O74" s="359" t="s">
        <v>106</v>
      </c>
      <c r="P74" s="360"/>
      <c r="Q74" s="195"/>
      <c r="R74" s="198" t="s">
        <v>7</v>
      </c>
      <c r="S74" s="103">
        <f t="shared" si="10"/>
        <v>0</v>
      </c>
      <c r="T74" s="83">
        <f t="shared" ca="1" si="11"/>
        <v>0</v>
      </c>
      <c r="U74" s="9" t="str">
        <f t="shared" ca="1" si="12"/>
        <v>SEM VALOR</v>
      </c>
      <c r="V74" s="1">
        <f ca="1">IF(OR($A74=0,$A74="S",$A74&gt;CFF!$A$9),"",MAX(V$12:OFFSET(V74,-1,0))+1)</f>
        <v>11</v>
      </c>
      <c r="W74" s="4" t="b">
        <f t="shared" si="13"/>
        <v>0</v>
      </c>
      <c r="X74" s="1" t="str">
        <f t="shared" ca="1" si="15"/>
        <v>X</v>
      </c>
      <c r="Y74" s="103">
        <v>0</v>
      </c>
      <c r="Z74" s="113">
        <f ca="1">ROUND(IF(ISNUMBER(R74),R74,IF(LEFT(R74,3)="BDI",HLOOKUP(R74,DADOS!$T$37:$X$38,2,FALSE),0)),15-11*$X$5)</f>
        <v>0.25</v>
      </c>
      <c r="AA74" s="1"/>
    </row>
    <row r="75" spans="1:27" ht="26.4" x14ac:dyDescent="0.25">
      <c r="A75" t="str">
        <f t="shared" si="0"/>
        <v>S</v>
      </c>
      <c r="B75">
        <f t="shared" si="1"/>
        <v>0</v>
      </c>
      <c r="C75">
        <f t="shared" ca="1" si="2"/>
        <v>3</v>
      </c>
      <c r="D75">
        <f t="shared" ca="1" si="3"/>
        <v>5</v>
      </c>
      <c r="E75">
        <f t="shared" ca="1" si="4"/>
        <v>0</v>
      </c>
      <c r="F75">
        <f t="shared" ca="1" si="5"/>
        <v>0</v>
      </c>
      <c r="G75">
        <f t="shared" ca="1" si="6"/>
        <v>1</v>
      </c>
      <c r="H75">
        <f t="shared" ca="1" si="7"/>
        <v>0</v>
      </c>
      <c r="I75">
        <f t="shared" ca="1" si="8"/>
        <v>0</v>
      </c>
      <c r="J75" s="356" t="s">
        <v>103</v>
      </c>
      <c r="K75" s="138" t="str">
        <f t="shared" ca="1" si="9"/>
        <v>3.5.0.1.</v>
      </c>
      <c r="L75" s="357" t="s">
        <v>233</v>
      </c>
      <c r="M75" s="357" t="s">
        <v>254</v>
      </c>
      <c r="N75" s="358" t="s">
        <v>888</v>
      </c>
      <c r="O75" s="359" t="s">
        <v>635</v>
      </c>
      <c r="P75" s="360">
        <v>13.25</v>
      </c>
      <c r="Q75" s="195"/>
      <c r="R75" s="198" t="s">
        <v>7</v>
      </c>
      <c r="S75" s="103">
        <f t="shared" si="10"/>
        <v>0</v>
      </c>
      <c r="T75" s="83">
        <f t="shared" si="11"/>
        <v>0</v>
      </c>
      <c r="U75" s="9" t="str">
        <f t="shared" si="12"/>
        <v>SEM VALOR</v>
      </c>
      <c r="V75" s="1" t="str">
        <f ca="1">IF(OR($A75=0,$A75="S",$A75&gt;CFF!$A$9),"",MAX(V$12:OFFSET(V75,-1,0))+1)</f>
        <v/>
      </c>
      <c r="W75" s="4" t="str">
        <f t="shared" si="13"/>
        <v>SINAPI-96619</v>
      </c>
      <c r="X75" s="1">
        <f t="shared" ca="1" si="15"/>
        <v>2324</v>
      </c>
      <c r="Y75" s="103">
        <v>51.01</v>
      </c>
      <c r="Z75" s="113">
        <f ca="1">ROUND(IF(ISNUMBER(R75),R75,IF(LEFT(R75,3)="BDI",HLOOKUP(R75,DADOS!$T$37:$X$38,2,FALSE),0)),15-11*$X$5)</f>
        <v>0.25</v>
      </c>
      <c r="AA75" s="1"/>
    </row>
    <row r="76" spans="1:27" ht="26.4" x14ac:dyDescent="0.25">
      <c r="A76" t="str">
        <f t="shared" si="0"/>
        <v>S</v>
      </c>
      <c r="B76">
        <f t="shared" si="1"/>
        <v>0</v>
      </c>
      <c r="C76">
        <f t="shared" ca="1" si="2"/>
        <v>3</v>
      </c>
      <c r="D76">
        <f t="shared" ca="1" si="3"/>
        <v>5</v>
      </c>
      <c r="E76">
        <f t="shared" ca="1" si="4"/>
        <v>0</v>
      </c>
      <c r="F76">
        <f t="shared" ca="1" si="5"/>
        <v>0</v>
      </c>
      <c r="G76">
        <f t="shared" ca="1" si="6"/>
        <v>2</v>
      </c>
      <c r="H76">
        <f t="shared" ca="1" si="7"/>
        <v>0</v>
      </c>
      <c r="I76">
        <f t="shared" ca="1" si="8"/>
        <v>0</v>
      </c>
      <c r="J76" s="356" t="s">
        <v>103</v>
      </c>
      <c r="K76" s="138" t="str">
        <f t="shared" ca="1" si="9"/>
        <v>3.5.0.2.</v>
      </c>
      <c r="L76" s="357" t="s">
        <v>233</v>
      </c>
      <c r="M76" s="357" t="s">
        <v>650</v>
      </c>
      <c r="N76" s="358" t="s">
        <v>962</v>
      </c>
      <c r="O76" s="359" t="s">
        <v>635</v>
      </c>
      <c r="P76" s="360">
        <v>44.97</v>
      </c>
      <c r="Q76" s="195"/>
      <c r="R76" s="198" t="s">
        <v>7</v>
      </c>
      <c r="S76" s="103">
        <f t="shared" si="10"/>
        <v>0</v>
      </c>
      <c r="T76" s="83">
        <f t="shared" si="11"/>
        <v>0</v>
      </c>
      <c r="U76" s="9" t="str">
        <f t="shared" si="12"/>
        <v>SEM VALOR</v>
      </c>
      <c r="V76" s="1" t="str">
        <f ca="1">IF(OR($A76=0,$A76="S",$A76&gt;CFF!$A$9),"",MAX(V$12:OFFSET(V76,-1,0))+1)</f>
        <v/>
      </c>
      <c r="W76" s="4" t="str">
        <f t="shared" si="13"/>
        <v>SINAPI-96542</v>
      </c>
      <c r="X76" s="1">
        <f t="shared" ca="1" si="15"/>
        <v>2467</v>
      </c>
      <c r="Y76" s="103">
        <v>122.9</v>
      </c>
      <c r="Z76" s="113">
        <f ca="1">ROUND(IF(ISNUMBER(R76),R76,IF(LEFT(R76,3)="BDI",HLOOKUP(R76,DADOS!$T$37:$X$38,2,FALSE),0)),15-11*$X$5)</f>
        <v>0.25</v>
      </c>
      <c r="AA76" s="1"/>
    </row>
    <row r="77" spans="1:27" ht="26.4" x14ac:dyDescent="0.25">
      <c r="A77" t="str">
        <f t="shared" si="0"/>
        <v>S</v>
      </c>
      <c r="B77">
        <f t="shared" si="1"/>
        <v>0</v>
      </c>
      <c r="C77">
        <f t="shared" ca="1" si="2"/>
        <v>3</v>
      </c>
      <c r="D77">
        <f t="shared" ca="1" si="3"/>
        <v>5</v>
      </c>
      <c r="E77">
        <f t="shared" ca="1" si="4"/>
        <v>0</v>
      </c>
      <c r="F77">
        <f t="shared" ca="1" si="5"/>
        <v>0</v>
      </c>
      <c r="G77">
        <f t="shared" ca="1" si="6"/>
        <v>3</v>
      </c>
      <c r="H77">
        <f t="shared" ref="H77:H140" ca="1" si="16">IF(OR($A77="S",$A77=0),0,MATCH(0,OFFSET($B77,1,$A77,ROW($A$603)-ROW($A77)),0))</f>
        <v>0</v>
      </c>
      <c r="I77">
        <f t="shared" ref="I77:I140" ca="1" si="17">IF(OR($A77="S",$A77=0),0,MATCH(OFFSET($B77,0,$A77)+1,OFFSET($B77,1,$A77,ROW($A$603)-ROW($A77)),0))</f>
        <v>0</v>
      </c>
      <c r="J77" s="356" t="s">
        <v>103</v>
      </c>
      <c r="K77" s="138" t="str">
        <f t="shared" ca="1" si="9"/>
        <v>3.5.0.3.</v>
      </c>
      <c r="L77" s="357" t="s">
        <v>233</v>
      </c>
      <c r="M77" s="357" t="s">
        <v>256</v>
      </c>
      <c r="N77" s="358" t="s">
        <v>891</v>
      </c>
      <c r="O77" s="359" t="s">
        <v>892</v>
      </c>
      <c r="P77" s="360">
        <v>84.2</v>
      </c>
      <c r="Q77" s="195"/>
      <c r="R77" s="198" t="s">
        <v>7</v>
      </c>
      <c r="S77" s="103">
        <f t="shared" si="10"/>
        <v>0</v>
      </c>
      <c r="T77" s="83">
        <f t="shared" si="11"/>
        <v>0</v>
      </c>
      <c r="U77" s="9" t="str">
        <f t="shared" si="12"/>
        <v>SEM VALOR</v>
      </c>
      <c r="V77" s="1" t="str">
        <f ca="1">IF(OR($A77=0,$A77="S",$A77&gt;CFF!$A$9),"",MAX(V$12:OFFSET(V77,-1,0))+1)</f>
        <v/>
      </c>
      <c r="W77" s="4" t="str">
        <f t="shared" si="13"/>
        <v>SINAPI-104918</v>
      </c>
      <c r="X77" s="1">
        <f t="shared" ca="1" si="15"/>
        <v>2674</v>
      </c>
      <c r="Y77" s="103">
        <v>18.45</v>
      </c>
      <c r="Z77" s="113">
        <f ca="1">ROUND(IF(ISNUMBER(R77),R77,IF(LEFT(R77,3)="BDI",HLOOKUP(R77,DADOS!$T$37:$X$38,2,FALSE),0)),15-11*$X$5)</f>
        <v>0.25</v>
      </c>
      <c r="AA77" s="1"/>
    </row>
    <row r="78" spans="1:27" ht="26.4" x14ac:dyDescent="0.25">
      <c r="A78" t="str">
        <f t="shared" si="0"/>
        <v>S</v>
      </c>
      <c r="B78">
        <f t="shared" si="1"/>
        <v>0</v>
      </c>
      <c r="C78">
        <f t="shared" ca="1" si="2"/>
        <v>3</v>
      </c>
      <c r="D78">
        <f t="shared" ca="1" si="3"/>
        <v>5</v>
      </c>
      <c r="E78">
        <f t="shared" ca="1" si="4"/>
        <v>0</v>
      </c>
      <c r="F78">
        <f t="shared" ca="1" si="5"/>
        <v>0</v>
      </c>
      <c r="G78">
        <f t="shared" ca="1" si="6"/>
        <v>4</v>
      </c>
      <c r="H78">
        <f t="shared" ca="1" si="16"/>
        <v>0</v>
      </c>
      <c r="I78">
        <f t="shared" ca="1" si="17"/>
        <v>0</v>
      </c>
      <c r="J78" s="356" t="s">
        <v>103</v>
      </c>
      <c r="K78" s="138" t="str">
        <f t="shared" ca="1" si="9"/>
        <v>3.5.0.4.</v>
      </c>
      <c r="L78" s="357" t="s">
        <v>233</v>
      </c>
      <c r="M78" s="357" t="s">
        <v>260</v>
      </c>
      <c r="N78" s="358" t="s">
        <v>955</v>
      </c>
      <c r="O78" s="359" t="s">
        <v>660</v>
      </c>
      <c r="P78" s="360">
        <v>3.64</v>
      </c>
      <c r="Q78" s="195"/>
      <c r="R78" s="198" t="s">
        <v>7</v>
      </c>
      <c r="S78" s="103">
        <f t="shared" si="10"/>
        <v>0</v>
      </c>
      <c r="T78" s="83">
        <f t="shared" si="11"/>
        <v>0</v>
      </c>
      <c r="U78" s="9" t="str">
        <f t="shared" si="12"/>
        <v>SEM VALOR</v>
      </c>
      <c r="V78" s="1" t="str">
        <f ca="1">IF(OR($A78=0,$A78="S",$A78&gt;CFF!$A$9),"",MAX(V$12:OFFSET(V78,-1,0))+1)</f>
        <v/>
      </c>
      <c r="W78" s="4" t="str">
        <f t="shared" si="13"/>
        <v>SINAPI-96557</v>
      </c>
      <c r="X78" s="1">
        <f t="shared" ca="1" si="15"/>
        <v>2706</v>
      </c>
      <c r="Y78" s="103">
        <v>923.03</v>
      </c>
      <c r="Z78" s="113">
        <f ca="1">ROUND(IF(ISNUMBER(R78),R78,IF(LEFT(R78,3)="BDI",HLOOKUP(R78,DADOS!$T$37:$X$38,2,FALSE),0)),15-11*$X$5)</f>
        <v>0.25</v>
      </c>
      <c r="AA78" s="1"/>
    </row>
    <row r="79" spans="1:27" x14ac:dyDescent="0.25">
      <c r="A79">
        <f t="shared" si="0"/>
        <v>1</v>
      </c>
      <c r="B79">
        <f t="shared" ca="1" si="1"/>
        <v>40</v>
      </c>
      <c r="C79">
        <f t="shared" ca="1" si="2"/>
        <v>4</v>
      </c>
      <c r="D79">
        <f t="shared" ca="1" si="3"/>
        <v>0</v>
      </c>
      <c r="E79">
        <f t="shared" ca="1" si="4"/>
        <v>0</v>
      </c>
      <c r="F79">
        <f t="shared" ca="1" si="5"/>
        <v>0</v>
      </c>
      <c r="G79">
        <f t="shared" ca="1" si="6"/>
        <v>0</v>
      </c>
      <c r="H79">
        <f t="shared" ca="1" si="16"/>
        <v>524</v>
      </c>
      <c r="I79">
        <f t="shared" ca="1" si="17"/>
        <v>40</v>
      </c>
      <c r="J79" s="356" t="s">
        <v>99</v>
      </c>
      <c r="K79" s="138" t="str">
        <f t="shared" ca="1" si="9"/>
        <v>4.</v>
      </c>
      <c r="L79" s="357"/>
      <c r="M79" s="357"/>
      <c r="N79" s="358" t="s">
        <v>261</v>
      </c>
      <c r="O79" s="359" t="s">
        <v>106</v>
      </c>
      <c r="P79" s="360"/>
      <c r="Q79" s="195"/>
      <c r="R79" s="198" t="s">
        <v>7</v>
      </c>
      <c r="S79" s="103">
        <f t="shared" si="10"/>
        <v>0</v>
      </c>
      <c r="T79" s="83">
        <f t="shared" ca="1" si="11"/>
        <v>0</v>
      </c>
      <c r="U79" s="9" t="str">
        <f t="shared" ca="1" si="12"/>
        <v>SEM VALOR</v>
      </c>
      <c r="V79" s="1">
        <f ca="1">IF(OR($A79=0,$A79="S",$A79&gt;CFF!$A$9),"",MAX(V$12:OFFSET(V79,-1,0))+1)</f>
        <v>12</v>
      </c>
      <c r="W79" s="4" t="b">
        <f t="shared" si="13"/>
        <v>0</v>
      </c>
      <c r="X79" s="1" t="str">
        <f t="shared" ca="1" si="14"/>
        <v>X</v>
      </c>
      <c r="Y79" s="103">
        <v>0</v>
      </c>
      <c r="Z79" s="113">
        <f ca="1">ROUND(IF(ISNUMBER(R79),R79,IF(LEFT(R79,3)="BDI",HLOOKUP(R79,DADOS!$T$37:$X$38,2,FALSE),0)),15-11*$X$5)</f>
        <v>0.25</v>
      </c>
      <c r="AA79" s="1"/>
    </row>
    <row r="80" spans="1:27" x14ac:dyDescent="0.25">
      <c r="A80">
        <f t="shared" si="0"/>
        <v>2</v>
      </c>
      <c r="B80">
        <f t="shared" ca="1" si="1"/>
        <v>6</v>
      </c>
      <c r="C80">
        <f t="shared" ca="1" si="2"/>
        <v>4</v>
      </c>
      <c r="D80">
        <f t="shared" ca="1" si="3"/>
        <v>1</v>
      </c>
      <c r="E80">
        <f t="shared" ca="1" si="4"/>
        <v>0</v>
      </c>
      <c r="F80">
        <f t="shared" ca="1" si="5"/>
        <v>0</v>
      </c>
      <c r="G80">
        <f t="shared" ca="1" si="6"/>
        <v>0</v>
      </c>
      <c r="H80">
        <f t="shared" ca="1" si="16"/>
        <v>39</v>
      </c>
      <c r="I80">
        <f t="shared" ca="1" si="17"/>
        <v>6</v>
      </c>
      <c r="J80" s="356" t="s">
        <v>100</v>
      </c>
      <c r="K80" s="138" t="str">
        <f t="shared" ca="1" si="9"/>
        <v>4.1.</v>
      </c>
      <c r="L80" s="357"/>
      <c r="M80" s="357"/>
      <c r="N80" s="358" t="s">
        <v>689</v>
      </c>
      <c r="O80" s="359" t="s">
        <v>106</v>
      </c>
      <c r="P80" s="360"/>
      <c r="Q80" s="195"/>
      <c r="R80" s="198" t="s">
        <v>7</v>
      </c>
      <c r="S80" s="103">
        <f t="shared" si="10"/>
        <v>0</v>
      </c>
      <c r="T80" s="83">
        <f t="shared" ca="1" si="11"/>
        <v>0</v>
      </c>
      <c r="U80" s="9" t="str">
        <f t="shared" ca="1" si="12"/>
        <v>SEM VALOR</v>
      </c>
      <c r="V80" s="1">
        <f ca="1">IF(OR($A80=0,$A80="S",$A80&gt;CFF!$A$9),"",MAX(V$12:OFFSET(V80,-1,0))+1)</f>
        <v>13</v>
      </c>
      <c r="W80" s="4" t="b">
        <f t="shared" si="13"/>
        <v>0</v>
      </c>
      <c r="X80" s="1" t="str">
        <f t="shared" ca="1" si="14"/>
        <v>X</v>
      </c>
      <c r="Y80" s="103">
        <v>0</v>
      </c>
      <c r="Z80" s="113">
        <f ca="1">ROUND(IF(ISNUMBER(R80),R80,IF(LEFT(R80,3)="BDI",HLOOKUP(R80,DADOS!$T$37:$X$38,2,FALSE),0)),15-11*$X$5)</f>
        <v>0.25</v>
      </c>
      <c r="AA80" s="1"/>
    </row>
    <row r="81" spans="1:27" ht="26.4" x14ac:dyDescent="0.25">
      <c r="A81" t="str">
        <f t="shared" si="0"/>
        <v>S</v>
      </c>
      <c r="B81">
        <f t="shared" si="1"/>
        <v>0</v>
      </c>
      <c r="C81">
        <f t="shared" ca="1" si="2"/>
        <v>4</v>
      </c>
      <c r="D81">
        <f t="shared" ca="1" si="3"/>
        <v>1</v>
      </c>
      <c r="E81">
        <f t="shared" ca="1" si="4"/>
        <v>0</v>
      </c>
      <c r="F81">
        <f t="shared" ca="1" si="5"/>
        <v>0</v>
      </c>
      <c r="G81">
        <f t="shared" ca="1" si="6"/>
        <v>1</v>
      </c>
      <c r="H81">
        <f t="shared" ca="1" si="16"/>
        <v>0</v>
      </c>
      <c r="I81">
        <f t="shared" ca="1" si="17"/>
        <v>0</v>
      </c>
      <c r="J81" s="356" t="s">
        <v>103</v>
      </c>
      <c r="K81" s="138" t="str">
        <f t="shared" ca="1" si="9"/>
        <v>4.1.0.1.</v>
      </c>
      <c r="L81" s="357" t="s">
        <v>233</v>
      </c>
      <c r="M81" s="357" t="s">
        <v>262</v>
      </c>
      <c r="N81" s="358" t="s">
        <v>898</v>
      </c>
      <c r="O81" s="359" t="s">
        <v>635</v>
      </c>
      <c r="P81" s="360">
        <v>333.34</v>
      </c>
      <c r="Q81" s="195"/>
      <c r="R81" s="198" t="s">
        <v>7</v>
      </c>
      <c r="S81" s="103">
        <f t="shared" si="10"/>
        <v>0</v>
      </c>
      <c r="T81" s="83">
        <f t="shared" si="11"/>
        <v>0</v>
      </c>
      <c r="U81" s="9" t="str">
        <f t="shared" si="12"/>
        <v>SEM VALOR</v>
      </c>
      <c r="V81" s="1" t="str">
        <f ca="1">IF(OR($A81=0,$A81="S",$A81&gt;CFF!$A$9),"",MAX(V$12:OFFSET(V81,-1,0))+1)</f>
        <v/>
      </c>
      <c r="W81" s="4" t="str">
        <f t="shared" si="13"/>
        <v>SINAPI-92443</v>
      </c>
      <c r="X81" s="1">
        <f t="shared" ca="1" si="14"/>
        <v>2386</v>
      </c>
      <c r="Y81" s="103">
        <v>65.739999999999995</v>
      </c>
      <c r="Z81" s="113">
        <f ca="1">ROUND(IF(ISNUMBER(R81),R81,IF(LEFT(R81,3)="BDI",HLOOKUP(R81,DADOS!$T$37:$X$38,2,FALSE),0)),15-11*$X$5)</f>
        <v>0.25</v>
      </c>
      <c r="AA81" s="1"/>
    </row>
    <row r="82" spans="1:27" ht="26.4" x14ac:dyDescent="0.25">
      <c r="A82" t="str">
        <f t="shared" si="0"/>
        <v>S</v>
      </c>
      <c r="B82">
        <f t="shared" si="1"/>
        <v>0</v>
      </c>
      <c r="C82">
        <f t="shared" ca="1" si="2"/>
        <v>4</v>
      </c>
      <c r="D82">
        <f t="shared" ca="1" si="3"/>
        <v>1</v>
      </c>
      <c r="E82">
        <f t="shared" ca="1" si="4"/>
        <v>0</v>
      </c>
      <c r="F82">
        <f t="shared" ca="1" si="5"/>
        <v>0</v>
      </c>
      <c r="G82">
        <f t="shared" ca="1" si="6"/>
        <v>2</v>
      </c>
      <c r="H82">
        <f t="shared" ca="1" si="16"/>
        <v>0</v>
      </c>
      <c r="I82">
        <f t="shared" ca="1" si="17"/>
        <v>0</v>
      </c>
      <c r="J82" s="356" t="s">
        <v>103</v>
      </c>
      <c r="K82" s="138" t="str">
        <f t="shared" ca="1" si="9"/>
        <v>4.1.0.2.</v>
      </c>
      <c r="L82" s="357" t="s">
        <v>233</v>
      </c>
      <c r="M82" s="357" t="s">
        <v>263</v>
      </c>
      <c r="N82" s="358" t="s">
        <v>901</v>
      </c>
      <c r="O82" s="359" t="s">
        <v>892</v>
      </c>
      <c r="P82" s="360">
        <v>839.33</v>
      </c>
      <c r="Q82" s="195"/>
      <c r="R82" s="198" t="s">
        <v>7</v>
      </c>
      <c r="S82" s="103">
        <f t="shared" si="10"/>
        <v>0</v>
      </c>
      <c r="T82" s="83">
        <f t="shared" si="11"/>
        <v>0</v>
      </c>
      <c r="U82" s="9" t="str">
        <f t="shared" si="12"/>
        <v>SEM VALOR</v>
      </c>
      <c r="V82" s="1" t="str">
        <f ca="1">IF(OR($A82=0,$A82="S",$A82&gt;CFF!$A$9),"",MAX(V$12:OFFSET(V82,-1,0))+1)</f>
        <v/>
      </c>
      <c r="W82" s="4" t="str">
        <f t="shared" si="13"/>
        <v>SINAPI-92762</v>
      </c>
      <c r="X82" s="1">
        <f t="shared" ca="1" si="14"/>
        <v>2590</v>
      </c>
      <c r="Y82" s="103">
        <v>14.29</v>
      </c>
      <c r="Z82" s="113">
        <f ca="1">ROUND(IF(ISNUMBER(R82),R82,IF(LEFT(R82,3)="BDI",HLOOKUP(R82,DADOS!$T$37:$X$38,2,FALSE),0)),15-11*$X$5)</f>
        <v>0.25</v>
      </c>
      <c r="AA82" s="1"/>
    </row>
    <row r="83" spans="1:27" ht="26.4" x14ac:dyDescent="0.25">
      <c r="A83" t="str">
        <f t="shared" si="0"/>
        <v>S</v>
      </c>
      <c r="B83">
        <f t="shared" si="1"/>
        <v>0</v>
      </c>
      <c r="C83">
        <f t="shared" ca="1" si="2"/>
        <v>4</v>
      </c>
      <c r="D83">
        <f t="shared" ca="1" si="3"/>
        <v>1</v>
      </c>
      <c r="E83">
        <f t="shared" ca="1" si="4"/>
        <v>0</v>
      </c>
      <c r="F83">
        <f t="shared" ca="1" si="5"/>
        <v>0</v>
      </c>
      <c r="G83">
        <f t="shared" ca="1" si="6"/>
        <v>3</v>
      </c>
      <c r="H83">
        <f t="shared" ca="1" si="16"/>
        <v>0</v>
      </c>
      <c r="I83">
        <f t="shared" ca="1" si="17"/>
        <v>0</v>
      </c>
      <c r="J83" s="356" t="s">
        <v>103</v>
      </c>
      <c r="K83" s="138" t="str">
        <f t="shared" ca="1" si="9"/>
        <v>4.1.0.3.</v>
      </c>
      <c r="L83" s="357" t="s">
        <v>233</v>
      </c>
      <c r="M83" s="357" t="s">
        <v>264</v>
      </c>
      <c r="N83" s="358" t="s">
        <v>963</v>
      </c>
      <c r="O83" s="359" t="s">
        <v>892</v>
      </c>
      <c r="P83" s="360">
        <v>312.88</v>
      </c>
      <c r="Q83" s="195"/>
      <c r="R83" s="198" t="s">
        <v>7</v>
      </c>
      <c r="S83" s="103">
        <f t="shared" si="10"/>
        <v>0</v>
      </c>
      <c r="T83" s="83">
        <f t="shared" si="11"/>
        <v>0</v>
      </c>
      <c r="U83" s="9" t="str">
        <f t="shared" si="12"/>
        <v>SEM VALOR</v>
      </c>
      <c r="V83" s="1" t="str">
        <f ca="1">IF(OR($A83=0,$A83="S",$A83&gt;CFF!$A$9),"",MAX(V$12:OFFSET(V83,-1,0))+1)</f>
        <v/>
      </c>
      <c r="W83" s="4" t="str">
        <f t="shared" si="13"/>
        <v>SINAPI-92763</v>
      </c>
      <c r="X83" s="1">
        <f t="shared" ca="1" si="14"/>
        <v>2591</v>
      </c>
      <c r="Y83" s="103">
        <v>12.01</v>
      </c>
      <c r="Z83" s="113">
        <f ca="1">ROUND(IF(ISNUMBER(R83),R83,IF(LEFT(R83,3)="BDI",HLOOKUP(R83,DADOS!$T$37:$X$38,2,FALSE),0)),15-11*$X$5)</f>
        <v>0.25</v>
      </c>
      <c r="AA83" s="1"/>
    </row>
    <row r="84" spans="1:27" ht="26.4" x14ac:dyDescent="0.25">
      <c r="A84" t="str">
        <f t="shared" si="0"/>
        <v>S</v>
      </c>
      <c r="B84">
        <f t="shared" si="1"/>
        <v>0</v>
      </c>
      <c r="C84">
        <f t="shared" ca="1" si="2"/>
        <v>4</v>
      </c>
      <c r="D84">
        <f t="shared" ca="1" si="3"/>
        <v>1</v>
      </c>
      <c r="E84">
        <f t="shared" ca="1" si="4"/>
        <v>0</v>
      </c>
      <c r="F84">
        <f t="shared" ca="1" si="5"/>
        <v>0</v>
      </c>
      <c r="G84">
        <f t="shared" ca="1" si="6"/>
        <v>4</v>
      </c>
      <c r="H84">
        <f t="shared" ca="1" si="16"/>
        <v>0</v>
      </c>
      <c r="I84">
        <f t="shared" ca="1" si="17"/>
        <v>0</v>
      </c>
      <c r="J84" s="356" t="s">
        <v>103</v>
      </c>
      <c r="K84" s="138" t="str">
        <f t="shared" ca="1" si="9"/>
        <v>4.1.0.4.</v>
      </c>
      <c r="L84" s="357" t="s">
        <v>233</v>
      </c>
      <c r="M84" s="357" t="s">
        <v>265</v>
      </c>
      <c r="N84" s="358" t="s">
        <v>902</v>
      </c>
      <c r="O84" s="359" t="s">
        <v>892</v>
      </c>
      <c r="P84" s="360">
        <v>450.22</v>
      </c>
      <c r="Q84" s="195"/>
      <c r="R84" s="198" t="s">
        <v>7</v>
      </c>
      <c r="S84" s="103">
        <f t="shared" si="10"/>
        <v>0</v>
      </c>
      <c r="T84" s="83">
        <f t="shared" si="11"/>
        <v>0</v>
      </c>
      <c r="U84" s="9" t="str">
        <f t="shared" si="12"/>
        <v>SEM VALOR</v>
      </c>
      <c r="V84" s="1" t="str">
        <f ca="1">IF(OR($A84=0,$A84="S",$A84&gt;CFF!$A$9),"",MAX(V$12:OFFSET(V84,-1,0))+1)</f>
        <v/>
      </c>
      <c r="W84" s="4" t="str">
        <f t="shared" si="13"/>
        <v>SINAPI-92759</v>
      </c>
      <c r="X84" s="1">
        <f t="shared" ca="1" si="14"/>
        <v>2587</v>
      </c>
      <c r="Y84" s="103">
        <v>18.04</v>
      </c>
      <c r="Z84" s="113">
        <f ca="1">ROUND(IF(ISNUMBER(R84),R84,IF(LEFT(R84,3)="BDI",HLOOKUP(R84,DADOS!$T$37:$X$38,2,FALSE),0)),15-11*$X$5)</f>
        <v>0.25</v>
      </c>
      <c r="AA84" s="1"/>
    </row>
    <row r="85" spans="1:27" ht="26.4" x14ac:dyDescent="0.25">
      <c r="A85" t="str">
        <f t="shared" si="0"/>
        <v>S</v>
      </c>
      <c r="B85">
        <f t="shared" si="1"/>
        <v>0</v>
      </c>
      <c r="C85">
        <f t="shared" ca="1" si="2"/>
        <v>4</v>
      </c>
      <c r="D85">
        <f t="shared" ca="1" si="3"/>
        <v>1</v>
      </c>
      <c r="E85">
        <f t="shared" ca="1" si="4"/>
        <v>0</v>
      </c>
      <c r="F85">
        <f t="shared" ca="1" si="5"/>
        <v>0</v>
      </c>
      <c r="G85">
        <f t="shared" ca="1" si="6"/>
        <v>5</v>
      </c>
      <c r="H85">
        <f t="shared" ca="1" si="16"/>
        <v>0</v>
      </c>
      <c r="I85">
        <f t="shared" ca="1" si="17"/>
        <v>0</v>
      </c>
      <c r="J85" s="356" t="s">
        <v>103</v>
      </c>
      <c r="K85" s="138" t="str">
        <f t="shared" ca="1" si="9"/>
        <v>4.1.0.5.</v>
      </c>
      <c r="L85" s="357" t="s">
        <v>233</v>
      </c>
      <c r="M85" s="357" t="s">
        <v>266</v>
      </c>
      <c r="N85" s="358" t="s">
        <v>964</v>
      </c>
      <c r="O85" s="359" t="s">
        <v>660</v>
      </c>
      <c r="P85" s="360">
        <v>18.25</v>
      </c>
      <c r="Q85" s="195"/>
      <c r="R85" s="198" t="s">
        <v>7</v>
      </c>
      <c r="S85" s="103">
        <f t="shared" si="10"/>
        <v>0</v>
      </c>
      <c r="T85" s="83">
        <f t="shared" si="11"/>
        <v>0</v>
      </c>
      <c r="U85" s="9" t="str">
        <f t="shared" si="12"/>
        <v>SEM VALOR</v>
      </c>
      <c r="V85" s="1" t="str">
        <f ca="1">IF(OR($A85=0,$A85="S",$A85&gt;CFF!$A$9),"",MAX(V$12:OFFSET(V85,-1,0))+1)</f>
        <v/>
      </c>
      <c r="W85" s="4" t="str">
        <f t="shared" si="13"/>
        <v>SINAPI-103672</v>
      </c>
      <c r="X85" s="1">
        <f t="shared" ca="1" si="14"/>
        <v>2738</v>
      </c>
      <c r="Y85" s="103">
        <v>834.7</v>
      </c>
      <c r="Z85" s="113">
        <f ca="1">ROUND(IF(ISNUMBER(R85),R85,IF(LEFT(R85,3)="BDI",HLOOKUP(R85,DADOS!$T$37:$X$38,2,FALSE),0)),15-11*$X$5)</f>
        <v>0.25</v>
      </c>
      <c r="AA85" s="1"/>
    </row>
    <row r="86" spans="1:27" x14ac:dyDescent="0.25">
      <c r="A86">
        <f t="shared" si="0"/>
        <v>2</v>
      </c>
      <c r="B86">
        <f t="shared" ca="1" si="1"/>
        <v>6</v>
      </c>
      <c r="C86">
        <f t="shared" ca="1" si="2"/>
        <v>4</v>
      </c>
      <c r="D86">
        <f t="shared" ca="1" si="3"/>
        <v>2</v>
      </c>
      <c r="E86">
        <f t="shared" ca="1" si="4"/>
        <v>0</v>
      </c>
      <c r="F86">
        <f t="shared" ca="1" si="5"/>
        <v>0</v>
      </c>
      <c r="G86">
        <f t="shared" ca="1" si="6"/>
        <v>0</v>
      </c>
      <c r="H86">
        <f t="shared" ca="1" si="16"/>
        <v>33</v>
      </c>
      <c r="I86">
        <f t="shared" ca="1" si="17"/>
        <v>6</v>
      </c>
      <c r="J86" s="356" t="s">
        <v>100</v>
      </c>
      <c r="K86" s="138" t="str">
        <f t="shared" ca="1" si="9"/>
        <v>4.2.</v>
      </c>
      <c r="L86" s="357"/>
      <c r="M86" s="357"/>
      <c r="N86" s="358" t="s">
        <v>690</v>
      </c>
      <c r="O86" s="359" t="s">
        <v>106</v>
      </c>
      <c r="P86" s="360"/>
      <c r="Q86" s="195"/>
      <c r="R86" s="198" t="s">
        <v>7</v>
      </c>
      <c r="S86" s="103">
        <f t="shared" si="10"/>
        <v>0</v>
      </c>
      <c r="T86" s="83">
        <f t="shared" ca="1" si="11"/>
        <v>0</v>
      </c>
      <c r="U86" s="9" t="str">
        <f t="shared" ca="1" si="12"/>
        <v>SEM VALOR</v>
      </c>
      <c r="V86" s="1">
        <f ca="1">IF(OR($A86=0,$A86="S",$A86&gt;CFF!$A$9),"",MAX(V$12:OFFSET(V86,-1,0))+1)</f>
        <v>14</v>
      </c>
      <c r="W86" s="4" t="b">
        <f t="shared" si="13"/>
        <v>0</v>
      </c>
      <c r="X86" s="1" t="str">
        <f t="shared" ca="1" si="14"/>
        <v>X</v>
      </c>
      <c r="Y86" s="103">
        <v>0</v>
      </c>
      <c r="Z86" s="113">
        <f ca="1">ROUND(IF(ISNUMBER(R86),R86,IF(LEFT(R86,3)="BDI",HLOOKUP(R86,DADOS!$T$37:$X$38,2,FALSE),0)),15-11*$X$5)</f>
        <v>0.25</v>
      </c>
      <c r="AA86" s="1"/>
    </row>
    <row r="87" spans="1:27" ht="26.4" x14ac:dyDescent="0.25">
      <c r="A87" t="str">
        <f t="shared" si="0"/>
        <v>S</v>
      </c>
      <c r="B87">
        <f t="shared" si="1"/>
        <v>0</v>
      </c>
      <c r="C87">
        <f t="shared" ca="1" si="2"/>
        <v>4</v>
      </c>
      <c r="D87">
        <f t="shared" ca="1" si="3"/>
        <v>2</v>
      </c>
      <c r="E87">
        <f t="shared" ca="1" si="4"/>
        <v>0</v>
      </c>
      <c r="F87">
        <f t="shared" ca="1" si="5"/>
        <v>0</v>
      </c>
      <c r="G87">
        <f t="shared" ca="1" si="6"/>
        <v>1</v>
      </c>
      <c r="H87">
        <f t="shared" ca="1" si="16"/>
        <v>0</v>
      </c>
      <c r="I87">
        <f t="shared" ca="1" si="17"/>
        <v>0</v>
      </c>
      <c r="J87" s="356" t="s">
        <v>103</v>
      </c>
      <c r="K87" s="138" t="str">
        <f t="shared" ca="1" si="9"/>
        <v>4.2.0.1.</v>
      </c>
      <c r="L87" s="357" t="s">
        <v>233</v>
      </c>
      <c r="M87" s="357" t="s">
        <v>262</v>
      </c>
      <c r="N87" s="358" t="s">
        <v>898</v>
      </c>
      <c r="O87" s="359" t="s">
        <v>635</v>
      </c>
      <c r="P87" s="360">
        <v>344.1</v>
      </c>
      <c r="Q87" s="195"/>
      <c r="R87" s="198" t="s">
        <v>7</v>
      </c>
      <c r="S87" s="103">
        <f t="shared" si="10"/>
        <v>0</v>
      </c>
      <c r="T87" s="83">
        <f t="shared" si="11"/>
        <v>0</v>
      </c>
      <c r="U87" s="9" t="str">
        <f t="shared" si="12"/>
        <v>SEM VALOR</v>
      </c>
      <c r="V87" s="1" t="str">
        <f ca="1">IF(OR($A87=0,$A87="S",$A87&gt;CFF!$A$9),"",MAX(V$12:OFFSET(V87,-1,0))+1)</f>
        <v/>
      </c>
      <c r="W87" s="4" t="str">
        <f t="shared" si="13"/>
        <v>SINAPI-92443</v>
      </c>
      <c r="X87" s="1">
        <f t="shared" ca="1" si="14"/>
        <v>2386</v>
      </c>
      <c r="Y87" s="103">
        <v>65.739999999999995</v>
      </c>
      <c r="Z87" s="113">
        <f ca="1">ROUND(IF(ISNUMBER(R87),R87,IF(LEFT(R87,3)="BDI",HLOOKUP(R87,DADOS!$T$37:$X$38,2,FALSE),0)),15-11*$X$5)</f>
        <v>0.25</v>
      </c>
      <c r="AA87" s="1"/>
    </row>
    <row r="88" spans="1:27" ht="26.4" x14ac:dyDescent="0.25">
      <c r="A88" t="str">
        <f t="shared" si="0"/>
        <v>S</v>
      </c>
      <c r="B88">
        <f t="shared" si="1"/>
        <v>0</v>
      </c>
      <c r="C88">
        <f t="shared" ca="1" si="2"/>
        <v>4</v>
      </c>
      <c r="D88">
        <f t="shared" ca="1" si="3"/>
        <v>2</v>
      </c>
      <c r="E88">
        <f t="shared" ca="1" si="4"/>
        <v>0</v>
      </c>
      <c r="F88">
        <f t="shared" ca="1" si="5"/>
        <v>0</v>
      </c>
      <c r="G88">
        <f t="shared" ca="1" si="6"/>
        <v>2</v>
      </c>
      <c r="H88">
        <f t="shared" ca="1" si="16"/>
        <v>0</v>
      </c>
      <c r="I88">
        <f t="shared" ca="1" si="17"/>
        <v>0</v>
      </c>
      <c r="J88" s="356" t="s">
        <v>103</v>
      </c>
      <c r="K88" s="138" t="str">
        <f t="shared" ca="1" si="9"/>
        <v>4.2.0.2.</v>
      </c>
      <c r="L88" s="357" t="s">
        <v>233</v>
      </c>
      <c r="M88" s="357" t="s">
        <v>267</v>
      </c>
      <c r="N88" s="358" t="s">
        <v>899</v>
      </c>
      <c r="O88" s="359" t="s">
        <v>892</v>
      </c>
      <c r="P88" s="360">
        <v>675.91</v>
      </c>
      <c r="Q88" s="195"/>
      <c r="R88" s="198" t="s">
        <v>7</v>
      </c>
      <c r="S88" s="103">
        <f t="shared" si="10"/>
        <v>0</v>
      </c>
      <c r="T88" s="83">
        <f t="shared" si="11"/>
        <v>0</v>
      </c>
      <c r="U88" s="9" t="str">
        <f t="shared" si="12"/>
        <v>SEM VALOR</v>
      </c>
      <c r="V88" s="1" t="str">
        <f ca="1">IF(OR($A88=0,$A88="S",$A88&gt;CFF!$A$9),"",MAX(V$12:OFFSET(V88,-1,0))+1)</f>
        <v/>
      </c>
      <c r="W88" s="4" t="str">
        <f t="shared" si="13"/>
        <v>SINAPI-92761</v>
      </c>
      <c r="X88" s="1">
        <f t="shared" ca="1" si="14"/>
        <v>2589</v>
      </c>
      <c r="Y88" s="103">
        <v>16.010000000000002</v>
      </c>
      <c r="Z88" s="113">
        <f ca="1">ROUND(IF(ISNUMBER(R88),R88,IF(LEFT(R88,3)="BDI",HLOOKUP(R88,DADOS!$T$37:$X$38,2,FALSE),0)),15-11*$X$5)</f>
        <v>0.25</v>
      </c>
      <c r="AA88" s="1"/>
    </row>
    <row r="89" spans="1:27" ht="26.4" x14ac:dyDescent="0.25">
      <c r="A89" t="str">
        <f t="shared" si="0"/>
        <v>S</v>
      </c>
      <c r="B89">
        <f t="shared" si="1"/>
        <v>0</v>
      </c>
      <c r="C89">
        <f t="shared" ca="1" si="2"/>
        <v>4</v>
      </c>
      <c r="D89">
        <f t="shared" ca="1" si="3"/>
        <v>2</v>
      </c>
      <c r="E89">
        <f t="shared" ca="1" si="4"/>
        <v>0</v>
      </c>
      <c r="F89">
        <f t="shared" ca="1" si="5"/>
        <v>0</v>
      </c>
      <c r="G89">
        <f t="shared" ca="1" si="6"/>
        <v>3</v>
      </c>
      <c r="H89">
        <f t="shared" ca="1" si="16"/>
        <v>0</v>
      </c>
      <c r="I89">
        <f t="shared" ca="1" si="17"/>
        <v>0</v>
      </c>
      <c r="J89" s="356" t="s">
        <v>103</v>
      </c>
      <c r="K89" s="138" t="str">
        <f t="shared" ca="1" si="9"/>
        <v>4.2.0.3.</v>
      </c>
      <c r="L89" s="357" t="s">
        <v>233</v>
      </c>
      <c r="M89" s="357" t="s">
        <v>263</v>
      </c>
      <c r="N89" s="358" t="s">
        <v>901</v>
      </c>
      <c r="O89" s="359" t="s">
        <v>892</v>
      </c>
      <c r="P89" s="360">
        <v>9.64</v>
      </c>
      <c r="Q89" s="195"/>
      <c r="R89" s="198" t="s">
        <v>7</v>
      </c>
      <c r="S89" s="103">
        <f t="shared" si="10"/>
        <v>0</v>
      </c>
      <c r="T89" s="83">
        <f t="shared" si="11"/>
        <v>0</v>
      </c>
      <c r="U89" s="9" t="str">
        <f t="shared" si="12"/>
        <v>SEM VALOR</v>
      </c>
      <c r="V89" s="1" t="str">
        <f ca="1">IF(OR($A89=0,$A89="S",$A89&gt;CFF!$A$9),"",MAX(V$12:OFFSET(V89,-1,0))+1)</f>
        <v/>
      </c>
      <c r="W89" s="4" t="str">
        <f t="shared" si="13"/>
        <v>SINAPI-92762</v>
      </c>
      <c r="X89" s="1">
        <f t="shared" ca="1" si="14"/>
        <v>2590</v>
      </c>
      <c r="Y89" s="103">
        <v>14.29</v>
      </c>
      <c r="Z89" s="113">
        <f ca="1">ROUND(IF(ISNUMBER(R89),R89,IF(LEFT(R89,3)="BDI",HLOOKUP(R89,DADOS!$T$37:$X$38,2,FALSE),0)),15-11*$X$5)</f>
        <v>0.25</v>
      </c>
      <c r="AA89" s="1"/>
    </row>
    <row r="90" spans="1:27" ht="26.4" x14ac:dyDescent="0.25">
      <c r="A90" t="str">
        <f t="shared" si="0"/>
        <v>S</v>
      </c>
      <c r="B90">
        <f t="shared" si="1"/>
        <v>0</v>
      </c>
      <c r="C90">
        <f t="shared" ca="1" si="2"/>
        <v>4</v>
      </c>
      <c r="D90">
        <f t="shared" ca="1" si="3"/>
        <v>2</v>
      </c>
      <c r="E90">
        <f t="shared" ca="1" si="4"/>
        <v>0</v>
      </c>
      <c r="F90">
        <f t="shared" ca="1" si="5"/>
        <v>0</v>
      </c>
      <c r="G90">
        <f t="shared" ca="1" si="6"/>
        <v>4</v>
      </c>
      <c r="H90">
        <f t="shared" ca="1" si="16"/>
        <v>0</v>
      </c>
      <c r="I90">
        <f t="shared" ca="1" si="17"/>
        <v>0</v>
      </c>
      <c r="J90" s="356" t="s">
        <v>103</v>
      </c>
      <c r="K90" s="138" t="str">
        <f t="shared" ca="1" si="9"/>
        <v>4.2.0.4.</v>
      </c>
      <c r="L90" s="357" t="s">
        <v>233</v>
      </c>
      <c r="M90" s="357" t="s">
        <v>265</v>
      </c>
      <c r="N90" s="358" t="s">
        <v>902</v>
      </c>
      <c r="O90" s="359" t="s">
        <v>892</v>
      </c>
      <c r="P90" s="360">
        <v>365.31</v>
      </c>
      <c r="Q90" s="195"/>
      <c r="R90" s="198" t="s">
        <v>7</v>
      </c>
      <c r="S90" s="103">
        <f t="shared" si="10"/>
        <v>0</v>
      </c>
      <c r="T90" s="83">
        <f t="shared" si="11"/>
        <v>0</v>
      </c>
      <c r="U90" s="9" t="str">
        <f t="shared" si="12"/>
        <v>SEM VALOR</v>
      </c>
      <c r="V90" s="1" t="str">
        <f ca="1">IF(OR($A90=0,$A90="S",$A90&gt;CFF!$A$9),"",MAX(V$12:OFFSET(V90,-1,0))+1)</f>
        <v/>
      </c>
      <c r="W90" s="4" t="str">
        <f t="shared" si="13"/>
        <v>SINAPI-92759</v>
      </c>
      <c r="X90" s="1">
        <f t="shared" ca="1" si="14"/>
        <v>2587</v>
      </c>
      <c r="Y90" s="103">
        <v>18.04</v>
      </c>
      <c r="Z90" s="113">
        <f ca="1">ROUND(IF(ISNUMBER(R90),R90,IF(LEFT(R90,3)="BDI",HLOOKUP(R90,DADOS!$T$37:$X$38,2,FALSE),0)),15-11*$X$5)</f>
        <v>0.25</v>
      </c>
      <c r="AA90" s="1"/>
    </row>
    <row r="91" spans="1:27" ht="26.4" x14ac:dyDescent="0.25">
      <c r="A91" t="str">
        <f t="shared" si="0"/>
        <v>S</v>
      </c>
      <c r="B91">
        <f t="shared" si="1"/>
        <v>0</v>
      </c>
      <c r="C91">
        <f t="shared" ca="1" si="2"/>
        <v>4</v>
      </c>
      <c r="D91">
        <f t="shared" ca="1" si="3"/>
        <v>2</v>
      </c>
      <c r="E91">
        <f t="shared" ca="1" si="4"/>
        <v>0</v>
      </c>
      <c r="F91">
        <f t="shared" ca="1" si="5"/>
        <v>0</v>
      </c>
      <c r="G91">
        <f t="shared" ca="1" si="6"/>
        <v>5</v>
      </c>
      <c r="H91">
        <f t="shared" ca="1" si="16"/>
        <v>0</v>
      </c>
      <c r="I91">
        <f t="shared" ca="1" si="17"/>
        <v>0</v>
      </c>
      <c r="J91" s="356" t="s">
        <v>103</v>
      </c>
      <c r="K91" s="138" t="str">
        <f t="shared" ca="1" si="9"/>
        <v>4.2.0.5.</v>
      </c>
      <c r="L91" s="357" t="s">
        <v>233</v>
      </c>
      <c r="M91" s="357" t="s">
        <v>268</v>
      </c>
      <c r="N91" s="358" t="s">
        <v>903</v>
      </c>
      <c r="O91" s="359" t="s">
        <v>660</v>
      </c>
      <c r="P91" s="360">
        <v>24.55</v>
      </c>
      <c r="Q91" s="195"/>
      <c r="R91" s="198" t="s">
        <v>7</v>
      </c>
      <c r="S91" s="103">
        <f t="shared" si="10"/>
        <v>0</v>
      </c>
      <c r="T91" s="83">
        <f t="shared" si="11"/>
        <v>0</v>
      </c>
      <c r="U91" s="9" t="str">
        <f t="shared" si="12"/>
        <v>SEM VALOR</v>
      </c>
      <c r="V91" s="1" t="str">
        <f ca="1">IF(OR($A91=0,$A91="S",$A91&gt;CFF!$A$9),"",MAX(V$12:OFFSET(V91,-1,0))+1)</f>
        <v/>
      </c>
      <c r="W91" s="4" t="str">
        <f t="shared" si="13"/>
        <v>SINAPI-103675</v>
      </c>
      <c r="X91" s="1">
        <f t="shared" ca="1" si="14"/>
        <v>2741</v>
      </c>
      <c r="Y91" s="103">
        <v>834.84</v>
      </c>
      <c r="Z91" s="113">
        <f ca="1">ROUND(IF(ISNUMBER(R91),R91,IF(LEFT(R91,3)="BDI",HLOOKUP(R91,DADOS!$T$37:$X$38,2,FALSE),0)),15-11*$X$5)</f>
        <v>0.25</v>
      </c>
      <c r="AA91" s="1"/>
    </row>
    <row r="92" spans="1:27" x14ac:dyDescent="0.25">
      <c r="A92">
        <f t="shared" si="0"/>
        <v>2</v>
      </c>
      <c r="B92">
        <f t="shared" ca="1" si="1"/>
        <v>2</v>
      </c>
      <c r="C92">
        <f t="shared" ca="1" si="2"/>
        <v>4</v>
      </c>
      <c r="D92">
        <f t="shared" ca="1" si="3"/>
        <v>3</v>
      </c>
      <c r="E92">
        <f t="shared" ca="1" si="4"/>
        <v>0</v>
      </c>
      <c r="F92">
        <f t="shared" ca="1" si="5"/>
        <v>0</v>
      </c>
      <c r="G92">
        <f t="shared" ca="1" si="6"/>
        <v>0</v>
      </c>
      <c r="H92">
        <f t="shared" ca="1" si="16"/>
        <v>27</v>
      </c>
      <c r="I92">
        <f t="shared" ca="1" si="17"/>
        <v>2</v>
      </c>
      <c r="J92" s="356" t="s">
        <v>100</v>
      </c>
      <c r="K92" s="138" t="str">
        <f t="shared" ca="1" si="9"/>
        <v>4.3.</v>
      </c>
      <c r="L92" s="357"/>
      <c r="M92" s="357"/>
      <c r="N92" s="358" t="s">
        <v>691</v>
      </c>
      <c r="O92" s="359" t="s">
        <v>106</v>
      </c>
      <c r="P92" s="360"/>
      <c r="Q92" s="195"/>
      <c r="R92" s="198" t="s">
        <v>7</v>
      </c>
      <c r="S92" s="103">
        <f t="shared" si="10"/>
        <v>0</v>
      </c>
      <c r="T92" s="83">
        <f t="shared" ca="1" si="11"/>
        <v>0</v>
      </c>
      <c r="U92" s="9" t="str">
        <f t="shared" ca="1" si="12"/>
        <v>SEM VALOR</v>
      </c>
      <c r="V92" s="1">
        <f ca="1">IF(OR($A92=0,$A92="S",$A92&gt;CFF!$A$9),"",MAX(V$12:OFFSET(V92,-1,0))+1)</f>
        <v>15</v>
      </c>
      <c r="W92" s="4" t="b">
        <f t="shared" si="13"/>
        <v>0</v>
      </c>
      <c r="X92" s="1" t="str">
        <f t="shared" ca="1" si="14"/>
        <v>X</v>
      </c>
      <c r="Y92" s="103">
        <v>0</v>
      </c>
      <c r="Z92" s="113">
        <f ca="1">ROUND(IF(ISNUMBER(R92),R92,IF(LEFT(R92,3)="BDI",HLOOKUP(R92,DADOS!$T$37:$X$38,2,FALSE),0)),15-11*$X$5)</f>
        <v>0.25</v>
      </c>
      <c r="AA92" s="1"/>
    </row>
    <row r="93" spans="1:27" x14ac:dyDescent="0.25">
      <c r="A93" t="str">
        <f t="shared" si="0"/>
        <v>S</v>
      </c>
      <c r="B93">
        <f t="shared" si="1"/>
        <v>0</v>
      </c>
      <c r="C93">
        <f t="shared" ca="1" si="2"/>
        <v>4</v>
      </c>
      <c r="D93">
        <f t="shared" ca="1" si="3"/>
        <v>3</v>
      </c>
      <c r="E93">
        <f t="shared" ca="1" si="4"/>
        <v>0</v>
      </c>
      <c r="F93">
        <f t="shared" ca="1" si="5"/>
        <v>0</v>
      </c>
      <c r="G93">
        <f t="shared" ca="1" si="6"/>
        <v>1</v>
      </c>
      <c r="H93">
        <f t="shared" ca="1" si="16"/>
        <v>0</v>
      </c>
      <c r="I93">
        <f t="shared" ca="1" si="17"/>
        <v>0</v>
      </c>
      <c r="J93" s="356" t="s">
        <v>103</v>
      </c>
      <c r="K93" s="138" t="str">
        <f t="shared" ca="1" si="9"/>
        <v>4.3.0.1.</v>
      </c>
      <c r="L93" s="357" t="s">
        <v>233</v>
      </c>
      <c r="M93" s="357" t="s">
        <v>269</v>
      </c>
      <c r="N93" s="358" t="s">
        <v>965</v>
      </c>
      <c r="O93" s="359" t="s">
        <v>590</v>
      </c>
      <c r="P93" s="360">
        <v>124.12</v>
      </c>
      <c r="Q93" s="195"/>
      <c r="R93" s="198" t="s">
        <v>7</v>
      </c>
      <c r="S93" s="103">
        <f t="shared" si="10"/>
        <v>0</v>
      </c>
      <c r="T93" s="83">
        <f t="shared" si="11"/>
        <v>0</v>
      </c>
      <c r="U93" s="9" t="str">
        <f t="shared" si="12"/>
        <v>SEM VALOR</v>
      </c>
      <c r="V93" s="1" t="str">
        <f ca="1">IF(OR($A93=0,$A93="S",$A93&gt;CFF!$A$9),"",MAX(V$12:OFFSET(V93,-1,0))+1)</f>
        <v/>
      </c>
      <c r="W93" s="4" t="str">
        <f t="shared" si="13"/>
        <v>SINAPI-93184</v>
      </c>
      <c r="X93" s="1">
        <f t="shared" ca="1" si="14"/>
        <v>2765</v>
      </c>
      <c r="Y93" s="103">
        <v>33.56</v>
      </c>
      <c r="Z93" s="113">
        <f ca="1">ROUND(IF(ISNUMBER(R93),R93,IF(LEFT(R93,3)="BDI",HLOOKUP(R93,DADOS!$T$37:$X$38,2,FALSE),0)),15-11*$X$5)</f>
        <v>0.25</v>
      </c>
      <c r="AA93" s="1"/>
    </row>
    <row r="94" spans="1:27" x14ac:dyDescent="0.25">
      <c r="A94">
        <f t="shared" si="0"/>
        <v>2</v>
      </c>
      <c r="B94">
        <f t="shared" ca="1" si="1"/>
        <v>5</v>
      </c>
      <c r="C94">
        <f t="shared" ca="1" si="2"/>
        <v>4</v>
      </c>
      <c r="D94">
        <f t="shared" ca="1" si="3"/>
        <v>4</v>
      </c>
      <c r="E94">
        <f t="shared" ca="1" si="4"/>
        <v>0</v>
      </c>
      <c r="F94">
        <f t="shared" ca="1" si="5"/>
        <v>0</v>
      </c>
      <c r="G94">
        <f t="shared" ca="1" si="6"/>
        <v>0</v>
      </c>
      <c r="H94">
        <f t="shared" ca="1" si="16"/>
        <v>25</v>
      </c>
      <c r="I94">
        <f t="shared" ca="1" si="17"/>
        <v>5</v>
      </c>
      <c r="J94" s="356" t="s">
        <v>100</v>
      </c>
      <c r="K94" s="138" t="str">
        <f t="shared" ca="1" si="9"/>
        <v>4.4.</v>
      </c>
      <c r="L94" s="357" t="s">
        <v>233</v>
      </c>
      <c r="M94" s="357"/>
      <c r="N94" s="358" t="s">
        <v>651</v>
      </c>
      <c r="O94" s="359" t="s">
        <v>106</v>
      </c>
      <c r="P94" s="360"/>
      <c r="Q94" s="195"/>
      <c r="R94" s="198" t="s">
        <v>7</v>
      </c>
      <c r="S94" s="103">
        <f t="shared" si="10"/>
        <v>0</v>
      </c>
      <c r="T94" s="83">
        <f t="shared" ca="1" si="11"/>
        <v>0</v>
      </c>
      <c r="U94" s="9" t="str">
        <f t="shared" ca="1" si="12"/>
        <v>SEM VALOR</v>
      </c>
      <c r="V94" s="1">
        <f ca="1">IF(OR($A94=0,$A94="S",$A94&gt;CFF!$A$9),"",MAX(V$12:OFFSET(V94,-1,0))+1)</f>
        <v>16</v>
      </c>
      <c r="W94" s="4" t="b">
        <f t="shared" si="13"/>
        <v>0</v>
      </c>
      <c r="X94" s="1" t="str">
        <f t="shared" ref="X94:X107" ca="1" si="18">IF(AND(Fonte&lt;&gt;"",Código&lt;&gt;""),MATCH(Fonte&amp;" "&amp;IF(Fonte="sinapi",SUBSTITUTE(SUBSTITUTE(Código,"/00","/"),"/0","/"),Código),INDIRECT("'[Referência "&amp;_xlnm.Database&amp;".xls]Banco'!$a:$a"),0),"X")</f>
        <v>X</v>
      </c>
      <c r="Y94" s="103">
        <v>0</v>
      </c>
      <c r="Z94" s="113">
        <f ca="1">ROUND(IF(ISNUMBER(R94),R94,IF(LEFT(R94,3)="BDI",HLOOKUP(R94,DADOS!$T$37:$X$38,2,FALSE),0)),15-11*$X$5)</f>
        <v>0.25</v>
      </c>
      <c r="AA94" s="1"/>
    </row>
    <row r="95" spans="1:27" ht="26.4" x14ac:dyDescent="0.25">
      <c r="A95" t="str">
        <f t="shared" si="0"/>
        <v>S</v>
      </c>
      <c r="B95">
        <f t="shared" si="1"/>
        <v>0</v>
      </c>
      <c r="C95">
        <f t="shared" ca="1" si="2"/>
        <v>4</v>
      </c>
      <c r="D95">
        <f t="shared" ca="1" si="3"/>
        <v>4</v>
      </c>
      <c r="E95">
        <f t="shared" ca="1" si="4"/>
        <v>0</v>
      </c>
      <c r="F95">
        <f t="shared" ca="1" si="5"/>
        <v>0</v>
      </c>
      <c r="G95">
        <f t="shared" ca="1" si="6"/>
        <v>1</v>
      </c>
      <c r="H95">
        <f t="shared" ca="1" si="16"/>
        <v>0</v>
      </c>
      <c r="I95">
        <f t="shared" ca="1" si="17"/>
        <v>0</v>
      </c>
      <c r="J95" s="356" t="s">
        <v>103</v>
      </c>
      <c r="K95" s="138" t="str">
        <f t="shared" ca="1" si="9"/>
        <v>4.4.0.1.</v>
      </c>
      <c r="L95" s="357" t="s">
        <v>233</v>
      </c>
      <c r="M95" s="357" t="s">
        <v>262</v>
      </c>
      <c r="N95" s="358" t="s">
        <v>898</v>
      </c>
      <c r="O95" s="359" t="s">
        <v>635</v>
      </c>
      <c r="P95" s="360">
        <v>157.02000000000001</v>
      </c>
      <c r="Q95" s="195"/>
      <c r="R95" s="198" t="s">
        <v>7</v>
      </c>
      <c r="S95" s="103">
        <f t="shared" si="10"/>
        <v>0</v>
      </c>
      <c r="T95" s="83">
        <f t="shared" si="11"/>
        <v>0</v>
      </c>
      <c r="U95" s="9" t="str">
        <f t="shared" si="12"/>
        <v>SEM VALOR</v>
      </c>
      <c r="V95" s="1" t="str">
        <f ca="1">IF(OR($A95=0,$A95="S",$A95&gt;CFF!$A$9),"",MAX(V$12:OFFSET(V95,-1,0))+1)</f>
        <v/>
      </c>
      <c r="W95" s="4" t="str">
        <f t="shared" si="13"/>
        <v>SINAPI-92443</v>
      </c>
      <c r="X95" s="1">
        <f t="shared" ca="1" si="18"/>
        <v>2386</v>
      </c>
      <c r="Y95" s="103">
        <v>65.739999999999995</v>
      </c>
      <c r="Z95" s="113">
        <f ca="1">ROUND(IF(ISNUMBER(R95),R95,IF(LEFT(R95,3)="BDI",HLOOKUP(R95,DADOS!$T$37:$X$38,2,FALSE),0)),15-11*$X$5)</f>
        <v>0.25</v>
      </c>
      <c r="AA95" s="1"/>
    </row>
    <row r="96" spans="1:27" ht="26.4" x14ac:dyDescent="0.25">
      <c r="A96" t="str">
        <f t="shared" si="0"/>
        <v>S</v>
      </c>
      <c r="B96">
        <f t="shared" si="1"/>
        <v>0</v>
      </c>
      <c r="C96">
        <f t="shared" ca="1" si="2"/>
        <v>4</v>
      </c>
      <c r="D96">
        <f t="shared" ca="1" si="3"/>
        <v>4</v>
      </c>
      <c r="E96">
        <f t="shared" ca="1" si="4"/>
        <v>0</v>
      </c>
      <c r="F96">
        <f t="shared" ca="1" si="5"/>
        <v>0</v>
      </c>
      <c r="G96">
        <f t="shared" ca="1" si="6"/>
        <v>2</v>
      </c>
      <c r="H96">
        <f t="shared" ca="1" si="16"/>
        <v>0</v>
      </c>
      <c r="I96">
        <f t="shared" ca="1" si="17"/>
        <v>0</v>
      </c>
      <c r="J96" s="356" t="s">
        <v>103</v>
      </c>
      <c r="K96" s="138" t="str">
        <f t="shared" ca="1" si="9"/>
        <v>4.4.0.2.</v>
      </c>
      <c r="L96" s="357" t="s">
        <v>233</v>
      </c>
      <c r="M96" s="357" t="s">
        <v>267</v>
      </c>
      <c r="N96" s="358" t="s">
        <v>899</v>
      </c>
      <c r="O96" s="359" t="s">
        <v>892</v>
      </c>
      <c r="P96" s="360">
        <v>383.14</v>
      </c>
      <c r="Q96" s="195"/>
      <c r="R96" s="198" t="s">
        <v>7</v>
      </c>
      <c r="S96" s="103">
        <f t="shared" si="10"/>
        <v>0</v>
      </c>
      <c r="T96" s="83">
        <f t="shared" si="11"/>
        <v>0</v>
      </c>
      <c r="U96" s="9" t="str">
        <f t="shared" si="12"/>
        <v>SEM VALOR</v>
      </c>
      <c r="V96" s="1" t="str">
        <f ca="1">IF(OR($A96=0,$A96="S",$A96&gt;CFF!$A$9),"",MAX(V$12:OFFSET(V96,-1,0))+1)</f>
        <v/>
      </c>
      <c r="W96" s="4" t="str">
        <f t="shared" si="13"/>
        <v>SINAPI-92761</v>
      </c>
      <c r="X96" s="1">
        <f t="shared" ca="1" si="18"/>
        <v>2589</v>
      </c>
      <c r="Y96" s="103">
        <v>16.010000000000002</v>
      </c>
      <c r="Z96" s="113">
        <f ca="1">ROUND(IF(ISNUMBER(R96),R96,IF(LEFT(R96,3)="BDI",HLOOKUP(R96,DADOS!$T$37:$X$38,2,FALSE),0)),15-11*$X$5)</f>
        <v>0.25</v>
      </c>
      <c r="AA96" s="1"/>
    </row>
    <row r="97" spans="1:27" ht="26.4" x14ac:dyDescent="0.25">
      <c r="A97" t="str">
        <f t="shared" si="0"/>
        <v>S</v>
      </c>
      <c r="B97">
        <f t="shared" si="1"/>
        <v>0</v>
      </c>
      <c r="C97">
        <f t="shared" ca="1" si="2"/>
        <v>4</v>
      </c>
      <c r="D97">
        <f t="shared" ca="1" si="3"/>
        <v>4</v>
      </c>
      <c r="E97">
        <f t="shared" ca="1" si="4"/>
        <v>0</v>
      </c>
      <c r="F97">
        <f t="shared" ca="1" si="5"/>
        <v>0</v>
      </c>
      <c r="G97">
        <f t="shared" ca="1" si="6"/>
        <v>3</v>
      </c>
      <c r="H97">
        <f t="shared" ca="1" si="16"/>
        <v>0</v>
      </c>
      <c r="I97">
        <f t="shared" ca="1" si="17"/>
        <v>0</v>
      </c>
      <c r="J97" s="356" t="s">
        <v>103</v>
      </c>
      <c r="K97" s="138" t="str">
        <f t="shared" ca="1" si="9"/>
        <v>4.4.0.3.</v>
      </c>
      <c r="L97" s="357" t="s">
        <v>233</v>
      </c>
      <c r="M97" s="357" t="s">
        <v>265</v>
      </c>
      <c r="N97" s="358" t="s">
        <v>902</v>
      </c>
      <c r="O97" s="359" t="s">
        <v>892</v>
      </c>
      <c r="P97" s="360">
        <v>119.16</v>
      </c>
      <c r="Q97" s="195"/>
      <c r="R97" s="198" t="s">
        <v>7</v>
      </c>
      <c r="S97" s="103">
        <f t="shared" si="10"/>
        <v>0</v>
      </c>
      <c r="T97" s="83">
        <f t="shared" si="11"/>
        <v>0</v>
      </c>
      <c r="U97" s="9" t="str">
        <f t="shared" si="12"/>
        <v>SEM VALOR</v>
      </c>
      <c r="V97" s="1" t="str">
        <f ca="1">IF(OR($A97=0,$A97="S",$A97&gt;CFF!$A$9),"",MAX(V$12:OFFSET(V97,-1,0))+1)</f>
        <v/>
      </c>
      <c r="W97" s="4" t="str">
        <f t="shared" si="13"/>
        <v>SINAPI-92759</v>
      </c>
      <c r="X97" s="1">
        <f t="shared" ca="1" si="18"/>
        <v>2587</v>
      </c>
      <c r="Y97" s="103">
        <v>18.04</v>
      </c>
      <c r="Z97" s="113">
        <f ca="1">ROUND(IF(ISNUMBER(R97),R97,IF(LEFT(R97,3)="BDI",HLOOKUP(R97,DADOS!$T$37:$X$38,2,FALSE),0)),15-11*$X$5)</f>
        <v>0.25</v>
      </c>
      <c r="AA97" s="1"/>
    </row>
    <row r="98" spans="1:27" ht="26.4" x14ac:dyDescent="0.25">
      <c r="A98" t="str">
        <f t="shared" si="0"/>
        <v>S</v>
      </c>
      <c r="B98">
        <f t="shared" si="1"/>
        <v>0</v>
      </c>
      <c r="C98">
        <f t="shared" ca="1" si="2"/>
        <v>4</v>
      </c>
      <c r="D98">
        <f t="shared" ca="1" si="3"/>
        <v>4</v>
      </c>
      <c r="E98">
        <f t="shared" ca="1" si="4"/>
        <v>0</v>
      </c>
      <c r="F98">
        <f t="shared" ca="1" si="5"/>
        <v>0</v>
      </c>
      <c r="G98">
        <f t="shared" ca="1" si="6"/>
        <v>4</v>
      </c>
      <c r="H98">
        <f t="shared" ca="1" si="16"/>
        <v>0</v>
      </c>
      <c r="I98">
        <f t="shared" ca="1" si="17"/>
        <v>0</v>
      </c>
      <c r="J98" s="356" t="s">
        <v>103</v>
      </c>
      <c r="K98" s="138" t="str">
        <f t="shared" ca="1" si="9"/>
        <v>4.4.0.4.</v>
      </c>
      <c r="L98" s="357" t="s">
        <v>233</v>
      </c>
      <c r="M98" s="357" t="s">
        <v>266</v>
      </c>
      <c r="N98" s="358" t="s">
        <v>964</v>
      </c>
      <c r="O98" s="359" t="s">
        <v>660</v>
      </c>
      <c r="P98" s="360">
        <v>6.63</v>
      </c>
      <c r="Q98" s="195"/>
      <c r="R98" s="198" t="s">
        <v>7</v>
      </c>
      <c r="S98" s="103">
        <f t="shared" si="10"/>
        <v>0</v>
      </c>
      <c r="T98" s="83">
        <f t="shared" si="11"/>
        <v>0</v>
      </c>
      <c r="U98" s="9" t="str">
        <f t="shared" si="12"/>
        <v>SEM VALOR</v>
      </c>
      <c r="V98" s="1" t="str">
        <f ca="1">IF(OR($A98=0,$A98="S",$A98&gt;CFF!$A$9),"",MAX(V$12:OFFSET(V98,-1,0))+1)</f>
        <v/>
      </c>
      <c r="W98" s="4" t="str">
        <f t="shared" si="13"/>
        <v>SINAPI-103672</v>
      </c>
      <c r="X98" s="1">
        <f t="shared" ca="1" si="18"/>
        <v>2738</v>
      </c>
      <c r="Y98" s="103">
        <v>834.7</v>
      </c>
      <c r="Z98" s="113">
        <f ca="1">ROUND(IF(ISNUMBER(R98),R98,IF(LEFT(R98,3)="BDI",HLOOKUP(R98,DADOS!$T$37:$X$38,2,FALSE),0)),15-11*$X$5)</f>
        <v>0.25</v>
      </c>
      <c r="AA98" s="1"/>
    </row>
    <row r="99" spans="1:27" x14ac:dyDescent="0.25">
      <c r="A99">
        <f t="shared" si="0"/>
        <v>2</v>
      </c>
      <c r="B99">
        <f t="shared" ca="1" si="1"/>
        <v>7</v>
      </c>
      <c r="C99">
        <f t="shared" ca="1" si="2"/>
        <v>4</v>
      </c>
      <c r="D99">
        <f t="shared" ca="1" si="3"/>
        <v>5</v>
      </c>
      <c r="E99">
        <f t="shared" ca="1" si="4"/>
        <v>0</v>
      </c>
      <c r="F99">
        <f t="shared" ca="1" si="5"/>
        <v>0</v>
      </c>
      <c r="G99">
        <f t="shared" ca="1" si="6"/>
        <v>0</v>
      </c>
      <c r="H99">
        <f t="shared" ca="1" si="16"/>
        <v>20</v>
      </c>
      <c r="I99">
        <f t="shared" ca="1" si="17"/>
        <v>7</v>
      </c>
      <c r="J99" s="356" t="s">
        <v>100</v>
      </c>
      <c r="K99" s="138" t="str">
        <f t="shared" ca="1" si="9"/>
        <v>4.5.</v>
      </c>
      <c r="L99" s="357" t="s">
        <v>233</v>
      </c>
      <c r="M99" s="357"/>
      <c r="N99" s="358" t="s">
        <v>652</v>
      </c>
      <c r="O99" s="359" t="s">
        <v>106</v>
      </c>
      <c r="P99" s="360"/>
      <c r="Q99" s="195"/>
      <c r="R99" s="198" t="s">
        <v>7</v>
      </c>
      <c r="S99" s="103">
        <f t="shared" si="10"/>
        <v>0</v>
      </c>
      <c r="T99" s="83">
        <f t="shared" ca="1" si="11"/>
        <v>0</v>
      </c>
      <c r="U99" s="9" t="str">
        <f t="shared" ca="1" si="12"/>
        <v>SEM VALOR</v>
      </c>
      <c r="V99" s="1">
        <f ca="1">IF(OR($A99=0,$A99="S",$A99&gt;CFF!$A$9),"",MAX(V$12:OFFSET(V99,-1,0))+1)</f>
        <v>17</v>
      </c>
      <c r="W99" s="4" t="b">
        <f t="shared" si="13"/>
        <v>0</v>
      </c>
      <c r="X99" s="1" t="str">
        <f t="shared" ca="1" si="18"/>
        <v>X</v>
      </c>
      <c r="Y99" s="103">
        <v>0</v>
      </c>
      <c r="Z99" s="113">
        <f ca="1">ROUND(IF(ISNUMBER(R99),R99,IF(LEFT(R99,3)="BDI",HLOOKUP(R99,DADOS!$T$37:$X$38,2,FALSE),0)),15-11*$X$5)</f>
        <v>0.25</v>
      </c>
      <c r="AA99" s="1"/>
    </row>
    <row r="100" spans="1:27" ht="26.4" x14ac:dyDescent="0.25">
      <c r="A100" t="str">
        <f t="shared" si="0"/>
        <v>S</v>
      </c>
      <c r="B100">
        <f t="shared" si="1"/>
        <v>0</v>
      </c>
      <c r="C100">
        <f t="shared" ca="1" si="2"/>
        <v>4</v>
      </c>
      <c r="D100">
        <f t="shared" ca="1" si="3"/>
        <v>5</v>
      </c>
      <c r="E100">
        <f t="shared" ca="1" si="4"/>
        <v>0</v>
      </c>
      <c r="F100">
        <f t="shared" ca="1" si="5"/>
        <v>0</v>
      </c>
      <c r="G100">
        <f t="shared" ca="1" si="6"/>
        <v>1</v>
      </c>
      <c r="H100">
        <f t="shared" ca="1" si="16"/>
        <v>0</v>
      </c>
      <c r="I100">
        <f t="shared" ca="1" si="17"/>
        <v>0</v>
      </c>
      <c r="J100" s="356" t="s">
        <v>103</v>
      </c>
      <c r="K100" s="138" t="str">
        <f t="shared" ca="1" si="9"/>
        <v>4.5.0.1.</v>
      </c>
      <c r="L100" s="357" t="s">
        <v>233</v>
      </c>
      <c r="M100" s="357" t="s">
        <v>262</v>
      </c>
      <c r="N100" s="358" t="s">
        <v>898</v>
      </c>
      <c r="O100" s="359" t="s">
        <v>635</v>
      </c>
      <c r="P100" s="360">
        <v>19.239999999999998</v>
      </c>
      <c r="Q100" s="195"/>
      <c r="R100" s="198" t="s">
        <v>7</v>
      </c>
      <c r="S100" s="103">
        <f t="shared" si="10"/>
        <v>0</v>
      </c>
      <c r="T100" s="83">
        <f t="shared" si="11"/>
        <v>0</v>
      </c>
      <c r="U100" s="9" t="str">
        <f t="shared" si="12"/>
        <v>SEM VALOR</v>
      </c>
      <c r="V100" s="1" t="str">
        <f ca="1">IF(OR($A100=0,$A100="S",$A100&gt;CFF!$A$9),"",MAX(V$12:OFFSET(V100,-1,0))+1)</f>
        <v/>
      </c>
      <c r="W100" s="4" t="str">
        <f t="shared" si="13"/>
        <v>SINAPI-92443</v>
      </c>
      <c r="X100" s="1">
        <f t="shared" ca="1" si="18"/>
        <v>2386</v>
      </c>
      <c r="Y100" s="103">
        <v>65.739999999999995</v>
      </c>
      <c r="Z100" s="113">
        <f ca="1">ROUND(IF(ISNUMBER(R100),R100,IF(LEFT(R100,3)="BDI",HLOOKUP(R100,DADOS!$T$37:$X$38,2,FALSE),0)),15-11*$X$5)</f>
        <v>0.25</v>
      </c>
      <c r="AA100" s="1"/>
    </row>
    <row r="101" spans="1:27" ht="26.4" x14ac:dyDescent="0.25">
      <c r="A101" t="str">
        <f t="shared" si="0"/>
        <v>S</v>
      </c>
      <c r="B101">
        <f t="shared" si="1"/>
        <v>0</v>
      </c>
      <c r="C101">
        <f t="shared" ca="1" si="2"/>
        <v>4</v>
      </c>
      <c r="D101">
        <f t="shared" ca="1" si="3"/>
        <v>5</v>
      </c>
      <c r="E101">
        <f t="shared" ca="1" si="4"/>
        <v>0</v>
      </c>
      <c r="F101">
        <f t="shared" ca="1" si="5"/>
        <v>0</v>
      </c>
      <c r="G101">
        <f t="shared" ca="1" si="6"/>
        <v>2</v>
      </c>
      <c r="H101">
        <f t="shared" ca="1" si="16"/>
        <v>0</v>
      </c>
      <c r="I101">
        <f t="shared" ca="1" si="17"/>
        <v>0</v>
      </c>
      <c r="J101" s="356" t="s">
        <v>103</v>
      </c>
      <c r="K101" s="138" t="str">
        <f t="shared" ca="1" si="9"/>
        <v>4.5.0.2.</v>
      </c>
      <c r="L101" s="357" t="s">
        <v>233</v>
      </c>
      <c r="M101" s="357" t="s">
        <v>270</v>
      </c>
      <c r="N101" s="358" t="s">
        <v>900</v>
      </c>
      <c r="O101" s="359" t="s">
        <v>892</v>
      </c>
      <c r="P101" s="360">
        <v>15.26</v>
      </c>
      <c r="Q101" s="195"/>
      <c r="R101" s="198" t="s">
        <v>7</v>
      </c>
      <c r="S101" s="103">
        <f t="shared" si="10"/>
        <v>0</v>
      </c>
      <c r="T101" s="83">
        <f t="shared" si="11"/>
        <v>0</v>
      </c>
      <c r="U101" s="9" t="str">
        <f t="shared" si="12"/>
        <v>SEM VALOR</v>
      </c>
      <c r="V101" s="1" t="str">
        <f ca="1">IF(OR($A101=0,$A101="S",$A101&gt;CFF!$A$9),"",MAX(V$12:OFFSET(V101,-1,0))+1)</f>
        <v/>
      </c>
      <c r="W101" s="4" t="str">
        <f t="shared" si="13"/>
        <v>SINAPI-92760</v>
      </c>
      <c r="X101" s="1">
        <f t="shared" ca="1" si="18"/>
        <v>2588</v>
      </c>
      <c r="Y101" s="103">
        <v>17.04</v>
      </c>
      <c r="Z101" s="113">
        <f ca="1">ROUND(IF(ISNUMBER(R101),R101,IF(LEFT(R101,3)="BDI",HLOOKUP(R101,DADOS!$T$37:$X$38,2,FALSE),0)),15-11*$X$5)</f>
        <v>0.25</v>
      </c>
      <c r="AA101" s="1"/>
    </row>
    <row r="102" spans="1:27" ht="26.4" x14ac:dyDescent="0.25">
      <c r="A102" t="str">
        <f t="shared" si="0"/>
        <v>S</v>
      </c>
      <c r="B102">
        <f t="shared" si="1"/>
        <v>0</v>
      </c>
      <c r="C102">
        <f t="shared" ca="1" si="2"/>
        <v>4</v>
      </c>
      <c r="D102">
        <f t="shared" ca="1" si="3"/>
        <v>5</v>
      </c>
      <c r="E102">
        <f t="shared" ca="1" si="4"/>
        <v>0</v>
      </c>
      <c r="F102">
        <f t="shared" ca="1" si="5"/>
        <v>0</v>
      </c>
      <c r="G102">
        <f t="shared" ca="1" si="6"/>
        <v>3</v>
      </c>
      <c r="H102">
        <f t="shared" ca="1" si="16"/>
        <v>0</v>
      </c>
      <c r="I102">
        <f t="shared" ca="1" si="17"/>
        <v>0</v>
      </c>
      <c r="J102" s="356" t="s">
        <v>103</v>
      </c>
      <c r="K102" s="138" t="str">
        <f t="shared" ca="1" si="9"/>
        <v>4.5.0.3.</v>
      </c>
      <c r="L102" s="357" t="s">
        <v>233</v>
      </c>
      <c r="M102" s="357" t="s">
        <v>267</v>
      </c>
      <c r="N102" s="358" t="s">
        <v>899</v>
      </c>
      <c r="O102" s="359" t="s">
        <v>892</v>
      </c>
      <c r="P102" s="360">
        <v>19.45</v>
      </c>
      <c r="Q102" s="195"/>
      <c r="R102" s="198" t="s">
        <v>7</v>
      </c>
      <c r="S102" s="103">
        <f t="shared" si="10"/>
        <v>0</v>
      </c>
      <c r="T102" s="83">
        <f t="shared" si="11"/>
        <v>0</v>
      </c>
      <c r="U102" s="9" t="str">
        <f t="shared" si="12"/>
        <v>SEM VALOR</v>
      </c>
      <c r="V102" s="1" t="str">
        <f ca="1">IF(OR($A102=0,$A102="S",$A102&gt;CFF!$A$9),"",MAX(V$12:OFFSET(V102,-1,0))+1)</f>
        <v/>
      </c>
      <c r="W102" s="4" t="str">
        <f t="shared" si="13"/>
        <v>SINAPI-92761</v>
      </c>
      <c r="X102" s="1">
        <f t="shared" ca="1" si="18"/>
        <v>2589</v>
      </c>
      <c r="Y102" s="103">
        <v>16.010000000000002</v>
      </c>
      <c r="Z102" s="113">
        <f ca="1">ROUND(IF(ISNUMBER(R102),R102,IF(LEFT(R102,3)="BDI",HLOOKUP(R102,DADOS!$T$37:$X$38,2,FALSE),0)),15-11*$X$5)</f>
        <v>0.25</v>
      </c>
      <c r="AA102" s="1"/>
    </row>
    <row r="103" spans="1:27" ht="26.4" x14ac:dyDescent="0.25">
      <c r="A103" t="str">
        <f t="shared" si="0"/>
        <v>S</v>
      </c>
      <c r="B103">
        <f t="shared" si="1"/>
        <v>0</v>
      </c>
      <c r="C103">
        <f t="shared" ca="1" si="2"/>
        <v>4</v>
      </c>
      <c r="D103">
        <f t="shared" ca="1" si="3"/>
        <v>5</v>
      </c>
      <c r="E103">
        <f t="shared" ca="1" si="4"/>
        <v>0</v>
      </c>
      <c r="F103">
        <f t="shared" ca="1" si="5"/>
        <v>0</v>
      </c>
      <c r="G103">
        <f t="shared" ca="1" si="6"/>
        <v>4</v>
      </c>
      <c r="H103">
        <f t="shared" ca="1" si="16"/>
        <v>0</v>
      </c>
      <c r="I103">
        <f t="shared" ca="1" si="17"/>
        <v>0</v>
      </c>
      <c r="J103" s="356" t="s">
        <v>103</v>
      </c>
      <c r="K103" s="138" t="str">
        <f t="shared" ca="1" si="9"/>
        <v>4.5.0.4.</v>
      </c>
      <c r="L103" s="357" t="s">
        <v>233</v>
      </c>
      <c r="M103" s="357" t="s">
        <v>263</v>
      </c>
      <c r="N103" s="358" t="s">
        <v>901</v>
      </c>
      <c r="O103" s="359" t="s">
        <v>892</v>
      </c>
      <c r="P103" s="360">
        <v>28.01</v>
      </c>
      <c r="Q103" s="195"/>
      <c r="R103" s="198" t="s">
        <v>7</v>
      </c>
      <c r="S103" s="103">
        <f t="shared" si="10"/>
        <v>0</v>
      </c>
      <c r="T103" s="83">
        <f t="shared" si="11"/>
        <v>0</v>
      </c>
      <c r="U103" s="9" t="str">
        <f t="shared" si="12"/>
        <v>SEM VALOR</v>
      </c>
      <c r="V103" s="1" t="str">
        <f ca="1">IF(OR($A103=0,$A103="S",$A103&gt;CFF!$A$9),"",MAX(V$12:OFFSET(V103,-1,0))+1)</f>
        <v/>
      </c>
      <c r="W103" s="4" t="str">
        <f t="shared" si="13"/>
        <v>SINAPI-92762</v>
      </c>
      <c r="X103" s="1">
        <f t="shared" ca="1" si="18"/>
        <v>2590</v>
      </c>
      <c r="Y103" s="103">
        <v>14.29</v>
      </c>
      <c r="Z103" s="113">
        <f ca="1">ROUND(IF(ISNUMBER(R103),R103,IF(LEFT(R103,3)="BDI",HLOOKUP(R103,DADOS!$T$37:$X$38,2,FALSE),0)),15-11*$X$5)</f>
        <v>0.25</v>
      </c>
      <c r="AA103" s="1"/>
    </row>
    <row r="104" spans="1:27" ht="26.4" x14ac:dyDescent="0.25">
      <c r="A104" t="str">
        <f t="shared" si="0"/>
        <v>S</v>
      </c>
      <c r="B104">
        <f t="shared" si="1"/>
        <v>0</v>
      </c>
      <c r="C104">
        <f t="shared" ca="1" si="2"/>
        <v>4</v>
      </c>
      <c r="D104">
        <f t="shared" ca="1" si="3"/>
        <v>5</v>
      </c>
      <c r="E104">
        <f t="shared" ca="1" si="4"/>
        <v>0</v>
      </c>
      <c r="F104">
        <f t="shared" ca="1" si="5"/>
        <v>0</v>
      </c>
      <c r="G104">
        <f t="shared" ca="1" si="6"/>
        <v>5</v>
      </c>
      <c r="H104">
        <f t="shared" ca="1" si="16"/>
        <v>0</v>
      </c>
      <c r="I104">
        <f t="shared" ca="1" si="17"/>
        <v>0</v>
      </c>
      <c r="J104" s="356" t="s">
        <v>103</v>
      </c>
      <c r="K104" s="138" t="str">
        <f t="shared" ca="1" si="9"/>
        <v>4.5.0.5.</v>
      </c>
      <c r="L104" s="357" t="s">
        <v>233</v>
      </c>
      <c r="M104" s="357" t="s">
        <v>265</v>
      </c>
      <c r="N104" s="358" t="s">
        <v>902</v>
      </c>
      <c r="O104" s="359" t="s">
        <v>892</v>
      </c>
      <c r="P104" s="360">
        <v>17.059999999999999</v>
      </c>
      <c r="Q104" s="195"/>
      <c r="R104" s="198" t="s">
        <v>7</v>
      </c>
      <c r="S104" s="103">
        <f t="shared" si="10"/>
        <v>0</v>
      </c>
      <c r="T104" s="83">
        <f t="shared" si="11"/>
        <v>0</v>
      </c>
      <c r="U104" s="9" t="str">
        <f t="shared" si="12"/>
        <v>SEM VALOR</v>
      </c>
      <c r="V104" s="1" t="str">
        <f ca="1">IF(OR($A104=0,$A104="S",$A104&gt;CFF!$A$9),"",MAX(V$12:OFFSET(V104,-1,0))+1)</f>
        <v/>
      </c>
      <c r="W104" s="4" t="str">
        <f t="shared" si="13"/>
        <v>SINAPI-92759</v>
      </c>
      <c r="X104" s="1">
        <f t="shared" ca="1" si="18"/>
        <v>2587</v>
      </c>
      <c r="Y104" s="103">
        <v>18.04</v>
      </c>
      <c r="Z104" s="113">
        <f ca="1">ROUND(IF(ISNUMBER(R104),R104,IF(LEFT(R104,3)="BDI",HLOOKUP(R104,DADOS!$T$37:$X$38,2,FALSE),0)),15-11*$X$5)</f>
        <v>0.25</v>
      </c>
      <c r="AA104" s="1"/>
    </row>
    <row r="105" spans="1:27" ht="26.4" x14ac:dyDescent="0.25">
      <c r="A105" t="str">
        <f t="shared" si="0"/>
        <v>S</v>
      </c>
      <c r="B105">
        <f t="shared" si="1"/>
        <v>0</v>
      </c>
      <c r="C105">
        <f t="shared" ca="1" si="2"/>
        <v>4</v>
      </c>
      <c r="D105">
        <f t="shared" ca="1" si="3"/>
        <v>5</v>
      </c>
      <c r="E105">
        <f t="shared" ca="1" si="4"/>
        <v>0</v>
      </c>
      <c r="F105">
        <f t="shared" ca="1" si="5"/>
        <v>0</v>
      </c>
      <c r="G105">
        <f t="shared" ca="1" si="6"/>
        <v>6</v>
      </c>
      <c r="H105">
        <f t="shared" ca="1" si="16"/>
        <v>0</v>
      </c>
      <c r="I105">
        <f t="shared" ca="1" si="17"/>
        <v>0</v>
      </c>
      <c r="J105" s="356" t="s">
        <v>103</v>
      </c>
      <c r="K105" s="138" t="str">
        <f t="shared" ca="1" si="9"/>
        <v>4.5.0.6.</v>
      </c>
      <c r="L105" s="357" t="s">
        <v>233</v>
      </c>
      <c r="M105" s="357" t="s">
        <v>268</v>
      </c>
      <c r="N105" s="358" t="s">
        <v>903</v>
      </c>
      <c r="O105" s="359" t="s">
        <v>660</v>
      </c>
      <c r="P105" s="360">
        <v>1.23</v>
      </c>
      <c r="Q105" s="195"/>
      <c r="R105" s="198" t="s">
        <v>7</v>
      </c>
      <c r="S105" s="103">
        <f t="shared" si="10"/>
        <v>0</v>
      </c>
      <c r="T105" s="83">
        <f t="shared" si="11"/>
        <v>0</v>
      </c>
      <c r="U105" s="9" t="str">
        <f t="shared" si="12"/>
        <v>SEM VALOR</v>
      </c>
      <c r="V105" s="1" t="str">
        <f ca="1">IF(OR($A105=0,$A105="S",$A105&gt;CFF!$A$9),"",MAX(V$12:OFFSET(V105,-1,0))+1)</f>
        <v/>
      </c>
      <c r="W105" s="4" t="str">
        <f t="shared" si="13"/>
        <v>SINAPI-103675</v>
      </c>
      <c r="X105" s="1">
        <f t="shared" ca="1" si="18"/>
        <v>2741</v>
      </c>
      <c r="Y105" s="103">
        <v>834.84</v>
      </c>
      <c r="Z105" s="113">
        <f ca="1">ROUND(IF(ISNUMBER(R105),R105,IF(LEFT(R105,3)="BDI",HLOOKUP(R105,DADOS!$T$37:$X$38,2,FALSE),0)),15-11*$X$5)</f>
        <v>0.25</v>
      </c>
      <c r="AA105" s="1"/>
    </row>
    <row r="106" spans="1:27" x14ac:dyDescent="0.25">
      <c r="A106">
        <f t="shared" si="0"/>
        <v>2</v>
      </c>
      <c r="B106">
        <f t="shared" ca="1" si="1"/>
        <v>2</v>
      </c>
      <c r="C106">
        <f t="shared" ca="1" si="2"/>
        <v>4</v>
      </c>
      <c r="D106">
        <f t="shared" ca="1" si="3"/>
        <v>6</v>
      </c>
      <c r="E106">
        <f t="shared" ca="1" si="4"/>
        <v>0</v>
      </c>
      <c r="F106">
        <f t="shared" ca="1" si="5"/>
        <v>0</v>
      </c>
      <c r="G106">
        <f t="shared" ca="1" si="6"/>
        <v>0</v>
      </c>
      <c r="H106">
        <f t="shared" ca="1" si="16"/>
        <v>13</v>
      </c>
      <c r="I106">
        <f t="shared" ca="1" si="17"/>
        <v>2</v>
      </c>
      <c r="J106" s="356" t="s">
        <v>100</v>
      </c>
      <c r="K106" s="138" t="str">
        <f t="shared" ca="1" si="9"/>
        <v>4.6.</v>
      </c>
      <c r="L106" s="357"/>
      <c r="M106" s="357"/>
      <c r="N106" s="358" t="s">
        <v>271</v>
      </c>
      <c r="O106" s="359" t="s">
        <v>106</v>
      </c>
      <c r="P106" s="360"/>
      <c r="Q106" s="195"/>
      <c r="R106" s="198" t="s">
        <v>7</v>
      </c>
      <c r="S106" s="103">
        <f t="shared" si="10"/>
        <v>0</v>
      </c>
      <c r="T106" s="83">
        <f t="shared" ca="1" si="11"/>
        <v>0</v>
      </c>
      <c r="U106" s="9" t="str">
        <f t="shared" ca="1" si="12"/>
        <v>SEM VALOR</v>
      </c>
      <c r="V106" s="1">
        <f ca="1">IF(OR($A106=0,$A106="S",$A106&gt;CFF!$A$9),"",MAX(V$12:OFFSET(V106,-1,0))+1)</f>
        <v>18</v>
      </c>
      <c r="W106" s="4" t="b">
        <f t="shared" si="13"/>
        <v>0</v>
      </c>
      <c r="X106" s="1" t="str">
        <f t="shared" ca="1" si="18"/>
        <v>X</v>
      </c>
      <c r="Y106" s="103">
        <v>0</v>
      </c>
      <c r="Z106" s="113">
        <f ca="1">ROUND(IF(ISNUMBER(R106),R106,IF(LEFT(R106,3)="BDI",HLOOKUP(R106,DADOS!$T$37:$X$38,2,FALSE),0)),15-11*$X$5)</f>
        <v>0.25</v>
      </c>
      <c r="AA106" s="1"/>
    </row>
    <row r="107" spans="1:27" ht="39.6" x14ac:dyDescent="0.25">
      <c r="A107" t="str">
        <f t="shared" si="0"/>
        <v>S</v>
      </c>
      <c r="B107">
        <f t="shared" si="1"/>
        <v>0</v>
      </c>
      <c r="C107">
        <f t="shared" ca="1" si="2"/>
        <v>4</v>
      </c>
      <c r="D107">
        <f t="shared" ca="1" si="3"/>
        <v>6</v>
      </c>
      <c r="E107">
        <f t="shared" ca="1" si="4"/>
        <v>0</v>
      </c>
      <c r="F107">
        <f t="shared" ca="1" si="5"/>
        <v>0</v>
      </c>
      <c r="G107">
        <f t="shared" ca="1" si="6"/>
        <v>1</v>
      </c>
      <c r="H107">
        <f t="shared" ca="1" si="16"/>
        <v>0</v>
      </c>
      <c r="I107">
        <f t="shared" ca="1" si="17"/>
        <v>0</v>
      </c>
      <c r="J107" s="356" t="s">
        <v>103</v>
      </c>
      <c r="K107" s="138" t="str">
        <f t="shared" ca="1" si="9"/>
        <v>4.6.0.1.</v>
      </c>
      <c r="L107" s="357" t="s">
        <v>233</v>
      </c>
      <c r="M107" s="357" t="s">
        <v>272</v>
      </c>
      <c r="N107" s="358" t="s">
        <v>966</v>
      </c>
      <c r="O107" s="359" t="s">
        <v>892</v>
      </c>
      <c r="P107" s="360">
        <v>9693.31</v>
      </c>
      <c r="Q107" s="195"/>
      <c r="R107" s="198" t="s">
        <v>7</v>
      </c>
      <c r="S107" s="103">
        <f t="shared" si="10"/>
        <v>0</v>
      </c>
      <c r="T107" s="83">
        <f t="shared" si="11"/>
        <v>0</v>
      </c>
      <c r="U107" s="9" t="str">
        <f t="shared" si="12"/>
        <v>SEM VALOR</v>
      </c>
      <c r="V107" s="1" t="str">
        <f ca="1">IF(OR($A107=0,$A107="S",$A107&gt;CFF!$A$9),"",MAX(V$12:OFFSET(V107,-1,0))+1)</f>
        <v/>
      </c>
      <c r="W107" s="4" t="str">
        <f t="shared" si="13"/>
        <v>SINAPI-100775</v>
      </c>
      <c r="X107" s="1">
        <f t="shared" ca="1" si="18"/>
        <v>2838</v>
      </c>
      <c r="Y107" s="103">
        <v>21.4</v>
      </c>
      <c r="Z107" s="113">
        <f ca="1">ROUND(IF(ISNUMBER(R107),R107,IF(LEFT(R107,3)="BDI",HLOOKUP(R107,DADOS!$T$37:$X$38,2,FALSE),0)),15-11*$X$5)</f>
        <v>0.25</v>
      </c>
      <c r="AA107" s="1"/>
    </row>
    <row r="108" spans="1:27" x14ac:dyDescent="0.25">
      <c r="A108">
        <f t="shared" si="0"/>
        <v>2</v>
      </c>
      <c r="B108">
        <f t="shared" ca="1" si="1"/>
        <v>11</v>
      </c>
      <c r="C108">
        <f t="shared" ca="1" si="2"/>
        <v>4</v>
      </c>
      <c r="D108">
        <f t="shared" ca="1" si="3"/>
        <v>7</v>
      </c>
      <c r="E108">
        <f t="shared" ca="1" si="4"/>
        <v>0</v>
      </c>
      <c r="F108">
        <f t="shared" ca="1" si="5"/>
        <v>0</v>
      </c>
      <c r="G108">
        <f t="shared" ca="1" si="6"/>
        <v>0</v>
      </c>
      <c r="H108">
        <f t="shared" ca="1" si="16"/>
        <v>11</v>
      </c>
      <c r="I108">
        <f t="shared" ca="1" si="17"/>
        <v>475</v>
      </c>
      <c r="J108" s="356" t="s">
        <v>100</v>
      </c>
      <c r="K108" s="138" t="str">
        <f t="shared" ca="1" si="9"/>
        <v>4.7.</v>
      </c>
      <c r="L108" s="357"/>
      <c r="M108" s="357"/>
      <c r="N108" s="358" t="s">
        <v>273</v>
      </c>
      <c r="O108" s="359" t="s">
        <v>106</v>
      </c>
      <c r="P108" s="360"/>
      <c r="Q108" s="195"/>
      <c r="R108" s="198" t="s">
        <v>7</v>
      </c>
      <c r="S108" s="103">
        <f t="shared" si="10"/>
        <v>0</v>
      </c>
      <c r="T108" s="83">
        <f t="shared" ca="1" si="11"/>
        <v>0</v>
      </c>
      <c r="U108" s="9" t="str">
        <f t="shared" ca="1" si="12"/>
        <v>SEM VALOR</v>
      </c>
      <c r="V108" s="1">
        <f ca="1">IF(OR($A108=0,$A108="S",$A108&gt;CFF!$A$9),"",MAX(V$12:OFFSET(V108,-1,0))+1)</f>
        <v>19</v>
      </c>
      <c r="W108" s="4" t="b">
        <f t="shared" si="13"/>
        <v>0</v>
      </c>
      <c r="X108" s="1" t="str">
        <f t="shared" ca="1" si="14"/>
        <v>X</v>
      </c>
      <c r="Y108" s="103">
        <v>0</v>
      </c>
      <c r="Z108" s="113">
        <f ca="1">ROUND(IF(ISNUMBER(R108),R108,IF(LEFT(R108,3)="BDI",HLOOKUP(R108,DADOS!$T$37:$X$38,2,FALSE),0)),15-11*$X$5)</f>
        <v>0.25</v>
      </c>
      <c r="AA108" s="1"/>
    </row>
    <row r="109" spans="1:27" x14ac:dyDescent="0.25">
      <c r="A109">
        <f t="shared" si="0"/>
        <v>3</v>
      </c>
      <c r="B109">
        <f t="shared" ca="1" si="1"/>
        <v>5</v>
      </c>
      <c r="C109">
        <f t="shared" ca="1" si="2"/>
        <v>4</v>
      </c>
      <c r="D109">
        <f t="shared" ca="1" si="3"/>
        <v>7</v>
      </c>
      <c r="E109">
        <f t="shared" ca="1" si="4"/>
        <v>1</v>
      </c>
      <c r="F109">
        <f t="shared" ca="1" si="5"/>
        <v>0</v>
      </c>
      <c r="G109">
        <f t="shared" ca="1" si="6"/>
        <v>0</v>
      </c>
      <c r="H109">
        <f t="shared" ca="1" si="16"/>
        <v>10</v>
      </c>
      <c r="I109">
        <f t="shared" ca="1" si="17"/>
        <v>5</v>
      </c>
      <c r="J109" s="356" t="s">
        <v>101</v>
      </c>
      <c r="K109" s="138" t="str">
        <f t="shared" ca="1" si="9"/>
        <v>4.7.1.</v>
      </c>
      <c r="L109" s="357"/>
      <c r="M109" s="357"/>
      <c r="N109" s="358" t="s">
        <v>274</v>
      </c>
      <c r="O109" s="359" t="s">
        <v>106</v>
      </c>
      <c r="P109" s="360"/>
      <c r="Q109" s="195"/>
      <c r="R109" s="198" t="s">
        <v>7</v>
      </c>
      <c r="S109" s="103">
        <f t="shared" si="10"/>
        <v>0</v>
      </c>
      <c r="T109" s="83">
        <f t="shared" ca="1" si="11"/>
        <v>0</v>
      </c>
      <c r="U109" s="9" t="str">
        <f t="shared" ca="1" si="12"/>
        <v>SEM VALOR</v>
      </c>
      <c r="V109" s="1" t="str">
        <f ca="1">IF(OR($A109=0,$A109="S",$A109&gt;CFF!$A$9),"",MAX(V$12:OFFSET(V109,-1,0))+1)</f>
        <v/>
      </c>
      <c r="W109" s="4" t="b">
        <f t="shared" si="13"/>
        <v>0</v>
      </c>
      <c r="X109" s="1" t="str">
        <f t="shared" ca="1" si="14"/>
        <v>X</v>
      </c>
      <c r="Y109" s="103">
        <v>0</v>
      </c>
      <c r="Z109" s="113">
        <f ca="1">ROUND(IF(ISNUMBER(R109),R109,IF(LEFT(R109,3)="BDI",HLOOKUP(R109,DADOS!$T$37:$X$38,2,FALSE),0)),15-11*$X$5)</f>
        <v>0.25</v>
      </c>
      <c r="AA109" s="1"/>
    </row>
    <row r="110" spans="1:27" ht="26.4" x14ac:dyDescent="0.25">
      <c r="A110" t="str">
        <f t="shared" si="0"/>
        <v>S</v>
      </c>
      <c r="B110">
        <f t="shared" si="1"/>
        <v>0</v>
      </c>
      <c r="C110">
        <f t="shared" ca="1" si="2"/>
        <v>4</v>
      </c>
      <c r="D110">
        <f t="shared" ca="1" si="3"/>
        <v>7</v>
      </c>
      <c r="E110">
        <f t="shared" ca="1" si="4"/>
        <v>1</v>
      </c>
      <c r="F110">
        <f t="shared" ca="1" si="5"/>
        <v>0</v>
      </c>
      <c r="G110">
        <f t="shared" ca="1" si="6"/>
        <v>1</v>
      </c>
      <c r="H110">
        <f t="shared" ca="1" si="16"/>
        <v>0</v>
      </c>
      <c r="I110">
        <f t="shared" ca="1" si="17"/>
        <v>0</v>
      </c>
      <c r="J110" s="356" t="s">
        <v>103</v>
      </c>
      <c r="K110" s="138" t="str">
        <f t="shared" ca="1" si="9"/>
        <v>4.7.1.1.</v>
      </c>
      <c r="L110" s="357" t="s">
        <v>233</v>
      </c>
      <c r="M110" s="357" t="s">
        <v>275</v>
      </c>
      <c r="N110" s="358" t="s">
        <v>967</v>
      </c>
      <c r="O110" s="359" t="s">
        <v>635</v>
      </c>
      <c r="P110" s="360">
        <v>783.72</v>
      </c>
      <c r="Q110" s="195"/>
      <c r="R110" s="198" t="s">
        <v>7</v>
      </c>
      <c r="S110" s="103">
        <f t="shared" si="10"/>
        <v>0</v>
      </c>
      <c r="T110" s="83">
        <f t="shared" si="11"/>
        <v>0</v>
      </c>
      <c r="U110" s="9" t="str">
        <f t="shared" si="12"/>
        <v>SEM VALOR</v>
      </c>
      <c r="V110" s="1" t="str">
        <f ca="1">IF(OR($A110=0,$A110="S",$A110&gt;CFF!$A$9),"",MAX(V$12:OFFSET(V110,-1,0))+1)</f>
        <v/>
      </c>
      <c r="W110" s="4" t="str">
        <f t="shared" si="13"/>
        <v>SINAPI-97083</v>
      </c>
      <c r="X110" s="1">
        <f t="shared" ca="1" si="14"/>
        <v>2331</v>
      </c>
      <c r="Y110" s="103">
        <v>4.3600000000000003</v>
      </c>
      <c r="Z110" s="113">
        <f ca="1">ROUND(IF(ISNUMBER(R110),R110,IF(LEFT(R110,3)="BDI",HLOOKUP(R110,DADOS!$T$37:$X$38,2,FALSE),0)),15-11*$X$5)</f>
        <v>0.25</v>
      </c>
      <c r="AA110" s="1"/>
    </row>
    <row r="111" spans="1:27" ht="26.4" x14ac:dyDescent="0.25">
      <c r="A111" t="str">
        <f t="shared" si="0"/>
        <v>S</v>
      </c>
      <c r="B111">
        <f t="shared" si="1"/>
        <v>0</v>
      </c>
      <c r="C111">
        <f t="shared" ca="1" si="2"/>
        <v>4</v>
      </c>
      <c r="D111">
        <f t="shared" ca="1" si="3"/>
        <v>7</v>
      </c>
      <c r="E111">
        <f t="shared" ca="1" si="4"/>
        <v>1</v>
      </c>
      <c r="F111">
        <f t="shared" ca="1" si="5"/>
        <v>0</v>
      </c>
      <c r="G111">
        <f t="shared" ca="1" si="6"/>
        <v>2</v>
      </c>
      <c r="H111">
        <f t="shared" ca="1" si="16"/>
        <v>0</v>
      </c>
      <c r="I111">
        <f t="shared" ca="1" si="17"/>
        <v>0</v>
      </c>
      <c r="J111" s="356" t="s">
        <v>103</v>
      </c>
      <c r="K111" s="138" t="str">
        <f t="shared" ca="1" si="9"/>
        <v>4.7.1.2.</v>
      </c>
      <c r="L111" s="357" t="s">
        <v>233</v>
      </c>
      <c r="M111" s="357" t="s">
        <v>276</v>
      </c>
      <c r="N111" s="358" t="s">
        <v>968</v>
      </c>
      <c r="O111" s="359" t="s">
        <v>660</v>
      </c>
      <c r="P111" s="360">
        <f>P110*0.05</f>
        <v>39.186000000000007</v>
      </c>
      <c r="Q111" s="195"/>
      <c r="R111" s="198" t="s">
        <v>7</v>
      </c>
      <c r="S111" s="103">
        <f t="shared" si="10"/>
        <v>0</v>
      </c>
      <c r="T111" s="83">
        <f t="shared" si="11"/>
        <v>0</v>
      </c>
      <c r="U111" s="9" t="str">
        <f t="shared" si="12"/>
        <v>SEM VALOR</v>
      </c>
      <c r="V111" s="1" t="str">
        <f ca="1">IF(OR($A111=0,$A111="S",$A111&gt;CFF!$A$9),"",MAX(V$12:OFFSET(V111,-1,0))+1)</f>
        <v/>
      </c>
      <c r="W111" s="4" t="str">
        <f t="shared" si="13"/>
        <v>SINAPI-96622</v>
      </c>
      <c r="X111" s="1">
        <f t="shared" ca="1" si="14"/>
        <v>2327</v>
      </c>
      <c r="Y111" s="103">
        <v>245.54</v>
      </c>
      <c r="Z111" s="113">
        <f ca="1">ROUND(IF(ISNUMBER(R111),R111,IF(LEFT(R111,3)="BDI",HLOOKUP(R111,DADOS!$T$37:$X$38,2,FALSE),0)),15-11*$X$5)</f>
        <v>0.25</v>
      </c>
      <c r="AA111" s="1"/>
    </row>
    <row r="112" spans="1:27" ht="26.4" x14ac:dyDescent="0.25">
      <c r="A112" t="str">
        <f t="shared" si="0"/>
        <v>S</v>
      </c>
      <c r="B112">
        <f t="shared" si="1"/>
        <v>0</v>
      </c>
      <c r="C112">
        <f t="shared" ca="1" si="2"/>
        <v>4</v>
      </c>
      <c r="D112">
        <f t="shared" ca="1" si="3"/>
        <v>7</v>
      </c>
      <c r="E112">
        <f t="shared" ca="1" si="4"/>
        <v>1</v>
      </c>
      <c r="F112">
        <f t="shared" ca="1" si="5"/>
        <v>0</v>
      </c>
      <c r="G112">
        <f t="shared" ca="1" si="6"/>
        <v>3</v>
      </c>
      <c r="H112">
        <f t="shared" ca="1" si="16"/>
        <v>0</v>
      </c>
      <c r="I112">
        <f t="shared" ca="1" si="17"/>
        <v>0</v>
      </c>
      <c r="J112" s="356" t="s">
        <v>103</v>
      </c>
      <c r="K112" s="138" t="str">
        <f t="shared" ca="1" si="9"/>
        <v>4.7.1.3.</v>
      </c>
      <c r="L112" s="357" t="s">
        <v>233</v>
      </c>
      <c r="M112" s="357" t="s">
        <v>277</v>
      </c>
      <c r="N112" s="358" t="s">
        <v>969</v>
      </c>
      <c r="O112" s="359" t="s">
        <v>635</v>
      </c>
      <c r="P112" s="360">
        <v>783.72</v>
      </c>
      <c r="Q112" s="195"/>
      <c r="R112" s="198" t="s">
        <v>7</v>
      </c>
      <c r="S112" s="103">
        <f t="shared" si="10"/>
        <v>0</v>
      </c>
      <c r="T112" s="83">
        <f t="shared" si="11"/>
        <v>0</v>
      </c>
      <c r="U112" s="9" t="str">
        <f t="shared" si="12"/>
        <v>SEM VALOR</v>
      </c>
      <c r="V112" s="1" t="str">
        <f ca="1">IF(OR($A112=0,$A112="S",$A112&gt;CFF!$A$9),"",MAX(V$12:OFFSET(V112,-1,0))+1)</f>
        <v/>
      </c>
      <c r="W112" s="4" t="str">
        <f t="shared" si="13"/>
        <v>SINAPI-97087</v>
      </c>
      <c r="X112" s="1">
        <f t="shared" ca="1" si="14"/>
        <v>2334</v>
      </c>
      <c r="Y112" s="103">
        <v>4.18</v>
      </c>
      <c r="Z112" s="113">
        <f ca="1">ROUND(IF(ISNUMBER(R112),R112,IF(LEFT(R112,3)="BDI",HLOOKUP(R112,DADOS!$T$37:$X$38,2,FALSE),0)),15-11*$X$5)</f>
        <v>0.25</v>
      </c>
      <c r="AA112" s="1"/>
    </row>
    <row r="113" spans="1:27" ht="26.4" x14ac:dyDescent="0.25">
      <c r="A113" t="str">
        <f t="shared" ref="A113:A118" si="19">CHOOSE(1+LOG(1+2*(J113="Meta")+4*(J113="Nível 2")+8*(J113="Nível 3")+16*(J113="Nível 4")+32*(J113="Serviço"),2),0,1,2,3,4,"S")</f>
        <v>S</v>
      </c>
      <c r="B113">
        <f t="shared" ref="B113:B118" si="20">IF(OR(A113="S",A113=0),0,IF(ISERROR(I113),H113,SMALL(H113:I113,1)))</f>
        <v>0</v>
      </c>
      <c r="C113">
        <f t="shared" ref="C113:C118" ca="1" si="21">IF($A113=1,OFFSET(C113,-1,0)+1,OFFSET(C113,-1,0))</f>
        <v>4</v>
      </c>
      <c r="D113">
        <f t="shared" ref="D113:D118" ca="1" si="22">IF($A113=1,0,IF($A113=2,OFFSET(D113,-1,0)+1,OFFSET(D113,-1,0)))</f>
        <v>7</v>
      </c>
      <c r="E113">
        <f t="shared" ref="E113:E118" ca="1" si="23">IF(AND($A113&lt;=2,$A113&lt;&gt;0),0,IF($A113=3,OFFSET(E113,-1,0)+1,OFFSET(E113,-1,0)))</f>
        <v>1</v>
      </c>
      <c r="F113">
        <f t="shared" ref="F113:F118" ca="1" si="24">IF(AND($A113&lt;=3,$A113&lt;&gt;0),0,IF($A113=4,OFFSET(F113,-1,0)+1,OFFSET(F113,-1,0)))</f>
        <v>0</v>
      </c>
      <c r="G113">
        <f t="shared" ref="G113:G118" ca="1" si="25">IF(AND($A113&lt;=4,$A113&lt;&gt;0),0,IF($A113="S",OFFSET(G113,-1,0)+1,OFFSET(G113,-1,0)))</f>
        <v>4</v>
      </c>
      <c r="H113">
        <f t="shared" ca="1" si="16"/>
        <v>0</v>
      </c>
      <c r="I113">
        <f t="shared" ca="1" si="17"/>
        <v>0</v>
      </c>
      <c r="J113" s="356" t="s">
        <v>103</v>
      </c>
      <c r="K113" s="138" t="str">
        <f t="shared" ref="K113:K118" ca="1" si="26">IF($A113=0,"-",CONCATENATE(C113&amp;".",IF(AND($A$5&gt;=2,$A113&gt;=2),D113&amp;".",""),IF(AND($A$5&gt;=3,$A113&gt;=3),E113&amp;".",""),IF(AND($A$5&gt;=4,$A113&gt;=4),F113&amp;".",""),IF($A113="S",G113&amp;".","")))</f>
        <v>4.7.1.4.</v>
      </c>
      <c r="L113" s="357" t="s">
        <v>233</v>
      </c>
      <c r="M113" s="357" t="s">
        <v>692</v>
      </c>
      <c r="N113" s="358" t="s">
        <v>970</v>
      </c>
      <c r="O113" s="359" t="s">
        <v>660</v>
      </c>
      <c r="P113" s="360">
        <v>54.86</v>
      </c>
      <c r="Q113" s="195"/>
      <c r="R113" s="198" t="s">
        <v>7</v>
      </c>
      <c r="S113" s="103">
        <f t="shared" ref="S113:S118" si="27">IF($A113="S",IF($Q$10="Preço Unitário (R$)",PO.CustoUnitario,ROUND(PO.CustoUnitario*(1+$Z113),15-13*$X$6)),0)</f>
        <v>0</v>
      </c>
      <c r="T113" s="83">
        <f t="shared" ref="T113:T118" si="28">IF($A113="S",VTOTAL1,IF($A113=0,0,ROUND(SomaAgrup,15-13*$X$7)))</f>
        <v>0</v>
      </c>
      <c r="U113" s="9" t="str">
        <f t="shared" ref="U113:U118" si="29">IF($J113="","",IF($N113="","DESCRIÇÃO",IF(AND($J113="Serviço",$O113=""),"UNIDADE",IF($T113&lt;=0,"SEM VALOR",IF(AND($Y113&lt;&gt;"",$Q113&gt;$Y113),"ACIMA REF.","")))))</f>
        <v>SEM VALOR</v>
      </c>
      <c r="V113" s="1" t="str">
        <f ca="1">IF(OR($A113=0,$A113="S",$A113&gt;CFF!$A$9),"",MAX(V$12:OFFSET(V113,-1,0))+1)</f>
        <v/>
      </c>
      <c r="W113" s="4" t="str">
        <f t="shared" ref="W113:W118" si="30">IF(AND($J113="Serviço",$M113&lt;&gt;""),IF($L113="",$M113,CONCATENATE($L113,"-",$M113)))</f>
        <v>SINAPI-94991</v>
      </c>
      <c r="X113" s="1">
        <f t="shared" ca="1" si="14"/>
        <v>6464</v>
      </c>
      <c r="Y113" s="103">
        <v>922.08</v>
      </c>
      <c r="Z113" s="113">
        <f ca="1">ROUND(IF(ISNUMBER(R113),R113,IF(LEFT(R113,3)="BDI",HLOOKUP(R113,DADOS!$T$37:$X$38,2,FALSE),0)),15-11*$X$5)</f>
        <v>0.25</v>
      </c>
      <c r="AA113" s="1"/>
    </row>
    <row r="114" spans="1:27" x14ac:dyDescent="0.25">
      <c r="A114">
        <f t="shared" si="19"/>
        <v>3</v>
      </c>
      <c r="B114">
        <f t="shared" ca="1" si="20"/>
        <v>5</v>
      </c>
      <c r="C114">
        <f t="shared" ca="1" si="21"/>
        <v>4</v>
      </c>
      <c r="D114">
        <f t="shared" ca="1" si="22"/>
        <v>7</v>
      </c>
      <c r="E114">
        <f t="shared" ca="1" si="23"/>
        <v>2</v>
      </c>
      <c r="F114">
        <f t="shared" ca="1" si="24"/>
        <v>0</v>
      </c>
      <c r="G114">
        <f t="shared" ca="1" si="25"/>
        <v>0</v>
      </c>
      <c r="H114">
        <f t="shared" ca="1" si="16"/>
        <v>5</v>
      </c>
      <c r="I114" t="e">
        <f t="shared" ca="1" si="17"/>
        <v>#N/A</v>
      </c>
      <c r="J114" s="356" t="s">
        <v>101</v>
      </c>
      <c r="K114" s="138" t="str">
        <f t="shared" ca="1" si="26"/>
        <v>4.7.2.</v>
      </c>
      <c r="L114" s="357"/>
      <c r="M114" s="357"/>
      <c r="N114" s="358" t="s">
        <v>351</v>
      </c>
      <c r="O114" s="359" t="s">
        <v>106</v>
      </c>
      <c r="P114" s="360"/>
      <c r="Q114" s="195"/>
      <c r="R114" s="198" t="s">
        <v>7</v>
      </c>
      <c r="S114" s="103">
        <f t="shared" si="27"/>
        <v>0</v>
      </c>
      <c r="T114" s="83">
        <f t="shared" ca="1" si="28"/>
        <v>0</v>
      </c>
      <c r="U114" s="9" t="str">
        <f t="shared" ca="1" si="29"/>
        <v>SEM VALOR</v>
      </c>
      <c r="V114" s="1" t="str">
        <f ca="1">IF(OR($A114=0,$A114="S",$A114&gt;CFF!$A$9),"",MAX(V$12:OFFSET(V114,-1,0))+1)</f>
        <v/>
      </c>
      <c r="W114" s="4" t="b">
        <f t="shared" si="30"/>
        <v>0</v>
      </c>
      <c r="X114" s="1" t="str">
        <f t="shared" ca="1" si="14"/>
        <v>X</v>
      </c>
      <c r="Y114" s="103">
        <v>0</v>
      </c>
      <c r="Z114" s="113">
        <f ca="1">ROUND(IF(ISNUMBER(R114),R114,IF(LEFT(R114,3)="BDI",HLOOKUP(R114,DADOS!$T$37:$X$38,2,FALSE),0)),15-11*$X$5)</f>
        <v>0.25</v>
      </c>
      <c r="AA114" s="1"/>
    </row>
    <row r="115" spans="1:27" ht="26.4" x14ac:dyDescent="0.25">
      <c r="A115" t="str">
        <f t="shared" si="19"/>
        <v>S</v>
      </c>
      <c r="B115">
        <f t="shared" si="20"/>
        <v>0</v>
      </c>
      <c r="C115">
        <f t="shared" ca="1" si="21"/>
        <v>4</v>
      </c>
      <c r="D115">
        <f t="shared" ca="1" si="22"/>
        <v>7</v>
      </c>
      <c r="E115">
        <f t="shared" ca="1" si="23"/>
        <v>2</v>
      </c>
      <c r="F115">
        <f t="shared" ca="1" si="24"/>
        <v>0</v>
      </c>
      <c r="G115">
        <f t="shared" ca="1" si="25"/>
        <v>1</v>
      </c>
      <c r="H115">
        <f t="shared" ca="1" si="16"/>
        <v>0</v>
      </c>
      <c r="I115">
        <f t="shared" ca="1" si="17"/>
        <v>0</v>
      </c>
      <c r="J115" s="356" t="s">
        <v>103</v>
      </c>
      <c r="K115" s="138" t="str">
        <f t="shared" ca="1" si="26"/>
        <v>4.7.2.1.</v>
      </c>
      <c r="L115" s="357" t="s">
        <v>233</v>
      </c>
      <c r="M115" s="357" t="s">
        <v>275</v>
      </c>
      <c r="N115" s="358" t="s">
        <v>967</v>
      </c>
      <c r="O115" s="359" t="s">
        <v>635</v>
      </c>
      <c r="P115" s="360">
        <v>254.8</v>
      </c>
      <c r="Q115" s="195"/>
      <c r="R115" s="198" t="s">
        <v>7</v>
      </c>
      <c r="S115" s="103">
        <f t="shared" si="27"/>
        <v>0</v>
      </c>
      <c r="T115" s="83">
        <f t="shared" si="28"/>
        <v>0</v>
      </c>
      <c r="U115" s="9" t="str">
        <f t="shared" si="29"/>
        <v>SEM VALOR</v>
      </c>
      <c r="V115" s="1" t="str">
        <f ca="1">IF(OR($A115=0,$A115="S",$A115&gt;CFF!$A$9),"",MAX(V$12:OFFSET(V115,-1,0))+1)</f>
        <v/>
      </c>
      <c r="W115" s="4" t="str">
        <f t="shared" si="30"/>
        <v>SINAPI-97083</v>
      </c>
      <c r="X115" s="1">
        <f t="shared" ca="1" si="14"/>
        <v>2331</v>
      </c>
      <c r="Y115" s="103">
        <v>4.3600000000000003</v>
      </c>
      <c r="Z115" s="113">
        <f ca="1">ROUND(IF(ISNUMBER(R115),R115,IF(LEFT(R115,3)="BDI",HLOOKUP(R115,DADOS!$T$37:$X$38,2,FALSE),0)),15-11*$X$5)</f>
        <v>0.25</v>
      </c>
      <c r="AA115" s="1"/>
    </row>
    <row r="116" spans="1:27" ht="26.4" x14ac:dyDescent="0.25">
      <c r="A116" t="str">
        <f t="shared" si="19"/>
        <v>S</v>
      </c>
      <c r="B116">
        <f t="shared" si="20"/>
        <v>0</v>
      </c>
      <c r="C116">
        <f t="shared" ca="1" si="21"/>
        <v>4</v>
      </c>
      <c r="D116">
        <f t="shared" ca="1" si="22"/>
        <v>7</v>
      </c>
      <c r="E116">
        <f t="shared" ca="1" si="23"/>
        <v>2</v>
      </c>
      <c r="F116">
        <f t="shared" ca="1" si="24"/>
        <v>0</v>
      </c>
      <c r="G116">
        <f t="shared" ca="1" si="25"/>
        <v>2</v>
      </c>
      <c r="H116">
        <f t="shared" ca="1" si="16"/>
        <v>0</v>
      </c>
      <c r="I116">
        <f t="shared" ca="1" si="17"/>
        <v>0</v>
      </c>
      <c r="J116" s="356" t="s">
        <v>103</v>
      </c>
      <c r="K116" s="138" t="str">
        <f t="shared" ca="1" si="26"/>
        <v>4.7.2.2.</v>
      </c>
      <c r="L116" s="357" t="s">
        <v>233</v>
      </c>
      <c r="M116" s="357" t="s">
        <v>276</v>
      </c>
      <c r="N116" s="358" t="s">
        <v>968</v>
      </c>
      <c r="O116" s="359" t="s">
        <v>660</v>
      </c>
      <c r="P116" s="360">
        <v>12.74</v>
      </c>
      <c r="Q116" s="195"/>
      <c r="R116" s="198" t="s">
        <v>7</v>
      </c>
      <c r="S116" s="103">
        <f t="shared" si="27"/>
        <v>0</v>
      </c>
      <c r="T116" s="83">
        <f t="shared" si="28"/>
        <v>0</v>
      </c>
      <c r="U116" s="9" t="str">
        <f t="shared" si="29"/>
        <v>SEM VALOR</v>
      </c>
      <c r="V116" s="1" t="str">
        <f ca="1">IF(OR($A116=0,$A116="S",$A116&gt;CFF!$A$9),"",MAX(V$12:OFFSET(V116,-1,0))+1)</f>
        <v/>
      </c>
      <c r="W116" s="4" t="str">
        <f t="shared" si="30"/>
        <v>SINAPI-96622</v>
      </c>
      <c r="X116" s="1">
        <f t="shared" ca="1" si="14"/>
        <v>2327</v>
      </c>
      <c r="Y116" s="103">
        <v>245.54</v>
      </c>
      <c r="Z116" s="113">
        <f ca="1">ROUND(IF(ISNUMBER(R116),R116,IF(LEFT(R116,3)="BDI",HLOOKUP(R116,DADOS!$T$37:$X$38,2,FALSE),0)),15-11*$X$5)</f>
        <v>0.25</v>
      </c>
      <c r="AA116" s="1"/>
    </row>
    <row r="117" spans="1:27" ht="26.4" x14ac:dyDescent="0.25">
      <c r="A117" t="str">
        <f t="shared" si="19"/>
        <v>S</v>
      </c>
      <c r="B117">
        <f t="shared" si="20"/>
        <v>0</v>
      </c>
      <c r="C117">
        <f t="shared" ca="1" si="21"/>
        <v>4</v>
      </c>
      <c r="D117">
        <f t="shared" ca="1" si="22"/>
        <v>7</v>
      </c>
      <c r="E117">
        <f t="shared" ca="1" si="23"/>
        <v>2</v>
      </c>
      <c r="F117">
        <f t="shared" ca="1" si="24"/>
        <v>0</v>
      </c>
      <c r="G117">
        <f t="shared" ca="1" si="25"/>
        <v>3</v>
      </c>
      <c r="H117">
        <f t="shared" ca="1" si="16"/>
        <v>0</v>
      </c>
      <c r="I117">
        <f t="shared" ca="1" si="17"/>
        <v>0</v>
      </c>
      <c r="J117" s="356" t="s">
        <v>103</v>
      </c>
      <c r="K117" s="138" t="str">
        <f t="shared" ca="1" si="26"/>
        <v>4.7.2.3.</v>
      </c>
      <c r="L117" s="357" t="s">
        <v>233</v>
      </c>
      <c r="M117" s="357" t="s">
        <v>277</v>
      </c>
      <c r="N117" s="358" t="s">
        <v>969</v>
      </c>
      <c r="O117" s="359" t="s">
        <v>635</v>
      </c>
      <c r="P117" s="360">
        <f>P115</f>
        <v>254.8</v>
      </c>
      <c r="Q117" s="195"/>
      <c r="R117" s="198" t="s">
        <v>7</v>
      </c>
      <c r="S117" s="103">
        <f t="shared" si="27"/>
        <v>0</v>
      </c>
      <c r="T117" s="83">
        <f t="shared" si="28"/>
        <v>0</v>
      </c>
      <c r="U117" s="9" t="str">
        <f t="shared" si="29"/>
        <v>SEM VALOR</v>
      </c>
      <c r="V117" s="1" t="str">
        <f ca="1">IF(OR($A117=0,$A117="S",$A117&gt;CFF!$A$9),"",MAX(V$12:OFFSET(V117,-1,0))+1)</f>
        <v/>
      </c>
      <c r="W117" s="4" t="str">
        <f t="shared" si="30"/>
        <v>SINAPI-97087</v>
      </c>
      <c r="X117" s="1">
        <f t="shared" ca="1" si="14"/>
        <v>2334</v>
      </c>
      <c r="Y117" s="103">
        <v>4.18</v>
      </c>
      <c r="Z117" s="113">
        <f ca="1">ROUND(IF(ISNUMBER(R117),R117,IF(LEFT(R117,3)="BDI",HLOOKUP(R117,DADOS!$T$37:$X$38,2,FALSE),0)),15-11*$X$5)</f>
        <v>0.25</v>
      </c>
      <c r="AA117" s="1"/>
    </row>
    <row r="118" spans="1:27" ht="26.4" x14ac:dyDescent="0.25">
      <c r="A118" t="str">
        <f t="shared" si="19"/>
        <v>S</v>
      </c>
      <c r="B118">
        <f t="shared" si="20"/>
        <v>0</v>
      </c>
      <c r="C118">
        <f t="shared" ca="1" si="21"/>
        <v>4</v>
      </c>
      <c r="D118">
        <f t="shared" ca="1" si="22"/>
        <v>7</v>
      </c>
      <c r="E118">
        <f t="shared" ca="1" si="23"/>
        <v>2</v>
      </c>
      <c r="F118">
        <f t="shared" ca="1" si="24"/>
        <v>0</v>
      </c>
      <c r="G118">
        <f t="shared" ca="1" si="25"/>
        <v>4</v>
      </c>
      <c r="H118">
        <f t="shared" ca="1" si="16"/>
        <v>0</v>
      </c>
      <c r="I118">
        <f t="shared" ca="1" si="17"/>
        <v>0</v>
      </c>
      <c r="J118" s="356" t="s">
        <v>103</v>
      </c>
      <c r="K118" s="138" t="str">
        <f t="shared" ca="1" si="26"/>
        <v>4.7.2.4.</v>
      </c>
      <c r="L118" s="357" t="s">
        <v>233</v>
      </c>
      <c r="M118" s="357" t="s">
        <v>692</v>
      </c>
      <c r="N118" s="358" t="s">
        <v>970</v>
      </c>
      <c r="O118" s="359" t="s">
        <v>660</v>
      </c>
      <c r="P118" s="360">
        <v>17.84</v>
      </c>
      <c r="Q118" s="195"/>
      <c r="R118" s="198" t="s">
        <v>7</v>
      </c>
      <c r="S118" s="103">
        <f t="shared" si="27"/>
        <v>0</v>
      </c>
      <c r="T118" s="83">
        <f t="shared" si="28"/>
        <v>0</v>
      </c>
      <c r="U118" s="9" t="str">
        <f t="shared" si="29"/>
        <v>SEM VALOR</v>
      </c>
      <c r="V118" s="1" t="str">
        <f ca="1">IF(OR($A118=0,$A118="S",$A118&gt;CFF!$A$9),"",MAX(V$12:OFFSET(V118,-1,0))+1)</f>
        <v/>
      </c>
      <c r="W118" s="4" t="str">
        <f t="shared" si="30"/>
        <v>SINAPI-94991</v>
      </c>
      <c r="X118" s="1">
        <f t="shared" ca="1" si="14"/>
        <v>6464</v>
      </c>
      <c r="Y118" s="103">
        <v>922.08</v>
      </c>
      <c r="Z118" s="113">
        <f ca="1">ROUND(IF(ISNUMBER(R118),R118,IF(LEFT(R118,3)="BDI",HLOOKUP(R118,DADOS!$T$37:$X$38,2,FALSE),0)),15-11*$X$5)</f>
        <v>0.25</v>
      </c>
      <c r="AA118" s="1"/>
    </row>
    <row r="119" spans="1:27" x14ac:dyDescent="0.25">
      <c r="A119">
        <f t="shared" si="0"/>
        <v>1</v>
      </c>
      <c r="B119">
        <f t="shared" ca="1" si="1"/>
        <v>15</v>
      </c>
      <c r="C119">
        <f t="shared" ca="1" si="2"/>
        <v>5</v>
      </c>
      <c r="D119">
        <f t="shared" ca="1" si="3"/>
        <v>0</v>
      </c>
      <c r="E119">
        <f t="shared" ca="1" si="4"/>
        <v>0</v>
      </c>
      <c r="F119">
        <f t="shared" ca="1" si="5"/>
        <v>0</v>
      </c>
      <c r="G119">
        <f t="shared" ca="1" si="6"/>
        <v>0</v>
      </c>
      <c r="H119">
        <f t="shared" ca="1" si="16"/>
        <v>484</v>
      </c>
      <c r="I119">
        <f t="shared" ca="1" si="17"/>
        <v>15</v>
      </c>
      <c r="J119" s="356" t="s">
        <v>99</v>
      </c>
      <c r="K119" s="138" t="str">
        <f t="shared" ca="1" si="9"/>
        <v>5.</v>
      </c>
      <c r="L119" s="357"/>
      <c r="M119" s="357"/>
      <c r="N119" s="358" t="s">
        <v>693</v>
      </c>
      <c r="O119" s="359" t="s">
        <v>106</v>
      </c>
      <c r="P119" s="360"/>
      <c r="Q119" s="195"/>
      <c r="R119" s="198" t="s">
        <v>7</v>
      </c>
      <c r="S119" s="103">
        <f t="shared" si="10"/>
        <v>0</v>
      </c>
      <c r="T119" s="83">
        <f t="shared" ca="1" si="11"/>
        <v>0</v>
      </c>
      <c r="U119" s="9" t="str">
        <f t="shared" ca="1" si="12"/>
        <v>SEM VALOR</v>
      </c>
      <c r="V119" s="1">
        <f ca="1">IF(OR($A119=0,$A119="S",$A119&gt;CFF!$A$9),"",MAX(V$12:OFFSET(V119,-1,0))+1)</f>
        <v>20</v>
      </c>
      <c r="W119" s="4" t="b">
        <f t="shared" si="13"/>
        <v>0</v>
      </c>
      <c r="X119" s="1" t="str">
        <f t="shared" ca="1" si="14"/>
        <v>X</v>
      </c>
      <c r="Y119" s="103">
        <v>0</v>
      </c>
      <c r="Z119" s="113">
        <f ca="1">ROUND(IF(ISNUMBER(R119),R119,IF(LEFT(R119,3)="BDI",HLOOKUP(R119,DADOS!$T$37:$X$38,2,FALSE),0)),15-11*$X$5)</f>
        <v>0.25</v>
      </c>
      <c r="AA119" s="1"/>
    </row>
    <row r="120" spans="1:27" x14ac:dyDescent="0.25">
      <c r="A120">
        <f>CHOOSE(1+LOG(1+2*(J120="Meta")+4*(J120="Nível 2")+8*(J120="Nível 3")+16*(J120="Nível 4")+32*(J120="Serviço"),2),0,1,2,3,4,"S")</f>
        <v>2</v>
      </c>
      <c r="B120">
        <f ca="1">IF(OR(A120="S",A120=0),0,IF(ISERROR(I120),H120,SMALL(H120:I120,1)))</f>
        <v>2</v>
      </c>
      <c r="C120">
        <f ca="1">IF($A120=1,OFFSET(C120,-1,0)+1,OFFSET(C120,-1,0))</f>
        <v>5</v>
      </c>
      <c r="D120">
        <f ca="1">IF($A120=1,0,IF($A120=2,OFFSET(D120,-1,0)+1,OFFSET(D120,-1,0)))</f>
        <v>1</v>
      </c>
      <c r="E120">
        <f ca="1">IF(AND($A120&lt;=2,$A120&lt;&gt;0),0,IF($A120=3,OFFSET(E120,-1,0)+1,OFFSET(E120,-1,0)))</f>
        <v>0</v>
      </c>
      <c r="F120">
        <f ca="1">IF(AND($A120&lt;=3,$A120&lt;&gt;0),0,IF($A120=4,OFFSET(F120,-1,0)+1,OFFSET(F120,-1,0)))</f>
        <v>0</v>
      </c>
      <c r="G120">
        <f ca="1">IF(AND($A120&lt;=4,$A120&lt;&gt;0),0,IF($A120="S",OFFSET(G120,-1,0)+1,OFFSET(G120,-1,0)))</f>
        <v>0</v>
      </c>
      <c r="H120">
        <f t="shared" ca="1" si="16"/>
        <v>14</v>
      </c>
      <c r="I120">
        <f t="shared" ca="1" si="17"/>
        <v>2</v>
      </c>
      <c r="J120" s="356" t="s">
        <v>100</v>
      </c>
      <c r="K120" s="138" t="str">
        <f ca="1">IF($A120=0,"-",CONCATENATE(C120&amp;".",IF(AND($A$5&gt;=2,$A120&gt;=2),D120&amp;".",""),IF(AND($A$5&gt;=3,$A120&gt;=3),E120&amp;".",""),IF(AND($A$5&gt;=4,$A120&gt;=4),F120&amp;".",""),IF($A120="S",G120&amp;".","")))</f>
        <v>5.1.</v>
      </c>
      <c r="L120" s="357"/>
      <c r="M120" s="357"/>
      <c r="N120" s="358" t="s">
        <v>279</v>
      </c>
      <c r="O120" s="359" t="s">
        <v>106</v>
      </c>
      <c r="P120" s="360"/>
      <c r="Q120" s="195"/>
      <c r="R120" s="198" t="s">
        <v>7</v>
      </c>
      <c r="S120" s="103">
        <f>IF($A120="S",IF($Q$10="Preço Unitário (R$)",PO.CustoUnitario,ROUND(PO.CustoUnitario*(1+$Z120),15-13*$X$6)),0)</f>
        <v>0</v>
      </c>
      <c r="T120" s="83">
        <f ca="1">IF($A120="S",VTOTAL1,IF($A120=0,0,ROUND(SomaAgrup,15-13*$X$7)))</f>
        <v>0</v>
      </c>
      <c r="U120" s="9" t="str">
        <f ca="1">IF($J120="","",IF($N120="","DESCRIÇÃO",IF(AND($J120="Serviço",$O120=""),"UNIDADE",IF($T120&lt;=0,"SEM VALOR",IF(AND($Y120&lt;&gt;"",$Q120&gt;$Y120),"ACIMA REF.","")))))</f>
        <v>SEM VALOR</v>
      </c>
      <c r="V120" s="1">
        <f ca="1">IF(OR($A120=0,$A120="S",$A120&gt;CFF!$A$9),"",MAX(V$12:OFFSET(V120,-1,0))+1)</f>
        <v>21</v>
      </c>
      <c r="W120" s="4" t="b">
        <f>IF(AND($J120="Serviço",$M120&lt;&gt;""),IF($L120="",$M120,CONCATENATE($L120,"-",$M120)))</f>
        <v>0</v>
      </c>
      <c r="X120" s="1" t="str">
        <f ca="1">IF(AND(Fonte&lt;&gt;"",Código&lt;&gt;""),MATCH(Fonte&amp;" "&amp;IF(Fonte="sinapi",SUBSTITUTE(SUBSTITUTE(Código,"/00","/"),"/0","/"),Código),INDIRECT("'[Referência "&amp;_xlnm.Database&amp;".xls]Banco'!$a:$a"),0),"X")</f>
        <v>X</v>
      </c>
      <c r="Y120" s="103">
        <v>0</v>
      </c>
      <c r="Z120" s="113">
        <f ca="1">ROUND(IF(ISNUMBER(R120),R120,IF(LEFT(R120,3)="BDI",HLOOKUP(R120,DADOS!$T$37:$X$38,2,FALSE),0)),15-11*$X$5)</f>
        <v>0.25</v>
      </c>
      <c r="AA120" s="1"/>
    </row>
    <row r="121" spans="1:27" ht="26.4" x14ac:dyDescent="0.25">
      <c r="A121" t="str">
        <f t="shared" si="0"/>
        <v>S</v>
      </c>
      <c r="B121">
        <f t="shared" si="1"/>
        <v>0</v>
      </c>
      <c r="C121">
        <f t="shared" ca="1" si="2"/>
        <v>5</v>
      </c>
      <c r="D121">
        <f t="shared" ca="1" si="3"/>
        <v>1</v>
      </c>
      <c r="E121">
        <f t="shared" ca="1" si="4"/>
        <v>0</v>
      </c>
      <c r="F121">
        <f t="shared" ca="1" si="5"/>
        <v>0</v>
      </c>
      <c r="G121">
        <f t="shared" ca="1" si="6"/>
        <v>1</v>
      </c>
      <c r="H121">
        <f t="shared" ca="1" si="16"/>
        <v>0</v>
      </c>
      <c r="I121">
        <f t="shared" ca="1" si="17"/>
        <v>0</v>
      </c>
      <c r="J121" s="356" t="s">
        <v>103</v>
      </c>
      <c r="K121" s="138" t="str">
        <f t="shared" ca="1" si="9"/>
        <v>5.1.0.1.</v>
      </c>
      <c r="L121" s="357" t="s">
        <v>233</v>
      </c>
      <c r="M121" s="357" t="s">
        <v>278</v>
      </c>
      <c r="N121" s="358" t="s">
        <v>971</v>
      </c>
      <c r="O121" s="359" t="s">
        <v>635</v>
      </c>
      <c r="P121" s="360">
        <v>6.1</v>
      </c>
      <c r="Q121" s="195"/>
      <c r="R121" s="198" t="s">
        <v>7</v>
      </c>
      <c r="S121" s="103">
        <f t="shared" si="10"/>
        <v>0</v>
      </c>
      <c r="T121" s="83">
        <f t="shared" si="11"/>
        <v>0</v>
      </c>
      <c r="U121" s="9" t="str">
        <f t="shared" si="12"/>
        <v>SEM VALOR</v>
      </c>
      <c r="V121" s="1" t="str">
        <f ca="1">IF(OR($A121=0,$A121="S",$A121&gt;CFF!$A$9),"",MAX(V$12:OFFSET(V121,-1,0))+1)</f>
        <v/>
      </c>
      <c r="W121" s="4" t="str">
        <f t="shared" si="13"/>
        <v>SINAPI-101161</v>
      </c>
      <c r="X121" s="1">
        <f t="shared" ca="1" si="14"/>
        <v>5977</v>
      </c>
      <c r="Y121" s="103">
        <v>301.48</v>
      </c>
      <c r="Z121" s="113">
        <f ca="1">ROUND(IF(ISNUMBER(R121),R121,IF(LEFT(R121,3)="BDI",HLOOKUP(R121,DADOS!$T$37:$X$38,2,FALSE),0)),15-11*$X$5)</f>
        <v>0.25</v>
      </c>
      <c r="AA121" s="1"/>
    </row>
    <row r="122" spans="1:27" x14ac:dyDescent="0.25">
      <c r="A122">
        <f t="shared" si="0"/>
        <v>2</v>
      </c>
      <c r="B122">
        <f t="shared" ca="1" si="1"/>
        <v>6</v>
      </c>
      <c r="C122">
        <f t="shared" ca="1" si="2"/>
        <v>5</v>
      </c>
      <c r="D122">
        <f t="shared" ca="1" si="3"/>
        <v>2</v>
      </c>
      <c r="E122">
        <f t="shared" ca="1" si="4"/>
        <v>0</v>
      </c>
      <c r="F122">
        <f t="shared" ca="1" si="5"/>
        <v>0</v>
      </c>
      <c r="G122">
        <f t="shared" ca="1" si="6"/>
        <v>0</v>
      </c>
      <c r="H122">
        <f t="shared" ca="1" si="16"/>
        <v>12</v>
      </c>
      <c r="I122">
        <f t="shared" ca="1" si="17"/>
        <v>6</v>
      </c>
      <c r="J122" s="356" t="s">
        <v>100</v>
      </c>
      <c r="K122" s="138" t="str">
        <f t="shared" ca="1" si="9"/>
        <v>5.2.</v>
      </c>
      <c r="L122" s="357"/>
      <c r="M122" s="357"/>
      <c r="N122" s="358" t="s">
        <v>284</v>
      </c>
      <c r="O122" s="359" t="s">
        <v>106</v>
      </c>
      <c r="P122" s="360"/>
      <c r="Q122" s="195"/>
      <c r="R122" s="198" t="s">
        <v>7</v>
      </c>
      <c r="S122" s="103">
        <f t="shared" si="10"/>
        <v>0</v>
      </c>
      <c r="T122" s="83">
        <f t="shared" ca="1" si="11"/>
        <v>0</v>
      </c>
      <c r="U122" s="9" t="str">
        <f t="shared" ca="1" si="12"/>
        <v>SEM VALOR</v>
      </c>
      <c r="V122" s="1">
        <f ca="1">IF(OR($A122=0,$A122="S",$A122&gt;CFF!$A$9),"",MAX(V$12:OFFSET(V122,-1,0))+1)</f>
        <v>22</v>
      </c>
      <c r="W122" s="4" t="b">
        <f t="shared" si="13"/>
        <v>0</v>
      </c>
      <c r="X122" s="1" t="str">
        <f t="shared" ca="1" si="14"/>
        <v>X</v>
      </c>
      <c r="Y122" s="103">
        <v>0</v>
      </c>
      <c r="Z122" s="113">
        <f ca="1">ROUND(IF(ISNUMBER(R122),R122,IF(LEFT(R122,3)="BDI",HLOOKUP(R122,DADOS!$T$37:$X$38,2,FALSE),0)),15-11*$X$5)</f>
        <v>0.25</v>
      </c>
      <c r="AA122" s="1"/>
    </row>
    <row r="123" spans="1:27" ht="26.4" x14ac:dyDescent="0.25">
      <c r="A123" t="str">
        <f t="shared" si="0"/>
        <v>S</v>
      </c>
      <c r="B123">
        <f t="shared" si="1"/>
        <v>0</v>
      </c>
      <c r="C123">
        <f t="shared" ca="1" si="2"/>
        <v>5</v>
      </c>
      <c r="D123">
        <f t="shared" ca="1" si="3"/>
        <v>2</v>
      </c>
      <c r="E123">
        <f t="shared" ca="1" si="4"/>
        <v>0</v>
      </c>
      <c r="F123">
        <f t="shared" ca="1" si="5"/>
        <v>0</v>
      </c>
      <c r="G123">
        <f t="shared" ca="1" si="6"/>
        <v>1</v>
      </c>
      <c r="H123">
        <f t="shared" ca="1" si="16"/>
        <v>0</v>
      </c>
      <c r="I123">
        <f t="shared" ca="1" si="17"/>
        <v>0</v>
      </c>
      <c r="J123" s="356" t="s">
        <v>103</v>
      </c>
      <c r="K123" s="138" t="str">
        <f t="shared" ca="1" si="9"/>
        <v>5.2.0.1.</v>
      </c>
      <c r="L123" s="357" t="s">
        <v>233</v>
      </c>
      <c r="M123" s="357" t="s">
        <v>280</v>
      </c>
      <c r="N123" s="358" t="s">
        <v>972</v>
      </c>
      <c r="O123" s="359" t="s">
        <v>635</v>
      </c>
      <c r="P123" s="360">
        <v>572.77</v>
      </c>
      <c r="Q123" s="195"/>
      <c r="R123" s="198" t="s">
        <v>7</v>
      </c>
      <c r="S123" s="103">
        <f t="shared" si="10"/>
        <v>0</v>
      </c>
      <c r="T123" s="83">
        <f t="shared" si="11"/>
        <v>0</v>
      </c>
      <c r="U123" s="9" t="str">
        <f t="shared" si="12"/>
        <v>SEM VALOR</v>
      </c>
      <c r="V123" s="1" t="str">
        <f ca="1">IF(OR($A123=0,$A123="S",$A123&gt;CFF!$A$9),"",MAX(V$12:OFFSET(V123,-1,0))+1)</f>
        <v/>
      </c>
      <c r="W123" s="4" t="str">
        <f t="shared" si="13"/>
        <v>SINAPI-103322</v>
      </c>
      <c r="X123" s="1">
        <f t="shared" ca="1" si="14"/>
        <v>5926</v>
      </c>
      <c r="Y123" s="103">
        <v>72.790000000000006</v>
      </c>
      <c r="Z123" s="113">
        <f ca="1">ROUND(IF(ISNUMBER(R123),R123,IF(LEFT(R123,3)="BDI",HLOOKUP(R123,DADOS!$T$37:$X$38,2,FALSE),0)),15-11*$X$5)</f>
        <v>0.25</v>
      </c>
      <c r="AA123" s="1"/>
    </row>
    <row r="124" spans="1:27" ht="26.4" x14ac:dyDescent="0.25">
      <c r="A124" t="str">
        <f t="shared" si="0"/>
        <v>S</v>
      </c>
      <c r="B124">
        <f t="shared" si="1"/>
        <v>0</v>
      </c>
      <c r="C124">
        <f t="shared" ca="1" si="2"/>
        <v>5</v>
      </c>
      <c r="D124">
        <f t="shared" ca="1" si="3"/>
        <v>2</v>
      </c>
      <c r="E124">
        <f t="shared" ca="1" si="4"/>
        <v>0</v>
      </c>
      <c r="F124">
        <f t="shared" ca="1" si="5"/>
        <v>0</v>
      </c>
      <c r="G124">
        <f t="shared" ca="1" si="6"/>
        <v>2</v>
      </c>
      <c r="H124">
        <f t="shared" ca="1" si="16"/>
        <v>0</v>
      </c>
      <c r="I124">
        <f t="shared" ca="1" si="17"/>
        <v>0</v>
      </c>
      <c r="J124" s="356" t="s">
        <v>103</v>
      </c>
      <c r="K124" s="138" t="str">
        <f t="shared" ca="1" si="9"/>
        <v>5.2.0.2.</v>
      </c>
      <c r="L124" s="357" t="s">
        <v>233</v>
      </c>
      <c r="M124" s="357" t="s">
        <v>281</v>
      </c>
      <c r="N124" s="358" t="s">
        <v>973</v>
      </c>
      <c r="O124" s="359" t="s">
        <v>635</v>
      </c>
      <c r="P124" s="360">
        <v>1038</v>
      </c>
      <c r="Q124" s="195"/>
      <c r="R124" s="198" t="s">
        <v>7</v>
      </c>
      <c r="S124" s="103">
        <f t="shared" si="10"/>
        <v>0</v>
      </c>
      <c r="T124" s="83">
        <f t="shared" si="11"/>
        <v>0</v>
      </c>
      <c r="U124" s="9" t="str">
        <f t="shared" si="12"/>
        <v>SEM VALOR</v>
      </c>
      <c r="V124" s="1" t="str">
        <f ca="1">IF(OR($A124=0,$A124="S",$A124&gt;CFF!$A$9),"",MAX(V$12:OFFSET(V124,-1,0))+1)</f>
        <v/>
      </c>
      <c r="W124" s="4" t="str">
        <f t="shared" si="13"/>
        <v>SINAPI-103328</v>
      </c>
      <c r="X124" s="1">
        <f t="shared" ca="1" si="14"/>
        <v>5932</v>
      </c>
      <c r="Y124" s="103">
        <v>115.39</v>
      </c>
      <c r="Z124" s="113">
        <f ca="1">ROUND(IF(ISNUMBER(R124),R124,IF(LEFT(R124,3)="BDI",HLOOKUP(R124,DADOS!$T$37:$X$38,2,FALSE),0)),15-11*$X$5)</f>
        <v>0.25</v>
      </c>
      <c r="AA124" s="1"/>
    </row>
    <row r="125" spans="1:27" ht="26.4" x14ac:dyDescent="0.25">
      <c r="A125" t="str">
        <f t="shared" si="0"/>
        <v>S</v>
      </c>
      <c r="B125">
        <f t="shared" si="1"/>
        <v>0</v>
      </c>
      <c r="C125">
        <f t="shared" ca="1" si="2"/>
        <v>5</v>
      </c>
      <c r="D125">
        <f t="shared" ca="1" si="3"/>
        <v>2</v>
      </c>
      <c r="E125">
        <f t="shared" ca="1" si="4"/>
        <v>0</v>
      </c>
      <c r="F125">
        <f t="shared" ca="1" si="5"/>
        <v>0</v>
      </c>
      <c r="G125">
        <f t="shared" ca="1" si="6"/>
        <v>3</v>
      </c>
      <c r="H125">
        <f t="shared" ca="1" si="16"/>
        <v>0</v>
      </c>
      <c r="I125">
        <f t="shared" ca="1" si="17"/>
        <v>0</v>
      </c>
      <c r="J125" s="356" t="s">
        <v>103</v>
      </c>
      <c r="K125" s="138" t="str">
        <f t="shared" ca="1" si="9"/>
        <v>5.2.0.3.</v>
      </c>
      <c r="L125" s="357" t="s">
        <v>233</v>
      </c>
      <c r="M125" s="357" t="s">
        <v>282</v>
      </c>
      <c r="N125" s="358" t="s">
        <v>912</v>
      </c>
      <c r="O125" s="359" t="s">
        <v>635</v>
      </c>
      <c r="P125" s="360">
        <v>564.11</v>
      </c>
      <c r="Q125" s="195"/>
      <c r="R125" s="198" t="s">
        <v>7</v>
      </c>
      <c r="S125" s="103">
        <f t="shared" si="10"/>
        <v>0</v>
      </c>
      <c r="T125" s="83">
        <f t="shared" si="11"/>
        <v>0</v>
      </c>
      <c r="U125" s="9" t="str">
        <f t="shared" si="12"/>
        <v>SEM VALOR</v>
      </c>
      <c r="V125" s="1" t="str">
        <f ca="1">IF(OR($A125=0,$A125="S",$A125&gt;CFF!$A$9),"",MAX(V$12:OFFSET(V125,-1,0))+1)</f>
        <v/>
      </c>
      <c r="W125" s="4" t="str">
        <f t="shared" si="13"/>
        <v>SINAPI-103324</v>
      </c>
      <c r="X125" s="1">
        <f t="shared" ca="1" si="14"/>
        <v>5928</v>
      </c>
      <c r="Y125" s="103">
        <v>97.36</v>
      </c>
      <c r="Z125" s="113">
        <f ca="1">ROUND(IF(ISNUMBER(R125),R125,IF(LEFT(R125,3)="BDI",HLOOKUP(R125,DADOS!$T$37:$X$38,2,FALSE),0)),15-11*$X$5)</f>
        <v>0.25</v>
      </c>
      <c r="AA125" s="1"/>
    </row>
    <row r="126" spans="1:27" ht="26.4" x14ac:dyDescent="0.25">
      <c r="A126" t="str">
        <f t="shared" si="0"/>
        <v>S</v>
      </c>
      <c r="B126">
        <f t="shared" si="1"/>
        <v>0</v>
      </c>
      <c r="C126">
        <f t="shared" ca="1" si="2"/>
        <v>5</v>
      </c>
      <c r="D126">
        <f t="shared" ca="1" si="3"/>
        <v>2</v>
      </c>
      <c r="E126">
        <f t="shared" ca="1" si="4"/>
        <v>0</v>
      </c>
      <c r="F126">
        <f t="shared" ca="1" si="5"/>
        <v>0</v>
      </c>
      <c r="G126">
        <f t="shared" ca="1" si="6"/>
        <v>4</v>
      </c>
      <c r="H126">
        <f t="shared" ca="1" si="16"/>
        <v>0</v>
      </c>
      <c r="I126">
        <f t="shared" ca="1" si="17"/>
        <v>0</v>
      </c>
      <c r="J126" s="356" t="s">
        <v>103</v>
      </c>
      <c r="K126" s="138" t="str">
        <f t="shared" ca="1" si="9"/>
        <v>5.2.0.4.</v>
      </c>
      <c r="L126" s="357" t="s">
        <v>233</v>
      </c>
      <c r="M126" s="357" t="s">
        <v>283</v>
      </c>
      <c r="N126" s="358" t="s">
        <v>974</v>
      </c>
      <c r="O126" s="359" t="s">
        <v>635</v>
      </c>
      <c r="P126" s="360">
        <v>9.7200000000000006</v>
      </c>
      <c r="Q126" s="195"/>
      <c r="R126" s="198" t="s">
        <v>7</v>
      </c>
      <c r="S126" s="103">
        <f t="shared" si="10"/>
        <v>0</v>
      </c>
      <c r="T126" s="83">
        <f t="shared" si="11"/>
        <v>0</v>
      </c>
      <c r="U126" s="9" t="str">
        <f t="shared" si="12"/>
        <v>SEM VALOR</v>
      </c>
      <c r="V126" s="1" t="str">
        <f ca="1">IF(OR($A126=0,$A126="S",$A126&gt;CFF!$A$9),"",MAX(V$12:OFFSET(V126,-1,0))+1)</f>
        <v/>
      </c>
      <c r="W126" s="4" t="str">
        <f t="shared" si="13"/>
        <v>SINAPI-101159</v>
      </c>
      <c r="X126" s="1">
        <f t="shared" ca="1" si="14"/>
        <v>5925</v>
      </c>
      <c r="Y126" s="103">
        <v>178.34</v>
      </c>
      <c r="Z126" s="113">
        <f ca="1">ROUND(IF(ISNUMBER(R126),R126,IF(LEFT(R126,3)="BDI",HLOOKUP(R126,DADOS!$T$37:$X$38,2,FALSE),0)),15-11*$X$5)</f>
        <v>0.25</v>
      </c>
      <c r="AA126" s="1"/>
    </row>
    <row r="127" spans="1:27" ht="26.4" x14ac:dyDescent="0.25">
      <c r="A127" t="str">
        <f t="shared" si="0"/>
        <v>S</v>
      </c>
      <c r="B127">
        <f t="shared" si="1"/>
        <v>0</v>
      </c>
      <c r="C127">
        <f t="shared" ca="1" si="2"/>
        <v>5</v>
      </c>
      <c r="D127">
        <f t="shared" ca="1" si="3"/>
        <v>2</v>
      </c>
      <c r="E127">
        <f t="shared" ca="1" si="4"/>
        <v>0</v>
      </c>
      <c r="F127">
        <f t="shared" ca="1" si="5"/>
        <v>0</v>
      </c>
      <c r="G127">
        <f t="shared" ca="1" si="6"/>
        <v>5</v>
      </c>
      <c r="H127">
        <f t="shared" ca="1" si="16"/>
        <v>0</v>
      </c>
      <c r="I127">
        <f t="shared" ca="1" si="17"/>
        <v>0</v>
      </c>
      <c r="J127" s="356" t="s">
        <v>103</v>
      </c>
      <c r="K127" s="138" t="str">
        <f t="shared" ca="1" si="9"/>
        <v>5.2.0.5.</v>
      </c>
      <c r="L127" s="357" t="s">
        <v>233</v>
      </c>
      <c r="M127" s="357" t="s">
        <v>866</v>
      </c>
      <c r="N127" s="358" t="s">
        <v>975</v>
      </c>
      <c r="O127" s="359" t="s">
        <v>590</v>
      </c>
      <c r="P127" s="360">
        <v>311.8</v>
      </c>
      <c r="Q127" s="195"/>
      <c r="R127" s="198" t="s">
        <v>7</v>
      </c>
      <c r="S127" s="103">
        <f t="shared" si="10"/>
        <v>0</v>
      </c>
      <c r="T127" s="83">
        <f t="shared" si="11"/>
        <v>0</v>
      </c>
      <c r="U127" s="9" t="str">
        <f t="shared" si="12"/>
        <v>SEM VALOR</v>
      </c>
      <c r="V127" s="1" t="str">
        <f ca="1">IF(OR($A127=0,$A127="S",$A127&gt;CFF!$A$9),"",MAX(V$12:OFFSET(V127,-1,0))+1)</f>
        <v/>
      </c>
      <c r="W127" s="4" t="str">
        <f t="shared" si="13"/>
        <v>SINAPI-93200</v>
      </c>
      <c r="X127" s="1">
        <f t="shared" ca="1" si="14"/>
        <v>2771</v>
      </c>
      <c r="Y127" s="103">
        <v>14.56</v>
      </c>
      <c r="Z127" s="113">
        <f ca="1">ROUND(IF(ISNUMBER(R127),R127,IF(LEFT(R127,3)="BDI",HLOOKUP(R127,DADOS!$T$37:$X$38,2,FALSE),0)),15-11*$X$5)</f>
        <v>0.25</v>
      </c>
      <c r="AA127" s="1"/>
    </row>
    <row r="128" spans="1:27" x14ac:dyDescent="0.25">
      <c r="A128">
        <f t="shared" si="0"/>
        <v>2</v>
      </c>
      <c r="B128">
        <f t="shared" ca="1" si="1"/>
        <v>2</v>
      </c>
      <c r="C128">
        <f t="shared" ca="1" si="2"/>
        <v>5</v>
      </c>
      <c r="D128">
        <f t="shared" ca="1" si="3"/>
        <v>3</v>
      </c>
      <c r="E128">
        <f t="shared" ca="1" si="4"/>
        <v>0</v>
      </c>
      <c r="F128">
        <f t="shared" ca="1" si="5"/>
        <v>0</v>
      </c>
      <c r="G128">
        <f t="shared" ca="1" si="6"/>
        <v>0</v>
      </c>
      <c r="H128">
        <f t="shared" ca="1" si="16"/>
        <v>6</v>
      </c>
      <c r="I128">
        <f t="shared" ca="1" si="17"/>
        <v>2</v>
      </c>
      <c r="J128" s="356" t="s">
        <v>100</v>
      </c>
      <c r="K128" s="138" t="str">
        <f t="shared" ca="1" si="9"/>
        <v>5.3.</v>
      </c>
      <c r="L128" s="357"/>
      <c r="M128" s="357"/>
      <c r="N128" s="358" t="s">
        <v>653</v>
      </c>
      <c r="O128" s="359" t="s">
        <v>106</v>
      </c>
      <c r="P128" s="360"/>
      <c r="Q128" s="195"/>
      <c r="R128" s="198" t="s">
        <v>7</v>
      </c>
      <c r="S128" s="103">
        <f t="shared" si="10"/>
        <v>0</v>
      </c>
      <c r="T128" s="83">
        <f t="shared" ca="1" si="11"/>
        <v>0</v>
      </c>
      <c r="U128" s="9" t="str">
        <f t="shared" ca="1" si="12"/>
        <v>SEM VALOR</v>
      </c>
      <c r="V128" s="1">
        <f ca="1">IF(OR($A128=0,$A128="S",$A128&gt;CFF!$A$9),"",MAX(V$12:OFFSET(V128,-1,0))+1)</f>
        <v>23</v>
      </c>
      <c r="W128" s="4" t="b">
        <f t="shared" si="13"/>
        <v>0</v>
      </c>
      <c r="X128" s="1" t="str">
        <f t="shared" ref="X128:X133" ca="1" si="31">IF(AND(Fonte&lt;&gt;"",Código&lt;&gt;""),MATCH(Fonte&amp;" "&amp;IF(Fonte="sinapi",SUBSTITUTE(SUBSTITUTE(Código,"/00","/"),"/0","/"),Código),INDIRECT("'[Referência "&amp;_xlnm.Database&amp;".xls]Banco'!$a:$a"),0),"X")</f>
        <v>X</v>
      </c>
      <c r="Y128" s="103">
        <v>0</v>
      </c>
      <c r="Z128" s="113">
        <f ca="1">ROUND(IF(ISNUMBER(R128),R128,IF(LEFT(R128,3)="BDI",HLOOKUP(R128,DADOS!$T$37:$X$38,2,FALSE),0)),15-11*$X$5)</f>
        <v>0.25</v>
      </c>
      <c r="AA128" s="1"/>
    </row>
    <row r="129" spans="1:27" ht="26.4" x14ac:dyDescent="0.25">
      <c r="A129" t="str">
        <f t="shared" si="0"/>
        <v>S</v>
      </c>
      <c r="B129">
        <f t="shared" si="1"/>
        <v>0</v>
      </c>
      <c r="C129">
        <f t="shared" ca="1" si="2"/>
        <v>5</v>
      </c>
      <c r="D129">
        <f t="shared" ca="1" si="3"/>
        <v>3</v>
      </c>
      <c r="E129">
        <f t="shared" ca="1" si="4"/>
        <v>0</v>
      </c>
      <c r="F129">
        <f t="shared" ca="1" si="5"/>
        <v>0</v>
      </c>
      <c r="G129">
        <f t="shared" ca="1" si="6"/>
        <v>1</v>
      </c>
      <c r="H129">
        <f t="shared" ca="1" si="16"/>
        <v>0</v>
      </c>
      <c r="I129">
        <f t="shared" ca="1" si="17"/>
        <v>0</v>
      </c>
      <c r="J129" s="356" t="s">
        <v>103</v>
      </c>
      <c r="K129" s="138" t="str">
        <f t="shared" ca="1" si="9"/>
        <v>5.3.0.1.</v>
      </c>
      <c r="L129" s="357" t="s">
        <v>233</v>
      </c>
      <c r="M129" s="357" t="s">
        <v>282</v>
      </c>
      <c r="N129" s="358" t="s">
        <v>912</v>
      </c>
      <c r="O129" s="359" t="s">
        <v>635</v>
      </c>
      <c r="P129" s="360">
        <f>(110.64*1)</f>
        <v>110.64</v>
      </c>
      <c r="Q129" s="195"/>
      <c r="R129" s="198" t="s">
        <v>7</v>
      </c>
      <c r="S129" s="103">
        <f t="shared" si="10"/>
        <v>0</v>
      </c>
      <c r="T129" s="83">
        <f t="shared" si="11"/>
        <v>0</v>
      </c>
      <c r="U129" s="9" t="str">
        <f t="shared" si="12"/>
        <v>SEM VALOR</v>
      </c>
      <c r="V129" s="1" t="str">
        <f ca="1">IF(OR($A129=0,$A129="S",$A129&gt;CFF!$A$9),"",MAX(V$12:OFFSET(V129,-1,0))+1)</f>
        <v/>
      </c>
      <c r="W129" s="4" t="str">
        <f t="shared" si="13"/>
        <v>SINAPI-103324</v>
      </c>
      <c r="X129" s="1">
        <f t="shared" ca="1" si="31"/>
        <v>5928</v>
      </c>
      <c r="Y129" s="103">
        <v>97.36</v>
      </c>
      <c r="Z129" s="113">
        <f ca="1">ROUND(IF(ISNUMBER(R129),R129,IF(LEFT(R129,3)="BDI",HLOOKUP(R129,DADOS!$T$37:$X$38,2,FALSE),0)),15-11*$X$5)</f>
        <v>0.25</v>
      </c>
      <c r="AA129" s="1"/>
    </row>
    <row r="130" spans="1:27" x14ac:dyDescent="0.25">
      <c r="A130">
        <f t="shared" si="0"/>
        <v>2</v>
      </c>
      <c r="B130">
        <f t="shared" ca="1" si="1"/>
        <v>4</v>
      </c>
      <c r="C130">
        <f t="shared" ca="1" si="2"/>
        <v>5</v>
      </c>
      <c r="D130">
        <f t="shared" ca="1" si="3"/>
        <v>4</v>
      </c>
      <c r="E130">
        <f t="shared" ca="1" si="4"/>
        <v>0</v>
      </c>
      <c r="F130">
        <f t="shared" ca="1" si="5"/>
        <v>0</v>
      </c>
      <c r="G130">
        <f t="shared" ca="1" si="6"/>
        <v>0</v>
      </c>
      <c r="H130">
        <f t="shared" ca="1" si="16"/>
        <v>4</v>
      </c>
      <c r="I130">
        <f t="shared" ca="1" si="17"/>
        <v>39</v>
      </c>
      <c r="J130" s="356" t="s">
        <v>100</v>
      </c>
      <c r="K130" s="138" t="str">
        <f t="shared" ca="1" si="9"/>
        <v>5.4.</v>
      </c>
      <c r="L130" s="357"/>
      <c r="M130" s="357"/>
      <c r="N130" s="358" t="s">
        <v>285</v>
      </c>
      <c r="O130" s="359" t="s">
        <v>106</v>
      </c>
      <c r="P130" s="360"/>
      <c r="Q130" s="195"/>
      <c r="R130" s="198" t="s">
        <v>7</v>
      </c>
      <c r="S130" s="103">
        <f t="shared" si="10"/>
        <v>0</v>
      </c>
      <c r="T130" s="83">
        <f t="shared" ca="1" si="11"/>
        <v>0</v>
      </c>
      <c r="U130" s="9" t="str">
        <f t="shared" ca="1" si="12"/>
        <v>SEM VALOR</v>
      </c>
      <c r="V130" s="1">
        <f ca="1">IF(OR($A130=0,$A130="S",$A130&gt;CFF!$A$9),"",MAX(V$12:OFFSET(V130,-1,0))+1)</f>
        <v>24</v>
      </c>
      <c r="W130" s="4" t="b">
        <f t="shared" si="13"/>
        <v>0</v>
      </c>
      <c r="X130" s="1" t="str">
        <f t="shared" ca="1" si="31"/>
        <v>X</v>
      </c>
      <c r="Y130" s="103">
        <v>0</v>
      </c>
      <c r="Z130" s="113">
        <f ca="1">ROUND(IF(ISNUMBER(R130),R130,IF(LEFT(R130,3)="BDI",HLOOKUP(R130,DADOS!$T$37:$X$38,2,FALSE),0)),15-11*$X$5)</f>
        <v>0.25</v>
      </c>
      <c r="AA130" s="1"/>
    </row>
    <row r="131" spans="1:27" ht="26.4" x14ac:dyDescent="0.25">
      <c r="A131" t="str">
        <f t="shared" si="0"/>
        <v>S</v>
      </c>
      <c r="B131">
        <f t="shared" si="1"/>
        <v>0</v>
      </c>
      <c r="C131">
        <f t="shared" ca="1" si="2"/>
        <v>5</v>
      </c>
      <c r="D131">
        <f t="shared" ca="1" si="3"/>
        <v>4</v>
      </c>
      <c r="E131">
        <f t="shared" ca="1" si="4"/>
        <v>0</v>
      </c>
      <c r="F131">
        <f t="shared" ca="1" si="5"/>
        <v>0</v>
      </c>
      <c r="G131">
        <f t="shared" ca="1" si="6"/>
        <v>1</v>
      </c>
      <c r="H131">
        <f t="shared" ca="1" si="16"/>
        <v>0</v>
      </c>
      <c r="I131">
        <f t="shared" ca="1" si="17"/>
        <v>0</v>
      </c>
      <c r="J131" s="356" t="s">
        <v>103</v>
      </c>
      <c r="K131" s="138" t="str">
        <f t="shared" ca="1" si="9"/>
        <v>5.4.0.1.</v>
      </c>
      <c r="L131" s="357" t="s">
        <v>233</v>
      </c>
      <c r="M131" s="357" t="s">
        <v>286</v>
      </c>
      <c r="N131" s="358" t="s">
        <v>913</v>
      </c>
      <c r="O131" s="359" t="s">
        <v>635</v>
      </c>
      <c r="P131" s="360">
        <v>8.06</v>
      </c>
      <c r="Q131" s="195"/>
      <c r="R131" s="198" t="s">
        <v>7</v>
      </c>
      <c r="S131" s="103">
        <f t="shared" si="10"/>
        <v>0</v>
      </c>
      <c r="T131" s="83">
        <f t="shared" si="11"/>
        <v>0</v>
      </c>
      <c r="U131" s="9" t="str">
        <f t="shared" si="12"/>
        <v>SEM VALOR</v>
      </c>
      <c r="V131" s="1" t="str">
        <f ca="1">IF(OR($A131=0,$A131="S",$A131&gt;CFF!$A$9),"",MAX(V$12:OFFSET(V131,-1,0))+1)</f>
        <v/>
      </c>
      <c r="W131" s="4" t="str">
        <f t="shared" si="13"/>
        <v>SINAPI-102253</v>
      </c>
      <c r="X131" s="1">
        <f t="shared" ca="1" si="31"/>
        <v>5997</v>
      </c>
      <c r="Y131" s="103">
        <v>1382.68</v>
      </c>
      <c r="Z131" s="113">
        <f ca="1">ROUND(IF(ISNUMBER(R131),R131,IF(LEFT(R131,3)="BDI",HLOOKUP(R131,DADOS!$T$37:$X$38,2,FALSE),0)),15-11*$X$5)</f>
        <v>0.25</v>
      </c>
      <c r="AA131" s="1"/>
    </row>
    <row r="132" spans="1:27" x14ac:dyDescent="0.25">
      <c r="A132" t="str">
        <f t="shared" si="0"/>
        <v>S</v>
      </c>
      <c r="B132">
        <f t="shared" si="1"/>
        <v>0</v>
      </c>
      <c r="C132">
        <f t="shared" ca="1" si="2"/>
        <v>5</v>
      </c>
      <c r="D132">
        <f t="shared" ca="1" si="3"/>
        <v>4</v>
      </c>
      <c r="E132">
        <f t="shared" ca="1" si="4"/>
        <v>0</v>
      </c>
      <c r="F132">
        <f t="shared" ca="1" si="5"/>
        <v>0</v>
      </c>
      <c r="G132">
        <f t="shared" ca="1" si="6"/>
        <v>2</v>
      </c>
      <c r="H132">
        <f t="shared" ca="1" si="16"/>
        <v>0</v>
      </c>
      <c r="I132">
        <f t="shared" ca="1" si="17"/>
        <v>0</v>
      </c>
      <c r="J132" s="356" t="s">
        <v>103</v>
      </c>
      <c r="K132" s="138" t="str">
        <f t="shared" ca="1" si="9"/>
        <v>5.4.0.2.</v>
      </c>
      <c r="L132" s="357" t="s">
        <v>469</v>
      </c>
      <c r="M132" s="357" t="s">
        <v>655</v>
      </c>
      <c r="N132" s="358" t="s">
        <v>656</v>
      </c>
      <c r="O132" s="359" t="s">
        <v>635</v>
      </c>
      <c r="P132" s="360">
        <v>7.2</v>
      </c>
      <c r="Q132" s="195"/>
      <c r="R132" s="198" t="s">
        <v>7</v>
      </c>
      <c r="S132" s="103">
        <f t="shared" si="10"/>
        <v>0</v>
      </c>
      <c r="T132" s="83">
        <f t="shared" si="11"/>
        <v>0</v>
      </c>
      <c r="U132" s="9" t="str">
        <f t="shared" si="12"/>
        <v>SEM VALOR</v>
      </c>
      <c r="V132" s="1" t="str">
        <f ca="1">IF(OR($A132=0,$A132="S",$A132&gt;CFF!$A$9),"",MAX(V$12:OFFSET(V132,-1,0))+1)</f>
        <v/>
      </c>
      <c r="W132" s="4" t="str">
        <f t="shared" si="13"/>
        <v>FNDE-129</v>
      </c>
      <c r="X132" s="1" t="e">
        <f t="shared" ca="1" si="31"/>
        <v>#N/A</v>
      </c>
      <c r="Y132" s="103">
        <v>698.68</v>
      </c>
      <c r="Z132" s="113">
        <f ca="1">ROUND(IF(ISNUMBER(R132),R132,IF(LEFT(R132,3)="BDI",HLOOKUP(R132,DADOS!$T$37:$X$38,2,FALSE),0)),15-11*$X$5)</f>
        <v>0.25</v>
      </c>
      <c r="AA132" s="1"/>
    </row>
    <row r="133" spans="1:27" ht="26.4" x14ac:dyDescent="0.25">
      <c r="A133" t="str">
        <f t="shared" si="0"/>
        <v>S</v>
      </c>
      <c r="B133">
        <f t="shared" si="1"/>
        <v>0</v>
      </c>
      <c r="C133">
        <f t="shared" ca="1" si="2"/>
        <v>5</v>
      </c>
      <c r="D133">
        <f t="shared" ca="1" si="3"/>
        <v>4</v>
      </c>
      <c r="E133">
        <f t="shared" ca="1" si="4"/>
        <v>0</v>
      </c>
      <c r="F133">
        <f t="shared" ca="1" si="5"/>
        <v>0</v>
      </c>
      <c r="G133">
        <f t="shared" ca="1" si="6"/>
        <v>3</v>
      </c>
      <c r="H133">
        <f t="shared" ca="1" si="16"/>
        <v>0</v>
      </c>
      <c r="I133">
        <f t="shared" ca="1" si="17"/>
        <v>0</v>
      </c>
      <c r="J133" s="356" t="s">
        <v>103</v>
      </c>
      <c r="K133" s="138" t="str">
        <f t="shared" ca="1" si="9"/>
        <v>5.4.0.3.</v>
      </c>
      <c r="L133" s="357" t="s">
        <v>233</v>
      </c>
      <c r="M133" s="357" t="s">
        <v>654</v>
      </c>
      <c r="N133" s="358" t="s">
        <v>976</v>
      </c>
      <c r="O133" s="359" t="s">
        <v>635</v>
      </c>
      <c r="P133" s="360">
        <v>3.6</v>
      </c>
      <c r="Q133" s="195"/>
      <c r="R133" s="198" t="s">
        <v>7</v>
      </c>
      <c r="S133" s="103">
        <f t="shared" si="10"/>
        <v>0</v>
      </c>
      <c r="T133" s="83">
        <f t="shared" si="11"/>
        <v>0</v>
      </c>
      <c r="U133" s="9" t="str">
        <f t="shared" si="12"/>
        <v>SEM VALOR</v>
      </c>
      <c r="V133" s="1" t="str">
        <f ca="1">IF(OR($A133=0,$A133="S",$A133&gt;CFF!$A$9),"",MAX(V$12:OFFSET(V133,-1,0))+1)</f>
        <v/>
      </c>
      <c r="W133" s="4" t="str">
        <f t="shared" si="13"/>
        <v>SINAPI-96370</v>
      </c>
      <c r="X133" s="1">
        <f t="shared" ca="1" si="31"/>
        <v>5992</v>
      </c>
      <c r="Y133" s="103">
        <v>88.88</v>
      </c>
      <c r="Z133" s="113">
        <f ca="1">ROUND(IF(ISNUMBER(R133),R133,IF(LEFT(R133,3)="BDI",HLOOKUP(R133,DADOS!$T$37:$X$38,2,FALSE),0)),15-11*$X$5)</f>
        <v>0.25</v>
      </c>
      <c r="AA133" s="1"/>
    </row>
    <row r="134" spans="1:27" x14ac:dyDescent="0.25">
      <c r="A134">
        <f t="shared" si="0"/>
        <v>1</v>
      </c>
      <c r="B134">
        <f t="shared" ca="1" si="1"/>
        <v>45</v>
      </c>
      <c r="C134">
        <f t="shared" ca="1" si="2"/>
        <v>6</v>
      </c>
      <c r="D134">
        <f t="shared" ca="1" si="3"/>
        <v>0</v>
      </c>
      <c r="E134">
        <f t="shared" ca="1" si="4"/>
        <v>0</v>
      </c>
      <c r="F134">
        <f t="shared" ca="1" si="5"/>
        <v>0</v>
      </c>
      <c r="G134">
        <f t="shared" ca="1" si="6"/>
        <v>0</v>
      </c>
      <c r="H134">
        <f t="shared" ca="1" si="16"/>
        <v>469</v>
      </c>
      <c r="I134">
        <f t="shared" ca="1" si="17"/>
        <v>45</v>
      </c>
      <c r="J134" s="356" t="s">
        <v>99</v>
      </c>
      <c r="K134" s="138" t="str">
        <f t="shared" ca="1" si="9"/>
        <v>6.</v>
      </c>
      <c r="L134" s="357"/>
      <c r="M134" s="357"/>
      <c r="N134" s="358" t="s">
        <v>287</v>
      </c>
      <c r="O134" s="359" t="s">
        <v>106</v>
      </c>
      <c r="P134" s="360"/>
      <c r="Q134" s="195"/>
      <c r="R134" s="198" t="s">
        <v>7</v>
      </c>
      <c r="S134" s="103">
        <f t="shared" si="10"/>
        <v>0</v>
      </c>
      <c r="T134" s="83">
        <f t="shared" ca="1" si="11"/>
        <v>0</v>
      </c>
      <c r="U134" s="9" t="str">
        <f t="shared" ca="1" si="12"/>
        <v>SEM VALOR</v>
      </c>
      <c r="V134" s="1">
        <f ca="1">IF(OR($A134=0,$A134="S",$A134&gt;CFF!$A$9),"",MAX(V$12:OFFSET(V134,-1,0))+1)</f>
        <v>25</v>
      </c>
      <c r="W134" s="4" t="b">
        <f t="shared" si="13"/>
        <v>0</v>
      </c>
      <c r="X134" s="1" t="str">
        <f t="shared" ca="1" si="14"/>
        <v>X</v>
      </c>
      <c r="Y134" s="103">
        <v>0</v>
      </c>
      <c r="Z134" s="113">
        <f ca="1">ROUND(IF(ISNUMBER(R134),R134,IF(LEFT(R134,3)="BDI",HLOOKUP(R134,DADOS!$T$37:$X$38,2,FALSE),0)),15-11*$X$5)</f>
        <v>0.25</v>
      </c>
      <c r="AA134" s="1"/>
    </row>
    <row r="135" spans="1:27" x14ac:dyDescent="0.25">
      <c r="A135">
        <f>CHOOSE(1+LOG(1+2*(J135="Meta")+4*(J135="Nível 2")+8*(J135="Nível 3")+16*(J135="Nível 4")+32*(J135="Serviço"),2),0,1,2,3,4,"S")</f>
        <v>2</v>
      </c>
      <c r="B135">
        <f ca="1">IF(OR(A135="S",A135=0),0,IF(ISERROR(I135),H135,SMALL(H135:I135,1)))</f>
        <v>8</v>
      </c>
      <c r="C135">
        <f ca="1">IF($A135=1,OFFSET(C135,-1,0)+1,OFFSET(C135,-1,0))</f>
        <v>6</v>
      </c>
      <c r="D135">
        <f ca="1">IF($A135=1,0,IF($A135=2,OFFSET(D135,-1,0)+1,OFFSET(D135,-1,0)))</f>
        <v>1</v>
      </c>
      <c r="E135">
        <f ca="1">IF(AND($A135&lt;=2,$A135&lt;&gt;0),0,IF($A135=3,OFFSET(E135,-1,0)+1,OFFSET(E135,-1,0)))</f>
        <v>0</v>
      </c>
      <c r="F135">
        <f ca="1">IF(AND($A135&lt;=3,$A135&lt;&gt;0),0,IF($A135=4,OFFSET(F135,-1,0)+1,OFFSET(F135,-1,0)))</f>
        <v>0</v>
      </c>
      <c r="G135">
        <f ca="1">IF(AND($A135&lt;=4,$A135&lt;&gt;0),0,IF($A135="S",OFFSET(G135,-1,0)+1,OFFSET(G135,-1,0)))</f>
        <v>0</v>
      </c>
      <c r="H135">
        <f t="shared" ca="1" si="16"/>
        <v>44</v>
      </c>
      <c r="I135">
        <f t="shared" ca="1" si="17"/>
        <v>8</v>
      </c>
      <c r="J135" s="356" t="s">
        <v>100</v>
      </c>
      <c r="K135" s="138" t="str">
        <f ca="1">IF($A135=0,"-",CONCATENATE(C135&amp;".",IF(AND($A$5&gt;=2,$A135&gt;=2),D135&amp;".",""),IF(AND($A$5&gt;=3,$A135&gt;=3),E135&amp;".",""),IF(AND($A$5&gt;=4,$A135&gt;=4),F135&amp;".",""),IF($A135="S",G135&amp;".","")))</f>
        <v>6.1.</v>
      </c>
      <c r="L135" s="357"/>
      <c r="M135" s="357"/>
      <c r="N135" s="358" t="s">
        <v>288</v>
      </c>
      <c r="O135" s="359" t="s">
        <v>106</v>
      </c>
      <c r="P135" s="360"/>
      <c r="Q135" s="195"/>
      <c r="R135" s="198" t="s">
        <v>7</v>
      </c>
      <c r="S135" s="103">
        <f>IF($A135="S",IF($Q$10="Preço Unitário (R$)",PO.CustoUnitario,ROUND(PO.CustoUnitario*(1+$Z135),15-13*$X$6)),0)</f>
        <v>0</v>
      </c>
      <c r="T135" s="83">
        <f ca="1">IF($A135="S",VTOTAL1,IF($A135=0,0,ROUND(SomaAgrup,15-13*$X$7)))</f>
        <v>0</v>
      </c>
      <c r="U135" s="9" t="str">
        <f ca="1">IF($J135="","",IF($N135="","DESCRIÇÃO",IF(AND($J135="Serviço",$O135=""),"UNIDADE",IF($T135&lt;=0,"SEM VALOR",IF(AND($Y135&lt;&gt;"",$Q135&gt;$Y135),"ACIMA REF.","")))))</f>
        <v>SEM VALOR</v>
      </c>
      <c r="V135" s="1">
        <f ca="1">IF(OR($A135=0,$A135="S",$A135&gt;CFF!$A$9),"",MAX(V$12:OFFSET(V135,-1,0))+1)</f>
        <v>26</v>
      </c>
      <c r="W135" s="4" t="b">
        <f>IF(AND($J135="Serviço",$M135&lt;&gt;""),IF($L135="",$M135,CONCATENATE($L135,"-",$M135)))</f>
        <v>0</v>
      </c>
      <c r="X135" s="1" t="str">
        <f ca="1">IF(AND(Fonte&lt;&gt;"",Código&lt;&gt;""),MATCH(Fonte&amp;" "&amp;IF(Fonte="sinapi",SUBSTITUTE(SUBSTITUTE(Código,"/00","/"),"/0","/"),Código),INDIRECT("'[Referência "&amp;_xlnm.Database&amp;".xls]Banco'!$a:$a"),0),"X")</f>
        <v>X</v>
      </c>
      <c r="Y135" s="103">
        <v>0</v>
      </c>
      <c r="Z135" s="113">
        <f ca="1">ROUND(IF(ISNUMBER(R135),R135,IF(LEFT(R135,3)="BDI",HLOOKUP(R135,DADOS!$T$37:$X$38,2,FALSE),0)),15-11*$X$5)</f>
        <v>0.25</v>
      </c>
      <c r="AA135" s="1"/>
    </row>
    <row r="136" spans="1:27" ht="39.6" x14ac:dyDescent="0.25">
      <c r="A136" t="str">
        <f t="shared" si="0"/>
        <v>S</v>
      </c>
      <c r="B136">
        <f t="shared" si="1"/>
        <v>0</v>
      </c>
      <c r="C136">
        <f t="shared" ca="1" si="2"/>
        <v>6</v>
      </c>
      <c r="D136">
        <f t="shared" ca="1" si="3"/>
        <v>1</v>
      </c>
      <c r="E136">
        <f t="shared" ca="1" si="4"/>
        <v>0</v>
      </c>
      <c r="F136">
        <f t="shared" ca="1" si="5"/>
        <v>0</v>
      </c>
      <c r="G136">
        <f t="shared" ca="1" si="6"/>
        <v>1</v>
      </c>
      <c r="H136">
        <f t="shared" ca="1" si="16"/>
        <v>0</v>
      </c>
      <c r="I136">
        <f t="shared" ca="1" si="17"/>
        <v>0</v>
      </c>
      <c r="J136" s="356" t="s">
        <v>103</v>
      </c>
      <c r="K136" s="138" t="str">
        <f t="shared" ca="1" si="9"/>
        <v>6.1.0.1.</v>
      </c>
      <c r="L136" s="357" t="s">
        <v>469</v>
      </c>
      <c r="M136" s="357" t="s">
        <v>695</v>
      </c>
      <c r="N136" s="358" t="s">
        <v>694</v>
      </c>
      <c r="O136" s="359" t="s">
        <v>470</v>
      </c>
      <c r="P136" s="360">
        <v>6</v>
      </c>
      <c r="Q136" s="195"/>
      <c r="R136" s="198" t="s">
        <v>7</v>
      </c>
      <c r="S136" s="103">
        <f t="shared" si="10"/>
        <v>0</v>
      </c>
      <c r="T136" s="83">
        <f t="shared" si="11"/>
        <v>0</v>
      </c>
      <c r="U136" s="9" t="str">
        <f t="shared" si="12"/>
        <v>SEM VALOR</v>
      </c>
      <c r="V136" s="1" t="str">
        <f ca="1">IF(OR($A136=0,$A136="S",$A136&gt;CFF!$A$9),"",MAX(V$12:OFFSET(V136,-1,0))+1)</f>
        <v/>
      </c>
      <c r="W136" s="4" t="str">
        <f t="shared" si="13"/>
        <v>FNDE-FNDE 433</v>
      </c>
      <c r="X136" s="1" t="e">
        <f t="shared" ca="1" si="14"/>
        <v>#N/A</v>
      </c>
      <c r="Y136" s="103">
        <v>1600.49</v>
      </c>
      <c r="Z136" s="113">
        <f ca="1">ROUND(IF(ISNUMBER(R136),R136,IF(LEFT(R136,3)="BDI",HLOOKUP(R136,DADOS!$T$37:$X$38,2,FALSE),0)),15-11*$X$5)</f>
        <v>0.25</v>
      </c>
      <c r="AA136" s="1"/>
    </row>
    <row r="137" spans="1:27" ht="39.6" x14ac:dyDescent="0.25">
      <c r="A137" t="str">
        <f t="shared" si="0"/>
        <v>S</v>
      </c>
      <c r="B137">
        <f t="shared" si="1"/>
        <v>0</v>
      </c>
      <c r="C137">
        <f t="shared" ca="1" si="2"/>
        <v>6</v>
      </c>
      <c r="D137">
        <f t="shared" ca="1" si="3"/>
        <v>1</v>
      </c>
      <c r="E137">
        <f t="shared" ca="1" si="4"/>
        <v>0</v>
      </c>
      <c r="F137">
        <f t="shared" ca="1" si="5"/>
        <v>0</v>
      </c>
      <c r="G137">
        <f t="shared" ca="1" si="6"/>
        <v>2</v>
      </c>
      <c r="H137">
        <f t="shared" ca="1" si="16"/>
        <v>0</v>
      </c>
      <c r="I137">
        <f t="shared" ca="1" si="17"/>
        <v>0</v>
      </c>
      <c r="J137" s="356" t="s">
        <v>103</v>
      </c>
      <c r="K137" s="138" t="str">
        <f t="shared" ca="1" si="9"/>
        <v>6.1.0.2.</v>
      </c>
      <c r="L137" s="357" t="s">
        <v>469</v>
      </c>
      <c r="M137" s="357" t="s">
        <v>696</v>
      </c>
      <c r="N137" s="358" t="s">
        <v>697</v>
      </c>
      <c r="O137" s="359" t="s">
        <v>470</v>
      </c>
      <c r="P137" s="360">
        <v>3</v>
      </c>
      <c r="Q137" s="195"/>
      <c r="R137" s="198" t="s">
        <v>7</v>
      </c>
      <c r="S137" s="103">
        <f t="shared" si="10"/>
        <v>0</v>
      </c>
      <c r="T137" s="83">
        <f t="shared" si="11"/>
        <v>0</v>
      </c>
      <c r="U137" s="9" t="str">
        <f t="shared" si="12"/>
        <v>SEM VALOR</v>
      </c>
      <c r="V137" s="1" t="str">
        <f ca="1">IF(OR($A137=0,$A137="S",$A137&gt;CFF!$A$9),"",MAX(V$12:OFFSET(V137,-1,0))+1)</f>
        <v/>
      </c>
      <c r="W137" s="4" t="str">
        <f t="shared" si="13"/>
        <v>FNDE-FNDE 247</v>
      </c>
      <c r="X137" s="1" t="e">
        <f t="shared" ca="1" si="14"/>
        <v>#N/A</v>
      </c>
      <c r="Y137" s="103">
        <v>2322.59</v>
      </c>
      <c r="Z137" s="113">
        <f ca="1">ROUND(IF(ISNUMBER(R137),R137,IF(LEFT(R137,3)="BDI",HLOOKUP(R137,DADOS!$T$37:$X$38,2,FALSE),0)),15-11*$X$5)</f>
        <v>0.25</v>
      </c>
      <c r="AA137" s="1"/>
    </row>
    <row r="138" spans="1:27" ht="39.6" x14ac:dyDescent="0.25">
      <c r="A138" t="str">
        <f t="shared" si="0"/>
        <v>S</v>
      </c>
      <c r="B138">
        <f t="shared" si="1"/>
        <v>0</v>
      </c>
      <c r="C138">
        <f t="shared" ca="1" si="2"/>
        <v>6</v>
      </c>
      <c r="D138">
        <f t="shared" ca="1" si="3"/>
        <v>1</v>
      </c>
      <c r="E138">
        <f t="shared" ca="1" si="4"/>
        <v>0</v>
      </c>
      <c r="F138">
        <f t="shared" ca="1" si="5"/>
        <v>0</v>
      </c>
      <c r="G138">
        <f t="shared" ca="1" si="6"/>
        <v>3</v>
      </c>
      <c r="H138">
        <f t="shared" ca="1" si="16"/>
        <v>0</v>
      </c>
      <c r="I138">
        <f t="shared" ca="1" si="17"/>
        <v>0</v>
      </c>
      <c r="J138" s="356" t="s">
        <v>103</v>
      </c>
      <c r="K138" s="138" t="str">
        <f t="shared" ca="1" si="9"/>
        <v>6.1.0.3.</v>
      </c>
      <c r="L138" s="357" t="s">
        <v>469</v>
      </c>
      <c r="M138" s="357" t="s">
        <v>698</v>
      </c>
      <c r="N138" s="358" t="s">
        <v>699</v>
      </c>
      <c r="O138" s="359" t="s">
        <v>470</v>
      </c>
      <c r="P138" s="360">
        <v>6</v>
      </c>
      <c r="Q138" s="195"/>
      <c r="R138" s="198" t="s">
        <v>7</v>
      </c>
      <c r="S138" s="103">
        <f t="shared" si="10"/>
        <v>0</v>
      </c>
      <c r="T138" s="83">
        <f t="shared" si="11"/>
        <v>0</v>
      </c>
      <c r="U138" s="9" t="str">
        <f t="shared" si="12"/>
        <v>SEM VALOR</v>
      </c>
      <c r="V138" s="1" t="str">
        <f ca="1">IF(OR($A138=0,$A138="S",$A138&gt;CFF!$A$9),"",MAX(V$12:OFFSET(V138,-1,0))+1)</f>
        <v/>
      </c>
      <c r="W138" s="4" t="str">
        <f t="shared" si="13"/>
        <v>FNDE-FNDE 246</v>
      </c>
      <c r="X138" s="1" t="e">
        <f t="shared" ca="1" si="14"/>
        <v>#N/A</v>
      </c>
      <c r="Y138" s="103">
        <v>1746</v>
      </c>
      <c r="Z138" s="113">
        <f ca="1">ROUND(IF(ISNUMBER(R138),R138,IF(LEFT(R138,3)="BDI",HLOOKUP(R138,DADOS!$T$37:$X$38,2,FALSE),0)),15-11*$X$5)</f>
        <v>0.25</v>
      </c>
      <c r="AA138" s="1"/>
    </row>
    <row r="139" spans="1:27" ht="39.6" x14ac:dyDescent="0.25">
      <c r="A139" t="str">
        <f t="shared" si="0"/>
        <v>S</v>
      </c>
      <c r="B139">
        <f t="shared" si="1"/>
        <v>0</v>
      </c>
      <c r="C139">
        <f t="shared" ca="1" si="2"/>
        <v>6</v>
      </c>
      <c r="D139">
        <f t="shared" ca="1" si="3"/>
        <v>1</v>
      </c>
      <c r="E139">
        <f t="shared" ca="1" si="4"/>
        <v>0</v>
      </c>
      <c r="F139">
        <f t="shared" ca="1" si="5"/>
        <v>0</v>
      </c>
      <c r="G139">
        <f t="shared" ca="1" si="6"/>
        <v>4</v>
      </c>
      <c r="H139">
        <f t="shared" ca="1" si="16"/>
        <v>0</v>
      </c>
      <c r="I139">
        <f t="shared" ca="1" si="17"/>
        <v>0</v>
      </c>
      <c r="J139" s="356" t="s">
        <v>103</v>
      </c>
      <c r="K139" s="138" t="str">
        <f t="shared" ca="1" si="9"/>
        <v>6.1.0.4.</v>
      </c>
      <c r="L139" s="357" t="s">
        <v>469</v>
      </c>
      <c r="M139" s="357" t="s">
        <v>701</v>
      </c>
      <c r="N139" s="358" t="s">
        <v>700</v>
      </c>
      <c r="O139" s="359" t="s">
        <v>470</v>
      </c>
      <c r="P139" s="360">
        <v>3</v>
      </c>
      <c r="Q139" s="195"/>
      <c r="R139" s="198" t="s">
        <v>7</v>
      </c>
      <c r="S139" s="103">
        <f t="shared" si="10"/>
        <v>0</v>
      </c>
      <c r="T139" s="83">
        <f t="shared" si="11"/>
        <v>0</v>
      </c>
      <c r="U139" s="9" t="str">
        <f t="shared" si="12"/>
        <v>SEM VALOR</v>
      </c>
      <c r="V139" s="1" t="str">
        <f ca="1">IF(OR($A139=0,$A139="S",$A139&gt;CFF!$A$9),"",MAX(V$12:OFFSET(V139,-1,0))+1)</f>
        <v/>
      </c>
      <c r="W139" s="4" t="str">
        <f t="shared" si="13"/>
        <v>FNDE-FNDE 434</v>
      </c>
      <c r="X139" s="1" t="e">
        <f t="shared" ca="1" si="14"/>
        <v>#N/A</v>
      </c>
      <c r="Y139" s="103">
        <v>1746</v>
      </c>
      <c r="Z139" s="113">
        <f ca="1">ROUND(IF(ISNUMBER(R139),R139,IF(LEFT(R139,3)="BDI",HLOOKUP(R139,DADOS!$T$37:$X$38,2,FALSE),0)),15-11*$X$5)</f>
        <v>0.25</v>
      </c>
      <c r="AA139" s="1"/>
    </row>
    <row r="140" spans="1:27" ht="39.6" x14ac:dyDescent="0.25">
      <c r="A140" t="str">
        <f t="shared" si="0"/>
        <v>S</v>
      </c>
      <c r="B140">
        <f t="shared" si="1"/>
        <v>0</v>
      </c>
      <c r="C140">
        <f t="shared" ca="1" si="2"/>
        <v>6</v>
      </c>
      <c r="D140">
        <f t="shared" ca="1" si="3"/>
        <v>1</v>
      </c>
      <c r="E140">
        <f t="shared" ca="1" si="4"/>
        <v>0</v>
      </c>
      <c r="F140">
        <f t="shared" ca="1" si="5"/>
        <v>0</v>
      </c>
      <c r="G140">
        <f t="shared" ca="1" si="6"/>
        <v>5</v>
      </c>
      <c r="H140">
        <f t="shared" ca="1" si="16"/>
        <v>0</v>
      </c>
      <c r="I140">
        <f t="shared" ca="1" si="17"/>
        <v>0</v>
      </c>
      <c r="J140" s="356" t="s">
        <v>103</v>
      </c>
      <c r="K140" s="138" t="str">
        <f t="shared" ca="1" si="9"/>
        <v>6.1.0.5.</v>
      </c>
      <c r="L140" s="357" t="s">
        <v>469</v>
      </c>
      <c r="M140" s="357" t="s">
        <v>702</v>
      </c>
      <c r="N140" s="358" t="s">
        <v>703</v>
      </c>
      <c r="O140" s="359" t="s">
        <v>470</v>
      </c>
      <c r="P140" s="360">
        <v>5</v>
      </c>
      <c r="Q140" s="195"/>
      <c r="R140" s="198" t="s">
        <v>7</v>
      </c>
      <c r="S140" s="103">
        <f t="shared" si="10"/>
        <v>0</v>
      </c>
      <c r="T140" s="83">
        <f t="shared" si="11"/>
        <v>0</v>
      </c>
      <c r="U140" s="9" t="str">
        <f t="shared" si="12"/>
        <v>SEM VALOR</v>
      </c>
      <c r="V140" s="1" t="str">
        <f ca="1">IF(OR($A140=0,$A140="S",$A140&gt;CFF!$A$9),"",MAX(V$12:OFFSET(V140,-1,0))+1)</f>
        <v/>
      </c>
      <c r="W140" s="4" t="str">
        <f t="shared" si="13"/>
        <v>FNDE-FNDE 430</v>
      </c>
      <c r="X140" s="1" t="e">
        <f t="shared" ca="1" si="14"/>
        <v>#N/A</v>
      </c>
      <c r="Y140" s="103">
        <v>2322.59</v>
      </c>
      <c r="Z140" s="113">
        <f ca="1">ROUND(IF(ISNUMBER(R140),R140,IF(LEFT(R140,3)="BDI",HLOOKUP(R140,DADOS!$T$37:$X$38,2,FALSE),0)),15-11*$X$5)</f>
        <v>0.25</v>
      </c>
      <c r="AA140" s="1"/>
    </row>
    <row r="141" spans="1:27" ht="26.4" x14ac:dyDescent="0.25">
      <c r="A141" t="str">
        <f t="shared" si="0"/>
        <v>S</v>
      </c>
      <c r="B141">
        <f t="shared" si="1"/>
        <v>0</v>
      </c>
      <c r="C141">
        <f t="shared" ca="1" si="2"/>
        <v>6</v>
      </c>
      <c r="D141">
        <f t="shared" ca="1" si="3"/>
        <v>1</v>
      </c>
      <c r="E141">
        <f t="shared" ca="1" si="4"/>
        <v>0</v>
      </c>
      <c r="F141">
        <f t="shared" ca="1" si="5"/>
        <v>0</v>
      </c>
      <c r="G141">
        <f t="shared" ca="1" si="6"/>
        <v>6</v>
      </c>
      <c r="H141">
        <f t="shared" ref="H141:H204" ca="1" si="32">IF(OR($A141="S",$A141=0),0,MATCH(0,OFFSET($B141,1,$A141,ROW($A$603)-ROW($A141)),0))</f>
        <v>0</v>
      </c>
      <c r="I141">
        <f t="shared" ref="I141:I204" ca="1" si="33">IF(OR($A141="S",$A141=0),0,MATCH(OFFSET($B141,0,$A141)+1,OFFSET($B141,1,$A141,ROW($A$603)-ROW($A141)),0))</f>
        <v>0</v>
      </c>
      <c r="J141" s="356" t="s">
        <v>103</v>
      </c>
      <c r="K141" s="138" t="str">
        <f t="shared" ca="1" si="9"/>
        <v>6.1.0.6.</v>
      </c>
      <c r="L141" s="357" t="s">
        <v>469</v>
      </c>
      <c r="M141" s="357" t="s">
        <v>704</v>
      </c>
      <c r="N141" s="358" t="s">
        <v>705</v>
      </c>
      <c r="O141" s="359" t="s">
        <v>470</v>
      </c>
      <c r="P141" s="360">
        <v>4</v>
      </c>
      <c r="Q141" s="195"/>
      <c r="R141" s="198" t="s">
        <v>7</v>
      </c>
      <c r="S141" s="103">
        <f t="shared" si="10"/>
        <v>0</v>
      </c>
      <c r="T141" s="83">
        <f t="shared" si="11"/>
        <v>0</v>
      </c>
      <c r="U141" s="9" t="str">
        <f t="shared" si="12"/>
        <v>SEM VALOR</v>
      </c>
      <c r="V141" s="1" t="str">
        <f ca="1">IF(OR($A141=0,$A141="S",$A141&gt;CFF!$A$9),"",MAX(V$12:OFFSET(V141,-1,0))+1)</f>
        <v/>
      </c>
      <c r="W141" s="4" t="str">
        <f t="shared" si="13"/>
        <v>FNDE-FNDE 432</v>
      </c>
      <c r="X141" s="1" t="e">
        <f t="shared" ca="1" si="14"/>
        <v>#N/A</v>
      </c>
      <c r="Y141" s="103">
        <v>1615.13</v>
      </c>
      <c r="Z141" s="113">
        <f ca="1">ROUND(IF(ISNUMBER(R141),R141,IF(LEFT(R141,3)="BDI",HLOOKUP(R141,DADOS!$T$37:$X$38,2,FALSE),0)),15-11*$X$5)</f>
        <v>0.25</v>
      </c>
      <c r="AA141" s="1"/>
    </row>
    <row r="142" spans="1:27" ht="26.4" x14ac:dyDescent="0.25">
      <c r="A142" t="str">
        <f t="shared" si="0"/>
        <v>S</v>
      </c>
      <c r="B142">
        <f t="shared" si="1"/>
        <v>0</v>
      </c>
      <c r="C142">
        <f t="shared" ca="1" si="2"/>
        <v>6</v>
      </c>
      <c r="D142">
        <f t="shared" ca="1" si="3"/>
        <v>1</v>
      </c>
      <c r="E142">
        <f t="shared" ca="1" si="4"/>
        <v>0</v>
      </c>
      <c r="F142">
        <f t="shared" ca="1" si="5"/>
        <v>0</v>
      </c>
      <c r="G142">
        <f t="shared" ca="1" si="6"/>
        <v>7</v>
      </c>
      <c r="H142">
        <f t="shared" ca="1" si="32"/>
        <v>0</v>
      </c>
      <c r="I142">
        <f t="shared" ca="1" si="33"/>
        <v>0</v>
      </c>
      <c r="J142" s="356" t="s">
        <v>103</v>
      </c>
      <c r="K142" s="138" t="str">
        <f t="shared" ca="1" si="9"/>
        <v>6.1.0.7.</v>
      </c>
      <c r="L142" s="357" t="s">
        <v>469</v>
      </c>
      <c r="M142" s="357" t="s">
        <v>707</v>
      </c>
      <c r="N142" s="358" t="s">
        <v>706</v>
      </c>
      <c r="O142" s="359" t="s">
        <v>635</v>
      </c>
      <c r="P142" s="360">
        <v>1.8</v>
      </c>
      <c r="Q142" s="195"/>
      <c r="R142" s="198" t="s">
        <v>7</v>
      </c>
      <c r="S142" s="103">
        <f t="shared" si="10"/>
        <v>0</v>
      </c>
      <c r="T142" s="83">
        <f t="shared" si="11"/>
        <v>0</v>
      </c>
      <c r="U142" s="9" t="str">
        <f t="shared" si="12"/>
        <v>SEM VALOR</v>
      </c>
      <c r="V142" s="1" t="str">
        <f ca="1">IF(OR($A142=0,$A142="S",$A142&gt;CFF!$A$9),"",MAX(V$12:OFFSET(V142,-1,0))+1)</f>
        <v/>
      </c>
      <c r="W142" s="4" t="str">
        <f t="shared" si="13"/>
        <v>FNDE-FNDE 431</v>
      </c>
      <c r="X142" s="1" t="e">
        <f t="shared" ca="1" si="14"/>
        <v>#N/A</v>
      </c>
      <c r="Y142" s="103">
        <v>316.69</v>
      </c>
      <c r="Z142" s="113">
        <f ca="1">ROUND(IF(ISNUMBER(R142),R142,IF(LEFT(R142,3)="BDI",HLOOKUP(R142,DADOS!$T$37:$X$38,2,FALSE),0)),15-11*$X$5)</f>
        <v>0.25</v>
      </c>
      <c r="AA142" s="1"/>
    </row>
    <row r="143" spans="1:27" x14ac:dyDescent="0.25">
      <c r="A143">
        <f t="shared" si="0"/>
        <v>2</v>
      </c>
      <c r="B143">
        <f t="shared" ca="1" si="1"/>
        <v>4</v>
      </c>
      <c r="C143">
        <f t="shared" ca="1" si="2"/>
        <v>6</v>
      </c>
      <c r="D143">
        <f t="shared" ca="1" si="3"/>
        <v>2</v>
      </c>
      <c r="E143">
        <f t="shared" ca="1" si="4"/>
        <v>0</v>
      </c>
      <c r="F143">
        <f t="shared" ca="1" si="5"/>
        <v>0</v>
      </c>
      <c r="G143">
        <f t="shared" ca="1" si="6"/>
        <v>0</v>
      </c>
      <c r="H143">
        <f t="shared" ca="1" si="32"/>
        <v>36</v>
      </c>
      <c r="I143">
        <f t="shared" ca="1" si="33"/>
        <v>4</v>
      </c>
      <c r="J143" s="356" t="s">
        <v>100</v>
      </c>
      <c r="K143" s="138" t="str">
        <f t="shared" ca="1" si="9"/>
        <v>6.2.</v>
      </c>
      <c r="L143" s="357"/>
      <c r="M143" s="357"/>
      <c r="N143" s="358" t="s">
        <v>289</v>
      </c>
      <c r="O143" s="359" t="s">
        <v>106</v>
      </c>
      <c r="P143" s="360"/>
      <c r="Q143" s="195"/>
      <c r="R143" s="198" t="s">
        <v>7</v>
      </c>
      <c r="S143" s="103">
        <f t="shared" si="10"/>
        <v>0</v>
      </c>
      <c r="T143" s="83">
        <f t="shared" ca="1" si="11"/>
        <v>0</v>
      </c>
      <c r="U143" s="9" t="str">
        <f t="shared" ca="1" si="12"/>
        <v>SEM VALOR</v>
      </c>
      <c r="V143" s="1">
        <f ca="1">IF(OR($A143=0,$A143="S",$A143&gt;CFF!$A$9),"",MAX(V$12:OFFSET(V143,-1,0))+1)</f>
        <v>27</v>
      </c>
      <c r="W143" s="4" t="b">
        <f t="shared" si="13"/>
        <v>0</v>
      </c>
      <c r="X143" s="1" t="str">
        <f t="shared" ca="1" si="14"/>
        <v>X</v>
      </c>
      <c r="Y143" s="103">
        <v>0</v>
      </c>
      <c r="Z143" s="113">
        <f ca="1">ROUND(IF(ISNUMBER(R143),R143,IF(LEFT(R143,3)="BDI",HLOOKUP(R143,DADOS!$T$37:$X$38,2,FALSE),0)),15-11*$X$5)</f>
        <v>0.25</v>
      </c>
      <c r="AA143" s="1"/>
    </row>
    <row r="144" spans="1:27" x14ac:dyDescent="0.25">
      <c r="A144" t="str">
        <f t="shared" si="0"/>
        <v>S</v>
      </c>
      <c r="B144">
        <f t="shared" si="1"/>
        <v>0</v>
      </c>
      <c r="C144">
        <f t="shared" ca="1" si="2"/>
        <v>6</v>
      </c>
      <c r="D144">
        <f t="shared" ca="1" si="3"/>
        <v>2</v>
      </c>
      <c r="E144">
        <f t="shared" ca="1" si="4"/>
        <v>0</v>
      </c>
      <c r="F144">
        <f t="shared" ca="1" si="5"/>
        <v>0</v>
      </c>
      <c r="G144">
        <f t="shared" ca="1" si="6"/>
        <v>1</v>
      </c>
      <c r="H144">
        <f t="shared" ca="1" si="32"/>
        <v>0</v>
      </c>
      <c r="I144">
        <f t="shared" ca="1" si="33"/>
        <v>0</v>
      </c>
      <c r="J144" s="356" t="s">
        <v>103</v>
      </c>
      <c r="K144" s="138" t="str">
        <f t="shared" ca="1" si="9"/>
        <v>6.2.0.1.</v>
      </c>
      <c r="L144" s="357" t="s">
        <v>233</v>
      </c>
      <c r="M144" s="357" t="s">
        <v>657</v>
      </c>
      <c r="N144" s="358" t="s">
        <v>977</v>
      </c>
      <c r="O144" s="359" t="s">
        <v>470</v>
      </c>
      <c r="P144" s="360">
        <v>4</v>
      </c>
      <c r="Q144" s="195"/>
      <c r="R144" s="198" t="s">
        <v>7</v>
      </c>
      <c r="S144" s="103">
        <f t="shared" si="10"/>
        <v>0</v>
      </c>
      <c r="T144" s="83">
        <f t="shared" si="11"/>
        <v>0</v>
      </c>
      <c r="U144" s="9" t="str">
        <f t="shared" si="12"/>
        <v>SEM VALOR</v>
      </c>
      <c r="V144" s="1" t="str">
        <f ca="1">IF(OR($A144=0,$A144="S",$A144&gt;CFF!$A$9),"",MAX(V$12:OFFSET(V144,-1,0))+1)</f>
        <v/>
      </c>
      <c r="W144" s="4" t="str">
        <f t="shared" si="13"/>
        <v>SINAPI-100705</v>
      </c>
      <c r="X144" s="1">
        <f t="shared" ca="1" si="14"/>
        <v>2220</v>
      </c>
      <c r="Y144" s="103">
        <v>104.5</v>
      </c>
      <c r="Z144" s="113">
        <f ca="1">ROUND(IF(ISNUMBER(R144),R144,IF(LEFT(R144,3)="BDI",HLOOKUP(R144,DADOS!$T$37:$X$38,2,FALSE),0)),15-11*$X$5)</f>
        <v>0.25</v>
      </c>
      <c r="AA144" s="1"/>
    </row>
    <row r="145" spans="1:27" ht="26.4" x14ac:dyDescent="0.25">
      <c r="A145" t="str">
        <f t="shared" si="0"/>
        <v>S</v>
      </c>
      <c r="B145">
        <f t="shared" si="1"/>
        <v>0</v>
      </c>
      <c r="C145">
        <f t="shared" ca="1" si="2"/>
        <v>6</v>
      </c>
      <c r="D145">
        <f t="shared" ca="1" si="3"/>
        <v>2</v>
      </c>
      <c r="E145">
        <f t="shared" ca="1" si="4"/>
        <v>0</v>
      </c>
      <c r="F145">
        <f t="shared" ca="1" si="5"/>
        <v>0</v>
      </c>
      <c r="G145">
        <f t="shared" ca="1" si="6"/>
        <v>2</v>
      </c>
      <c r="H145">
        <f t="shared" ca="1" si="32"/>
        <v>0</v>
      </c>
      <c r="I145">
        <f t="shared" ca="1" si="33"/>
        <v>0</v>
      </c>
      <c r="J145" s="356" t="s">
        <v>103</v>
      </c>
      <c r="K145" s="138" t="str">
        <f t="shared" ca="1" si="9"/>
        <v>6.2.0.2.</v>
      </c>
      <c r="L145" s="357" t="s">
        <v>233</v>
      </c>
      <c r="M145" s="357" t="s">
        <v>471</v>
      </c>
      <c r="N145" s="358" t="s">
        <v>978</v>
      </c>
      <c r="O145" s="359" t="s">
        <v>470</v>
      </c>
      <c r="P145" s="360">
        <v>8</v>
      </c>
      <c r="Q145" s="195"/>
      <c r="R145" s="198" t="s">
        <v>7</v>
      </c>
      <c r="S145" s="103">
        <f t="shared" si="10"/>
        <v>0</v>
      </c>
      <c r="T145" s="83">
        <f t="shared" si="11"/>
        <v>0</v>
      </c>
      <c r="U145" s="9" t="str">
        <f t="shared" si="12"/>
        <v>SEM VALOR</v>
      </c>
      <c r="V145" s="1" t="str">
        <f ca="1">IF(OR($A145=0,$A145="S",$A145&gt;CFF!$A$9),"",MAX(V$12:OFFSET(V145,-1,0))+1)</f>
        <v/>
      </c>
      <c r="W145" s="4" t="str">
        <f t="shared" si="13"/>
        <v>SINAPI-100866</v>
      </c>
      <c r="X145" s="1">
        <f ca="1">IF(AND(Fonte&lt;&gt;"",Código&lt;&gt;""),MATCH(Fonte&amp;" "&amp;IF(Fonte="sinapi",SUBSTITUTE(SUBSTITUTE(Código,"/00","/"),"/0","/"),Código),INDIRECT("'[Referência "&amp;_xlnm.Database&amp;".xls]Banco'!$a:$a"),0),"X")</f>
        <v>5333</v>
      </c>
      <c r="Y145" s="103">
        <v>500.03</v>
      </c>
      <c r="Z145" s="113">
        <f ca="1">ROUND(IF(ISNUMBER(R145),R145,IF(LEFT(R145,3)="BDI",HLOOKUP(R145,DADOS!$T$37:$X$38,2,FALSE),0)),15-11*$X$5)</f>
        <v>0.25</v>
      </c>
      <c r="AA145" s="1"/>
    </row>
    <row r="146" spans="1:27" x14ac:dyDescent="0.25">
      <c r="A146" t="str">
        <f t="shared" si="0"/>
        <v>S</v>
      </c>
      <c r="B146">
        <f t="shared" si="1"/>
        <v>0</v>
      </c>
      <c r="C146">
        <f t="shared" ca="1" si="2"/>
        <v>6</v>
      </c>
      <c r="D146">
        <f t="shared" ca="1" si="3"/>
        <v>2</v>
      </c>
      <c r="E146">
        <f t="shared" ca="1" si="4"/>
        <v>0</v>
      </c>
      <c r="F146">
        <f t="shared" ca="1" si="5"/>
        <v>0</v>
      </c>
      <c r="G146">
        <f t="shared" ca="1" si="6"/>
        <v>3</v>
      </c>
      <c r="H146">
        <f t="shared" ca="1" si="32"/>
        <v>0</v>
      </c>
      <c r="I146">
        <f t="shared" ca="1" si="33"/>
        <v>0</v>
      </c>
      <c r="J146" s="356" t="s">
        <v>103</v>
      </c>
      <c r="K146" s="138" t="str">
        <f t="shared" ca="1" si="9"/>
        <v>6.2.0.3.</v>
      </c>
      <c r="L146" s="357" t="s">
        <v>469</v>
      </c>
      <c r="M146" s="357" t="s">
        <v>708</v>
      </c>
      <c r="N146" s="358" t="s">
        <v>709</v>
      </c>
      <c r="O146" s="359" t="s">
        <v>635</v>
      </c>
      <c r="P146" s="360">
        <v>12.8</v>
      </c>
      <c r="Q146" s="195"/>
      <c r="R146" s="198" t="s">
        <v>7</v>
      </c>
      <c r="S146" s="103">
        <f t="shared" si="10"/>
        <v>0</v>
      </c>
      <c r="T146" s="83">
        <f t="shared" si="11"/>
        <v>0</v>
      </c>
      <c r="U146" s="9" t="str">
        <f t="shared" si="12"/>
        <v>SEM VALOR</v>
      </c>
      <c r="V146" s="1" t="str">
        <f ca="1">IF(OR($A146=0,$A146="S",$A146&gt;CFF!$A$9),"",MAX(V$12:OFFSET(V146,-1,0))+1)</f>
        <v/>
      </c>
      <c r="W146" s="4" t="str">
        <f t="shared" si="13"/>
        <v>FNDE-FNDE 04</v>
      </c>
      <c r="X146" s="1" t="e">
        <f ca="1">IF(AND(Fonte&lt;&gt;"",Código&lt;&gt;""),MATCH(Fonte&amp;" "&amp;IF(Fonte="sinapi",SUBSTITUTE(SUBSTITUTE(Código,"/00","/"),"/0","/"),Código),INDIRECT("'[Referência "&amp;_xlnm.Database&amp;".xls]Banco'!$a:$a"),0),"X")</f>
        <v>#N/A</v>
      </c>
      <c r="Y146" s="103">
        <v>247.43</v>
      </c>
      <c r="Z146" s="113">
        <f ca="1">ROUND(IF(ISNUMBER(R146),R146,IF(LEFT(R146,3)="BDI",HLOOKUP(R146,DADOS!$T$37:$X$38,2,FALSE),0)),15-11*$X$5)</f>
        <v>0.25</v>
      </c>
      <c r="AA146" s="1"/>
    </row>
    <row r="147" spans="1:27" x14ac:dyDescent="0.25">
      <c r="A147">
        <f t="shared" si="0"/>
        <v>2</v>
      </c>
      <c r="B147">
        <f t="shared" ca="1" si="1"/>
        <v>6</v>
      </c>
      <c r="C147">
        <f t="shared" ca="1" si="2"/>
        <v>6</v>
      </c>
      <c r="D147">
        <f t="shared" ca="1" si="3"/>
        <v>3</v>
      </c>
      <c r="E147">
        <f t="shared" ca="1" si="4"/>
        <v>0</v>
      </c>
      <c r="F147">
        <f t="shared" ca="1" si="5"/>
        <v>0</v>
      </c>
      <c r="G147">
        <f t="shared" ca="1" si="6"/>
        <v>0</v>
      </c>
      <c r="H147">
        <f t="shared" ca="1" si="32"/>
        <v>32</v>
      </c>
      <c r="I147">
        <f t="shared" ca="1" si="33"/>
        <v>6</v>
      </c>
      <c r="J147" s="356" t="s">
        <v>100</v>
      </c>
      <c r="K147" s="138" t="str">
        <f t="shared" ca="1" si="9"/>
        <v>6.3.</v>
      </c>
      <c r="L147" s="357"/>
      <c r="M147" s="357"/>
      <c r="N147" s="358" t="s">
        <v>291</v>
      </c>
      <c r="O147" s="359" t="s">
        <v>106</v>
      </c>
      <c r="P147" s="360"/>
      <c r="Q147" s="195"/>
      <c r="R147" s="198" t="s">
        <v>7</v>
      </c>
      <c r="S147" s="103">
        <f t="shared" si="10"/>
        <v>0</v>
      </c>
      <c r="T147" s="83">
        <f t="shared" ca="1" si="11"/>
        <v>0</v>
      </c>
      <c r="U147" s="9" t="str">
        <f t="shared" ca="1" si="12"/>
        <v>SEM VALOR</v>
      </c>
      <c r="V147" s="1">
        <f ca="1">IF(OR($A147=0,$A147="S",$A147&gt;CFF!$A$9),"",MAX(V$12:OFFSET(V147,-1,0))+1)</f>
        <v>28</v>
      </c>
      <c r="W147" s="4" t="b">
        <f t="shared" si="13"/>
        <v>0</v>
      </c>
      <c r="X147" s="1" t="str">
        <f t="shared" ca="1" si="14"/>
        <v>X</v>
      </c>
      <c r="Y147" s="103">
        <v>0</v>
      </c>
      <c r="Z147" s="113">
        <f ca="1">ROUND(IF(ISNUMBER(R147),R147,IF(LEFT(R147,3)="BDI",HLOOKUP(R147,DADOS!$T$37:$X$38,2,FALSE),0)),15-11*$X$5)</f>
        <v>0.25</v>
      </c>
      <c r="AA147" s="1"/>
    </row>
    <row r="148" spans="1:27" ht="26.4" x14ac:dyDescent="0.25">
      <c r="A148" t="str">
        <f t="shared" si="0"/>
        <v>S</v>
      </c>
      <c r="B148">
        <f t="shared" si="1"/>
        <v>0</v>
      </c>
      <c r="C148">
        <f t="shared" ca="1" si="2"/>
        <v>6</v>
      </c>
      <c r="D148">
        <f t="shared" ca="1" si="3"/>
        <v>3</v>
      </c>
      <c r="E148">
        <f t="shared" ca="1" si="4"/>
        <v>0</v>
      </c>
      <c r="F148">
        <f t="shared" ca="1" si="5"/>
        <v>0</v>
      </c>
      <c r="G148">
        <f t="shared" ca="1" si="6"/>
        <v>1</v>
      </c>
      <c r="H148">
        <f t="shared" ca="1" si="32"/>
        <v>0</v>
      </c>
      <c r="I148">
        <f t="shared" ca="1" si="33"/>
        <v>0</v>
      </c>
      <c r="J148" s="356" t="s">
        <v>103</v>
      </c>
      <c r="K148" s="138" t="str">
        <f t="shared" ca="1" si="9"/>
        <v>6.3.0.1.</v>
      </c>
      <c r="L148" s="357" t="s">
        <v>469</v>
      </c>
      <c r="M148" s="357" t="s">
        <v>710</v>
      </c>
      <c r="N148" s="358" t="s">
        <v>292</v>
      </c>
      <c r="O148" s="359" t="s">
        <v>470</v>
      </c>
      <c r="P148" s="360">
        <v>1</v>
      </c>
      <c r="Q148" s="195"/>
      <c r="R148" s="198" t="s">
        <v>7</v>
      </c>
      <c r="S148" s="103">
        <f t="shared" si="10"/>
        <v>0</v>
      </c>
      <c r="T148" s="83">
        <f t="shared" si="11"/>
        <v>0</v>
      </c>
      <c r="U148" s="9" t="str">
        <f t="shared" si="12"/>
        <v>SEM VALOR</v>
      </c>
      <c r="V148" s="1" t="str">
        <f ca="1">IF(OR($A148=0,$A148="S",$A148&gt;CFF!$A$9),"",MAX(V$12:OFFSET(V148,-1,0))+1)</f>
        <v/>
      </c>
      <c r="W148" s="4" t="str">
        <f t="shared" si="13"/>
        <v>FNDE-FNDE 251</v>
      </c>
      <c r="X148" s="1" t="e">
        <f t="shared" ca="1" si="14"/>
        <v>#N/A</v>
      </c>
      <c r="Y148" s="103">
        <v>1056.58</v>
      </c>
      <c r="Z148" s="113">
        <f ca="1">ROUND(IF(ISNUMBER(R148),R148,IF(LEFT(R148,3)="BDI",HLOOKUP(R148,DADOS!$T$37:$X$38,2,FALSE),0)),15-11*$X$5)</f>
        <v>0.25</v>
      </c>
      <c r="AA148" s="1"/>
    </row>
    <row r="149" spans="1:27" ht="26.4" x14ac:dyDescent="0.25">
      <c r="A149" t="str">
        <f t="shared" si="0"/>
        <v>S</v>
      </c>
      <c r="B149">
        <f t="shared" si="1"/>
        <v>0</v>
      </c>
      <c r="C149">
        <f t="shared" ca="1" si="2"/>
        <v>6</v>
      </c>
      <c r="D149">
        <f t="shared" ca="1" si="3"/>
        <v>3</v>
      </c>
      <c r="E149">
        <f t="shared" ca="1" si="4"/>
        <v>0</v>
      </c>
      <c r="F149">
        <f t="shared" ca="1" si="5"/>
        <v>0</v>
      </c>
      <c r="G149">
        <f t="shared" ca="1" si="6"/>
        <v>2</v>
      </c>
      <c r="H149">
        <f t="shared" ca="1" si="32"/>
        <v>0</v>
      </c>
      <c r="I149">
        <f t="shared" ca="1" si="33"/>
        <v>0</v>
      </c>
      <c r="J149" s="356" t="s">
        <v>103</v>
      </c>
      <c r="K149" s="138" t="str">
        <f t="shared" ca="1" si="9"/>
        <v>6.3.0.2.</v>
      </c>
      <c r="L149" s="357" t="s">
        <v>469</v>
      </c>
      <c r="M149" s="357" t="s">
        <v>711</v>
      </c>
      <c r="N149" s="358" t="s">
        <v>293</v>
      </c>
      <c r="O149" s="359" t="s">
        <v>635</v>
      </c>
      <c r="P149" s="360">
        <v>1.68</v>
      </c>
      <c r="Q149" s="195"/>
      <c r="R149" s="198" t="s">
        <v>7</v>
      </c>
      <c r="S149" s="103">
        <f t="shared" si="10"/>
        <v>0</v>
      </c>
      <c r="T149" s="83">
        <f t="shared" si="11"/>
        <v>0</v>
      </c>
      <c r="U149" s="9" t="str">
        <f t="shared" si="12"/>
        <v>SEM VALOR</v>
      </c>
      <c r="V149" s="1" t="str">
        <f ca="1">IF(OR($A149=0,$A149="S",$A149&gt;CFF!$A$9),"",MAX(V$12:OFFSET(V149,-1,0))+1)</f>
        <v/>
      </c>
      <c r="W149" s="4" t="str">
        <f t="shared" si="13"/>
        <v>FNDE-FNDE 252</v>
      </c>
      <c r="X149" s="1" t="e">
        <f t="shared" ca="1" si="14"/>
        <v>#N/A</v>
      </c>
      <c r="Y149" s="103">
        <v>813.46</v>
      </c>
      <c r="Z149" s="113">
        <f ca="1">ROUND(IF(ISNUMBER(R149),R149,IF(LEFT(R149,3)="BDI",HLOOKUP(R149,DADOS!$T$37:$X$38,2,FALSE),0)),15-11*$X$5)</f>
        <v>0.25</v>
      </c>
      <c r="AA149" s="1"/>
    </row>
    <row r="150" spans="1:27" ht="26.4" x14ac:dyDescent="0.25">
      <c r="A150" t="str">
        <f t="shared" si="0"/>
        <v>S</v>
      </c>
      <c r="B150">
        <f t="shared" si="1"/>
        <v>0</v>
      </c>
      <c r="C150">
        <f t="shared" ca="1" si="2"/>
        <v>6</v>
      </c>
      <c r="D150">
        <f t="shared" ca="1" si="3"/>
        <v>3</v>
      </c>
      <c r="E150">
        <f t="shared" ca="1" si="4"/>
        <v>0</v>
      </c>
      <c r="F150">
        <f t="shared" ca="1" si="5"/>
        <v>0</v>
      </c>
      <c r="G150">
        <f t="shared" ca="1" si="6"/>
        <v>3</v>
      </c>
      <c r="H150">
        <f t="shared" ca="1" si="32"/>
        <v>0</v>
      </c>
      <c r="I150">
        <f t="shared" ca="1" si="33"/>
        <v>0</v>
      </c>
      <c r="J150" s="356" t="s">
        <v>103</v>
      </c>
      <c r="K150" s="138" t="str">
        <f t="shared" ca="1" si="9"/>
        <v>6.3.0.3.</v>
      </c>
      <c r="L150" s="357" t="s">
        <v>469</v>
      </c>
      <c r="M150" s="357" t="s">
        <v>712</v>
      </c>
      <c r="N150" s="358" t="s">
        <v>294</v>
      </c>
      <c r="O150" s="359" t="s">
        <v>635</v>
      </c>
      <c r="P150" s="360">
        <v>3.36</v>
      </c>
      <c r="Q150" s="195"/>
      <c r="R150" s="198" t="s">
        <v>7</v>
      </c>
      <c r="S150" s="103">
        <f t="shared" si="10"/>
        <v>0</v>
      </c>
      <c r="T150" s="83">
        <f t="shared" si="11"/>
        <v>0</v>
      </c>
      <c r="U150" s="9" t="str">
        <f t="shared" si="12"/>
        <v>SEM VALOR</v>
      </c>
      <c r="V150" s="1" t="str">
        <f ca="1">IF(OR($A150=0,$A150="S",$A150&gt;CFF!$A$9),"",MAX(V$12:OFFSET(V150,-1,0))+1)</f>
        <v/>
      </c>
      <c r="W150" s="4" t="str">
        <f t="shared" si="13"/>
        <v>FNDE-FNDE 253</v>
      </c>
      <c r="X150" s="1" t="e">
        <f t="shared" ca="1" si="14"/>
        <v>#N/A</v>
      </c>
      <c r="Y150" s="103">
        <v>813.46</v>
      </c>
      <c r="Z150" s="113">
        <f ca="1">ROUND(IF(ISNUMBER(R150),R150,IF(LEFT(R150,3)="BDI",HLOOKUP(R150,DADOS!$T$37:$X$38,2,FALSE),0)),15-11*$X$5)</f>
        <v>0.25</v>
      </c>
      <c r="AA150" s="1"/>
    </row>
    <row r="151" spans="1:27" ht="39.6" x14ac:dyDescent="0.25">
      <c r="A151" t="str">
        <f t="shared" si="0"/>
        <v>S</v>
      </c>
      <c r="B151">
        <f t="shared" si="1"/>
        <v>0</v>
      </c>
      <c r="C151">
        <f t="shared" ca="1" si="2"/>
        <v>6</v>
      </c>
      <c r="D151">
        <f t="shared" ca="1" si="3"/>
        <v>3</v>
      </c>
      <c r="E151">
        <f t="shared" ca="1" si="4"/>
        <v>0</v>
      </c>
      <c r="F151">
        <f t="shared" ca="1" si="5"/>
        <v>0</v>
      </c>
      <c r="G151">
        <f t="shared" ca="1" si="6"/>
        <v>4</v>
      </c>
      <c r="H151">
        <f t="shared" ca="1" si="32"/>
        <v>0</v>
      </c>
      <c r="I151">
        <f t="shared" ca="1" si="33"/>
        <v>0</v>
      </c>
      <c r="J151" s="356" t="s">
        <v>103</v>
      </c>
      <c r="K151" s="138" t="str">
        <f t="shared" ca="1" si="9"/>
        <v>6.3.0.4.</v>
      </c>
      <c r="L151" s="357" t="s">
        <v>469</v>
      </c>
      <c r="M151" s="357" t="s">
        <v>713</v>
      </c>
      <c r="N151" s="358" t="s">
        <v>295</v>
      </c>
      <c r="O151" s="359" t="s">
        <v>635</v>
      </c>
      <c r="P151" s="360">
        <v>83.48</v>
      </c>
      <c r="Q151" s="195"/>
      <c r="R151" s="198" t="s">
        <v>7</v>
      </c>
      <c r="S151" s="103">
        <f t="shared" si="10"/>
        <v>0</v>
      </c>
      <c r="T151" s="83">
        <f t="shared" si="11"/>
        <v>0</v>
      </c>
      <c r="U151" s="9" t="str">
        <f t="shared" si="12"/>
        <v>SEM VALOR</v>
      </c>
      <c r="V151" s="1" t="str">
        <f ca="1">IF(OR($A151=0,$A151="S",$A151&gt;CFF!$A$9),"",MAX(V$12:OFFSET(V151,-1,0))+1)</f>
        <v/>
      </c>
      <c r="W151" s="4" t="str">
        <f t="shared" si="13"/>
        <v>FNDE-FNDE 435</v>
      </c>
      <c r="X151" s="1" t="e">
        <f t="shared" ca="1" si="14"/>
        <v>#N/A</v>
      </c>
      <c r="Y151" s="103">
        <v>583.54</v>
      </c>
      <c r="Z151" s="113">
        <f ca="1">ROUND(IF(ISNUMBER(R151),R151,IF(LEFT(R151,3)="BDI",HLOOKUP(R151,DADOS!$T$37:$X$38,2,FALSE),0)),15-11*$X$5)</f>
        <v>0.25</v>
      </c>
      <c r="AA151" s="1"/>
    </row>
    <row r="152" spans="1:27" ht="26.4" x14ac:dyDescent="0.25">
      <c r="A152" t="str">
        <f t="shared" si="0"/>
        <v>S</v>
      </c>
      <c r="B152">
        <f t="shared" si="1"/>
        <v>0</v>
      </c>
      <c r="C152">
        <f t="shared" ca="1" si="2"/>
        <v>6</v>
      </c>
      <c r="D152">
        <f t="shared" ca="1" si="3"/>
        <v>3</v>
      </c>
      <c r="E152">
        <f t="shared" ca="1" si="4"/>
        <v>0</v>
      </c>
      <c r="F152">
        <f t="shared" ca="1" si="5"/>
        <v>0</v>
      </c>
      <c r="G152">
        <f t="shared" ca="1" si="6"/>
        <v>5</v>
      </c>
      <c r="H152">
        <f t="shared" ca="1" si="32"/>
        <v>0</v>
      </c>
      <c r="I152">
        <f t="shared" ca="1" si="33"/>
        <v>0</v>
      </c>
      <c r="J152" s="356" t="s">
        <v>103</v>
      </c>
      <c r="K152" s="138" t="str">
        <f t="shared" ca="1" si="9"/>
        <v>6.3.0.5.</v>
      </c>
      <c r="L152" s="357" t="s">
        <v>469</v>
      </c>
      <c r="M152" s="357" t="s">
        <v>714</v>
      </c>
      <c r="N152" s="358" t="s">
        <v>296</v>
      </c>
      <c r="O152" s="359" t="s">
        <v>635</v>
      </c>
      <c r="P152" s="360">
        <v>2.04</v>
      </c>
      <c r="Q152" s="195"/>
      <c r="R152" s="198" t="s">
        <v>7</v>
      </c>
      <c r="S152" s="103">
        <f t="shared" si="10"/>
        <v>0</v>
      </c>
      <c r="T152" s="83">
        <f t="shared" si="11"/>
        <v>0</v>
      </c>
      <c r="U152" s="9" t="str">
        <f t="shared" si="12"/>
        <v>SEM VALOR</v>
      </c>
      <c r="V152" s="1" t="str">
        <f ca="1">IF(OR($A152=0,$A152="S",$A152&gt;CFF!$A$9),"",MAX(V$12:OFFSET(V152,-1,0))+1)</f>
        <v/>
      </c>
      <c r="W152" s="4" t="str">
        <f t="shared" si="13"/>
        <v>FNDE-FNDE 436</v>
      </c>
      <c r="X152" s="1" t="e">
        <f t="shared" ca="1" si="14"/>
        <v>#N/A</v>
      </c>
      <c r="Y152" s="103">
        <v>813.46</v>
      </c>
      <c r="Z152" s="113">
        <f ca="1">ROUND(IF(ISNUMBER(R152),R152,IF(LEFT(R152,3)="BDI",HLOOKUP(R152,DADOS!$T$37:$X$38,2,FALSE),0)),15-11*$X$5)</f>
        <v>0.25</v>
      </c>
      <c r="AA152" s="1"/>
    </row>
    <row r="153" spans="1:27" x14ac:dyDescent="0.25">
      <c r="A153">
        <f t="shared" si="0"/>
        <v>2</v>
      </c>
      <c r="B153">
        <f t="shared" ca="1" si="1"/>
        <v>16</v>
      </c>
      <c r="C153">
        <f t="shared" ca="1" si="2"/>
        <v>6</v>
      </c>
      <c r="D153">
        <f t="shared" ca="1" si="3"/>
        <v>4</v>
      </c>
      <c r="E153">
        <f t="shared" ca="1" si="4"/>
        <v>0</v>
      </c>
      <c r="F153">
        <f t="shared" ca="1" si="5"/>
        <v>0</v>
      </c>
      <c r="G153">
        <f t="shared" ca="1" si="6"/>
        <v>0</v>
      </c>
      <c r="H153">
        <f t="shared" ca="1" si="32"/>
        <v>26</v>
      </c>
      <c r="I153">
        <f t="shared" ca="1" si="33"/>
        <v>16</v>
      </c>
      <c r="J153" s="356" t="s">
        <v>100</v>
      </c>
      <c r="K153" s="138" t="str">
        <f t="shared" ca="1" si="9"/>
        <v>6.4.</v>
      </c>
      <c r="L153" s="357"/>
      <c r="M153" s="357"/>
      <c r="N153" s="358" t="s">
        <v>297</v>
      </c>
      <c r="O153" s="359" t="s">
        <v>106</v>
      </c>
      <c r="P153" s="360"/>
      <c r="Q153" s="195"/>
      <c r="R153" s="198" t="s">
        <v>7</v>
      </c>
      <c r="S153" s="103">
        <f t="shared" si="10"/>
        <v>0</v>
      </c>
      <c r="T153" s="83">
        <f t="shared" ca="1" si="11"/>
        <v>0</v>
      </c>
      <c r="U153" s="9" t="str">
        <f t="shared" ca="1" si="12"/>
        <v>SEM VALOR</v>
      </c>
      <c r="V153" s="1">
        <f ca="1">IF(OR($A153=0,$A153="S",$A153&gt;CFF!$A$9),"",MAX(V$12:OFFSET(V153,-1,0))+1)</f>
        <v>29</v>
      </c>
      <c r="W153" s="4" t="b">
        <f t="shared" si="13"/>
        <v>0</v>
      </c>
      <c r="X153" s="1" t="str">
        <f t="shared" ca="1" si="14"/>
        <v>X</v>
      </c>
      <c r="Y153" s="103">
        <v>0</v>
      </c>
      <c r="Z153" s="113">
        <f ca="1">ROUND(IF(ISNUMBER(R153),R153,IF(LEFT(R153,3)="BDI",HLOOKUP(R153,DADOS!$T$37:$X$38,2,FALSE),0)),15-11*$X$5)</f>
        <v>0.25</v>
      </c>
      <c r="AA153" s="1"/>
    </row>
    <row r="154" spans="1:27" ht="26.4" x14ac:dyDescent="0.25">
      <c r="A154" t="str">
        <f t="shared" si="0"/>
        <v>S</v>
      </c>
      <c r="B154">
        <f t="shared" si="1"/>
        <v>0</v>
      </c>
      <c r="C154">
        <f t="shared" ca="1" si="2"/>
        <v>6</v>
      </c>
      <c r="D154">
        <f t="shared" ca="1" si="3"/>
        <v>4</v>
      </c>
      <c r="E154">
        <f t="shared" ca="1" si="4"/>
        <v>0</v>
      </c>
      <c r="F154">
        <f t="shared" ca="1" si="5"/>
        <v>0</v>
      </c>
      <c r="G154">
        <f t="shared" ca="1" si="6"/>
        <v>1</v>
      </c>
      <c r="H154">
        <f t="shared" ca="1" si="32"/>
        <v>0</v>
      </c>
      <c r="I154">
        <f t="shared" ca="1" si="33"/>
        <v>0</v>
      </c>
      <c r="J154" s="356" t="s">
        <v>103</v>
      </c>
      <c r="K154" s="138" t="str">
        <f t="shared" ca="1" si="9"/>
        <v>6.4.0.1.</v>
      </c>
      <c r="L154" s="357" t="s">
        <v>469</v>
      </c>
      <c r="M154" s="357" t="s">
        <v>715</v>
      </c>
      <c r="N154" s="358" t="s">
        <v>298</v>
      </c>
      <c r="O154" s="359" t="s">
        <v>635</v>
      </c>
      <c r="P154" s="360">
        <v>0.88</v>
      </c>
      <c r="Q154" s="195"/>
      <c r="R154" s="198" t="s">
        <v>7</v>
      </c>
      <c r="S154" s="103">
        <f t="shared" si="10"/>
        <v>0</v>
      </c>
      <c r="T154" s="83">
        <f t="shared" si="11"/>
        <v>0</v>
      </c>
      <c r="U154" s="9" t="str">
        <f t="shared" si="12"/>
        <v>SEM VALOR</v>
      </c>
      <c r="V154" s="1" t="str">
        <f ca="1">IF(OR($A154=0,$A154="S",$A154&gt;CFF!$A$9),"",MAX(V$12:OFFSET(V154,-1,0))+1)</f>
        <v/>
      </c>
      <c r="W154" s="4" t="str">
        <f t="shared" si="13"/>
        <v>FNDE-FNDE 258</v>
      </c>
      <c r="X154" s="1" t="e">
        <f t="shared" ca="1" si="14"/>
        <v>#N/A</v>
      </c>
      <c r="Y154" s="103">
        <v>814.53</v>
      </c>
      <c r="Z154" s="113">
        <f ca="1">ROUND(IF(ISNUMBER(R154),R154,IF(LEFT(R154,3)="BDI",HLOOKUP(R154,DADOS!$T$37:$X$38,2,FALSE),0)),15-11*$X$5)</f>
        <v>0.25</v>
      </c>
      <c r="AA154" s="1"/>
    </row>
    <row r="155" spans="1:27" ht="26.4" x14ac:dyDescent="0.25">
      <c r="A155" t="str">
        <f t="shared" si="0"/>
        <v>S</v>
      </c>
      <c r="B155">
        <f t="shared" si="1"/>
        <v>0</v>
      </c>
      <c r="C155">
        <f t="shared" ca="1" si="2"/>
        <v>6</v>
      </c>
      <c r="D155">
        <f t="shared" ca="1" si="3"/>
        <v>4</v>
      </c>
      <c r="E155">
        <f t="shared" ca="1" si="4"/>
        <v>0</v>
      </c>
      <c r="F155">
        <f t="shared" ca="1" si="5"/>
        <v>0</v>
      </c>
      <c r="G155">
        <f t="shared" ca="1" si="6"/>
        <v>2</v>
      </c>
      <c r="H155">
        <f t="shared" ca="1" si="32"/>
        <v>0</v>
      </c>
      <c r="I155">
        <f t="shared" ca="1" si="33"/>
        <v>0</v>
      </c>
      <c r="J155" s="356" t="s">
        <v>103</v>
      </c>
      <c r="K155" s="138" t="str">
        <f t="shared" ca="1" si="9"/>
        <v>6.4.0.2.</v>
      </c>
      <c r="L155" s="357" t="s">
        <v>469</v>
      </c>
      <c r="M155" s="357" t="s">
        <v>716</v>
      </c>
      <c r="N155" s="358" t="s">
        <v>299</v>
      </c>
      <c r="O155" s="359" t="s">
        <v>635</v>
      </c>
      <c r="P155" s="360">
        <v>2.15</v>
      </c>
      <c r="Q155" s="195"/>
      <c r="R155" s="198" t="s">
        <v>7</v>
      </c>
      <c r="S155" s="103">
        <f t="shared" si="10"/>
        <v>0</v>
      </c>
      <c r="T155" s="83">
        <f t="shared" si="11"/>
        <v>0</v>
      </c>
      <c r="U155" s="9" t="str">
        <f t="shared" si="12"/>
        <v>SEM VALOR</v>
      </c>
      <c r="V155" s="1" t="str">
        <f ca="1">IF(OR($A155=0,$A155="S",$A155&gt;CFF!$A$9),"",MAX(V$12:OFFSET(V155,-1,0))+1)</f>
        <v/>
      </c>
      <c r="W155" s="4" t="str">
        <f t="shared" si="13"/>
        <v>FNDE-FNDE 438</v>
      </c>
      <c r="X155" s="1" t="e">
        <f t="shared" ca="1" si="14"/>
        <v>#N/A</v>
      </c>
      <c r="Y155" s="103">
        <v>814.53</v>
      </c>
      <c r="Z155" s="113">
        <f ca="1">ROUND(IF(ISNUMBER(R155),R155,IF(LEFT(R155,3)="BDI",HLOOKUP(R155,DADOS!$T$37:$X$38,2,FALSE),0)),15-11*$X$5)</f>
        <v>0.25</v>
      </c>
      <c r="AA155" s="1"/>
    </row>
    <row r="156" spans="1:27" ht="26.4" x14ac:dyDescent="0.25">
      <c r="A156" t="str">
        <f t="shared" si="0"/>
        <v>S</v>
      </c>
      <c r="B156">
        <f t="shared" si="1"/>
        <v>0</v>
      </c>
      <c r="C156">
        <f t="shared" ca="1" si="2"/>
        <v>6</v>
      </c>
      <c r="D156">
        <f t="shared" ca="1" si="3"/>
        <v>4</v>
      </c>
      <c r="E156">
        <f t="shared" ca="1" si="4"/>
        <v>0</v>
      </c>
      <c r="F156">
        <f t="shared" ca="1" si="5"/>
        <v>0</v>
      </c>
      <c r="G156">
        <f t="shared" ca="1" si="6"/>
        <v>3</v>
      </c>
      <c r="H156">
        <f t="shared" ca="1" si="32"/>
        <v>0</v>
      </c>
      <c r="I156">
        <f t="shared" ca="1" si="33"/>
        <v>0</v>
      </c>
      <c r="J156" s="356" t="s">
        <v>103</v>
      </c>
      <c r="K156" s="138" t="str">
        <f t="shared" ca="1" si="9"/>
        <v>6.4.0.3.</v>
      </c>
      <c r="L156" s="357" t="s">
        <v>469</v>
      </c>
      <c r="M156" s="357" t="s">
        <v>717</v>
      </c>
      <c r="N156" s="358" t="s">
        <v>300</v>
      </c>
      <c r="O156" s="359" t="s">
        <v>635</v>
      </c>
      <c r="P156" s="360">
        <v>1.61</v>
      </c>
      <c r="Q156" s="195"/>
      <c r="R156" s="198" t="s">
        <v>7</v>
      </c>
      <c r="S156" s="103">
        <f t="shared" si="10"/>
        <v>0</v>
      </c>
      <c r="T156" s="83">
        <f t="shared" si="11"/>
        <v>0</v>
      </c>
      <c r="U156" s="9" t="str">
        <f t="shared" si="12"/>
        <v>SEM VALOR</v>
      </c>
      <c r="V156" s="1" t="str">
        <f ca="1">IF(OR($A156=0,$A156="S",$A156&gt;CFF!$A$9),"",MAX(V$12:OFFSET(V156,-1,0))+1)</f>
        <v/>
      </c>
      <c r="W156" s="4" t="str">
        <f t="shared" si="13"/>
        <v>FNDE-FNDE 275</v>
      </c>
      <c r="X156" s="1" t="e">
        <f t="shared" ca="1" si="14"/>
        <v>#N/A</v>
      </c>
      <c r="Y156" s="103">
        <v>859.3</v>
      </c>
      <c r="Z156" s="113">
        <f ca="1">ROUND(IF(ISNUMBER(R156),R156,IF(LEFT(R156,3)="BDI",HLOOKUP(R156,DADOS!$T$37:$X$38,2,FALSE),0)),15-11*$X$5)</f>
        <v>0.25</v>
      </c>
      <c r="AA156" s="1"/>
    </row>
    <row r="157" spans="1:27" ht="26.4" x14ac:dyDescent="0.25">
      <c r="A157" t="str">
        <f t="shared" si="0"/>
        <v>S</v>
      </c>
      <c r="B157">
        <f t="shared" si="1"/>
        <v>0</v>
      </c>
      <c r="C157">
        <f t="shared" ca="1" si="2"/>
        <v>6</v>
      </c>
      <c r="D157">
        <f t="shared" ca="1" si="3"/>
        <v>4</v>
      </c>
      <c r="E157">
        <f t="shared" ca="1" si="4"/>
        <v>0</v>
      </c>
      <c r="F157">
        <f t="shared" ca="1" si="5"/>
        <v>0</v>
      </c>
      <c r="G157">
        <f t="shared" ca="1" si="6"/>
        <v>4</v>
      </c>
      <c r="H157">
        <f t="shared" ca="1" si="32"/>
        <v>0</v>
      </c>
      <c r="I157">
        <f t="shared" ca="1" si="33"/>
        <v>0</v>
      </c>
      <c r="J157" s="356" t="s">
        <v>103</v>
      </c>
      <c r="K157" s="138" t="str">
        <f t="shared" ca="1" si="9"/>
        <v>6.4.0.4.</v>
      </c>
      <c r="L157" s="357" t="s">
        <v>469</v>
      </c>
      <c r="M157" s="357" t="s">
        <v>718</v>
      </c>
      <c r="N157" s="358" t="s">
        <v>301</v>
      </c>
      <c r="O157" s="359" t="s">
        <v>635</v>
      </c>
      <c r="P157" s="360">
        <v>2.73</v>
      </c>
      <c r="Q157" s="195"/>
      <c r="R157" s="198" t="s">
        <v>7</v>
      </c>
      <c r="S157" s="103">
        <f t="shared" si="10"/>
        <v>0</v>
      </c>
      <c r="T157" s="83">
        <f t="shared" si="11"/>
        <v>0</v>
      </c>
      <c r="U157" s="9" t="str">
        <f t="shared" si="12"/>
        <v>SEM VALOR</v>
      </c>
      <c r="V157" s="1" t="str">
        <f ca="1">IF(OR($A157=0,$A157="S",$A157&gt;CFF!$A$9),"",MAX(V$12:OFFSET(V157,-1,0))+1)</f>
        <v/>
      </c>
      <c r="W157" s="4" t="str">
        <f t="shared" si="13"/>
        <v>FNDE-FNDE 439</v>
      </c>
      <c r="X157" s="1" t="e">
        <f t="shared" ca="1" si="14"/>
        <v>#N/A</v>
      </c>
      <c r="Y157" s="103">
        <v>814.53</v>
      </c>
      <c r="Z157" s="113">
        <f ca="1">ROUND(IF(ISNUMBER(R157),R157,IF(LEFT(R157,3)="BDI",HLOOKUP(R157,DADOS!$T$37:$X$38,2,FALSE),0)),15-11*$X$5)</f>
        <v>0.25</v>
      </c>
      <c r="AA157" s="1"/>
    </row>
    <row r="158" spans="1:27" ht="26.4" x14ac:dyDescent="0.25">
      <c r="A158" t="str">
        <f t="shared" si="0"/>
        <v>S</v>
      </c>
      <c r="B158">
        <f t="shared" si="1"/>
        <v>0</v>
      </c>
      <c r="C158">
        <f t="shared" ca="1" si="2"/>
        <v>6</v>
      </c>
      <c r="D158">
        <f t="shared" ca="1" si="3"/>
        <v>4</v>
      </c>
      <c r="E158">
        <f t="shared" ca="1" si="4"/>
        <v>0</v>
      </c>
      <c r="F158">
        <f t="shared" ca="1" si="5"/>
        <v>0</v>
      </c>
      <c r="G158">
        <f t="shared" ca="1" si="6"/>
        <v>5</v>
      </c>
      <c r="H158">
        <f t="shared" ca="1" si="32"/>
        <v>0</v>
      </c>
      <c r="I158">
        <f t="shared" ca="1" si="33"/>
        <v>0</v>
      </c>
      <c r="J158" s="356" t="s">
        <v>103</v>
      </c>
      <c r="K158" s="138" t="str">
        <f t="shared" ca="1" si="9"/>
        <v>6.4.0.5.</v>
      </c>
      <c r="L158" s="357" t="s">
        <v>469</v>
      </c>
      <c r="M158" s="357" t="s">
        <v>719</v>
      </c>
      <c r="N158" s="358" t="s">
        <v>302</v>
      </c>
      <c r="O158" s="359" t="s">
        <v>635</v>
      </c>
      <c r="P158" s="360">
        <v>2.16</v>
      </c>
      <c r="Q158" s="195"/>
      <c r="R158" s="198" t="s">
        <v>7</v>
      </c>
      <c r="S158" s="103">
        <f t="shared" si="10"/>
        <v>0</v>
      </c>
      <c r="T158" s="83">
        <f t="shared" si="11"/>
        <v>0</v>
      </c>
      <c r="U158" s="9" t="str">
        <f t="shared" si="12"/>
        <v>SEM VALOR</v>
      </c>
      <c r="V158" s="1" t="str">
        <f ca="1">IF(OR($A158=0,$A158="S",$A158&gt;CFF!$A$9),"",MAX(V$12:OFFSET(V158,-1,0))+1)</f>
        <v/>
      </c>
      <c r="W158" s="4" t="str">
        <f t="shared" si="13"/>
        <v>FNDE-FNDE 440</v>
      </c>
      <c r="X158" s="1" t="e">
        <f t="shared" ca="1" si="14"/>
        <v>#N/A</v>
      </c>
      <c r="Y158" s="103">
        <v>859.3</v>
      </c>
      <c r="Z158" s="113">
        <f ca="1">ROUND(IF(ISNUMBER(R158),R158,IF(LEFT(R158,3)="BDI",HLOOKUP(R158,DADOS!$T$37:$X$38,2,FALSE),0)),15-11*$X$5)</f>
        <v>0.25</v>
      </c>
      <c r="AA158" s="1"/>
    </row>
    <row r="159" spans="1:27" ht="26.4" x14ac:dyDescent="0.25">
      <c r="A159" t="str">
        <f t="shared" si="0"/>
        <v>S</v>
      </c>
      <c r="B159">
        <f t="shared" si="1"/>
        <v>0</v>
      </c>
      <c r="C159">
        <f t="shared" ca="1" si="2"/>
        <v>6</v>
      </c>
      <c r="D159">
        <f t="shared" ca="1" si="3"/>
        <v>4</v>
      </c>
      <c r="E159">
        <f t="shared" ca="1" si="4"/>
        <v>0</v>
      </c>
      <c r="F159">
        <f t="shared" ca="1" si="5"/>
        <v>0</v>
      </c>
      <c r="G159">
        <f t="shared" ca="1" si="6"/>
        <v>6</v>
      </c>
      <c r="H159">
        <f t="shared" ca="1" si="32"/>
        <v>0</v>
      </c>
      <c r="I159">
        <f t="shared" ca="1" si="33"/>
        <v>0</v>
      </c>
      <c r="J159" s="356" t="s">
        <v>103</v>
      </c>
      <c r="K159" s="138" t="str">
        <f t="shared" ca="1" si="9"/>
        <v>6.4.0.6.</v>
      </c>
      <c r="L159" s="357" t="s">
        <v>469</v>
      </c>
      <c r="M159" s="357" t="s">
        <v>720</v>
      </c>
      <c r="N159" s="358" t="s">
        <v>303</v>
      </c>
      <c r="O159" s="359" t="s">
        <v>635</v>
      </c>
      <c r="P159" s="360">
        <v>1.05</v>
      </c>
      <c r="Q159" s="195"/>
      <c r="R159" s="198" t="s">
        <v>7</v>
      </c>
      <c r="S159" s="103">
        <f t="shared" si="10"/>
        <v>0</v>
      </c>
      <c r="T159" s="83">
        <f t="shared" si="11"/>
        <v>0</v>
      </c>
      <c r="U159" s="9" t="str">
        <f t="shared" si="12"/>
        <v>SEM VALOR</v>
      </c>
      <c r="V159" s="1" t="str">
        <f ca="1">IF(OR($A159=0,$A159="S",$A159&gt;CFF!$A$9),"",MAX(V$12:OFFSET(V159,-1,0))+1)</f>
        <v/>
      </c>
      <c r="W159" s="4" t="str">
        <f t="shared" si="13"/>
        <v>FNDE-FNDE 441</v>
      </c>
      <c r="X159" s="1" t="e">
        <f t="shared" ca="1" si="14"/>
        <v>#N/A</v>
      </c>
      <c r="Y159" s="103">
        <v>814.53</v>
      </c>
      <c r="Z159" s="113">
        <f ca="1">ROUND(IF(ISNUMBER(R159),R159,IF(LEFT(R159,3)="BDI",HLOOKUP(R159,DADOS!$T$37:$X$38,2,FALSE),0)),15-11*$X$5)</f>
        <v>0.25</v>
      </c>
      <c r="AA159" s="1"/>
    </row>
    <row r="160" spans="1:27" ht="26.4" x14ac:dyDescent="0.25">
      <c r="A160" t="str">
        <f t="shared" si="0"/>
        <v>S</v>
      </c>
      <c r="B160">
        <f t="shared" si="1"/>
        <v>0</v>
      </c>
      <c r="C160">
        <f t="shared" ca="1" si="2"/>
        <v>6</v>
      </c>
      <c r="D160">
        <f t="shared" ca="1" si="3"/>
        <v>4</v>
      </c>
      <c r="E160">
        <f t="shared" ca="1" si="4"/>
        <v>0</v>
      </c>
      <c r="F160">
        <f t="shared" ca="1" si="5"/>
        <v>0</v>
      </c>
      <c r="G160">
        <f t="shared" ca="1" si="6"/>
        <v>7</v>
      </c>
      <c r="H160">
        <f t="shared" ca="1" si="32"/>
        <v>0</v>
      </c>
      <c r="I160">
        <f t="shared" ca="1" si="33"/>
        <v>0</v>
      </c>
      <c r="J160" s="356" t="s">
        <v>103</v>
      </c>
      <c r="K160" s="138" t="str">
        <f t="shared" ca="1" si="9"/>
        <v>6.4.0.7.</v>
      </c>
      <c r="L160" s="357" t="s">
        <v>469</v>
      </c>
      <c r="M160" s="357" t="s">
        <v>721</v>
      </c>
      <c r="N160" s="358" t="s">
        <v>304</v>
      </c>
      <c r="O160" s="359" t="s">
        <v>635</v>
      </c>
      <c r="P160" s="360">
        <v>12.6</v>
      </c>
      <c r="Q160" s="195"/>
      <c r="R160" s="198" t="s">
        <v>7</v>
      </c>
      <c r="S160" s="103">
        <f t="shared" si="10"/>
        <v>0</v>
      </c>
      <c r="T160" s="83">
        <f t="shared" si="11"/>
        <v>0</v>
      </c>
      <c r="U160" s="9" t="str">
        <f t="shared" si="12"/>
        <v>SEM VALOR</v>
      </c>
      <c r="V160" s="1" t="str">
        <f ca="1">IF(OR($A160=0,$A160="S",$A160&gt;CFF!$A$9),"",MAX(V$12:OFFSET(V160,-1,0))+1)</f>
        <v/>
      </c>
      <c r="W160" s="4" t="str">
        <f t="shared" si="13"/>
        <v>FNDE-FNDE 264</v>
      </c>
      <c r="X160" s="1" t="e">
        <f t="shared" ca="1" si="14"/>
        <v>#N/A</v>
      </c>
      <c r="Y160" s="103">
        <v>814.53</v>
      </c>
      <c r="Z160" s="113">
        <f ca="1">ROUND(IF(ISNUMBER(R160),R160,IF(LEFT(R160,3)="BDI",HLOOKUP(R160,DADOS!$T$37:$X$38,2,FALSE),0)),15-11*$X$5)</f>
        <v>0.25</v>
      </c>
      <c r="AA160" s="1"/>
    </row>
    <row r="161" spans="1:27" ht="26.4" x14ac:dyDescent="0.25">
      <c r="A161" t="str">
        <f t="shared" si="0"/>
        <v>S</v>
      </c>
      <c r="B161">
        <f t="shared" si="1"/>
        <v>0</v>
      </c>
      <c r="C161">
        <f t="shared" ca="1" si="2"/>
        <v>6</v>
      </c>
      <c r="D161">
        <f t="shared" ca="1" si="3"/>
        <v>4</v>
      </c>
      <c r="E161">
        <f t="shared" ca="1" si="4"/>
        <v>0</v>
      </c>
      <c r="F161">
        <f t="shared" ca="1" si="5"/>
        <v>0</v>
      </c>
      <c r="G161">
        <f t="shared" ca="1" si="6"/>
        <v>8</v>
      </c>
      <c r="H161">
        <f t="shared" ca="1" si="32"/>
        <v>0</v>
      </c>
      <c r="I161">
        <f t="shared" ca="1" si="33"/>
        <v>0</v>
      </c>
      <c r="J161" s="356" t="s">
        <v>103</v>
      </c>
      <c r="K161" s="138" t="str">
        <f t="shared" ca="1" si="9"/>
        <v>6.4.0.8.</v>
      </c>
      <c r="L161" s="357" t="s">
        <v>469</v>
      </c>
      <c r="M161" s="357" t="s">
        <v>722</v>
      </c>
      <c r="N161" s="358" t="s">
        <v>305</v>
      </c>
      <c r="O161" s="359" t="s">
        <v>635</v>
      </c>
      <c r="P161" s="360">
        <v>8.4</v>
      </c>
      <c r="Q161" s="195"/>
      <c r="R161" s="198" t="s">
        <v>7</v>
      </c>
      <c r="S161" s="103">
        <f t="shared" si="10"/>
        <v>0</v>
      </c>
      <c r="T161" s="83">
        <f t="shared" si="11"/>
        <v>0</v>
      </c>
      <c r="U161" s="9" t="str">
        <f t="shared" si="12"/>
        <v>SEM VALOR</v>
      </c>
      <c r="V161" s="1" t="str">
        <f ca="1">IF(OR($A161=0,$A161="S",$A161&gt;CFF!$A$9),"",MAX(V$12:OFFSET(V161,-1,0))+1)</f>
        <v/>
      </c>
      <c r="W161" s="4" t="str">
        <f t="shared" si="13"/>
        <v>FNDE-FNDE 268</v>
      </c>
      <c r="X161" s="1" t="e">
        <f t="shared" ca="1" si="14"/>
        <v>#N/A</v>
      </c>
      <c r="Y161" s="103">
        <v>814.53</v>
      </c>
      <c r="Z161" s="113">
        <f ca="1">ROUND(IF(ISNUMBER(R161),R161,IF(LEFT(R161,3)="BDI",HLOOKUP(R161,DADOS!$T$37:$X$38,2,FALSE),0)),15-11*$X$5)</f>
        <v>0.25</v>
      </c>
      <c r="AA161" s="1"/>
    </row>
    <row r="162" spans="1:27" ht="26.4" x14ac:dyDescent="0.25">
      <c r="A162" t="str">
        <f t="shared" si="0"/>
        <v>S</v>
      </c>
      <c r="B162">
        <f t="shared" si="1"/>
        <v>0</v>
      </c>
      <c r="C162">
        <f t="shared" ca="1" si="2"/>
        <v>6</v>
      </c>
      <c r="D162">
        <f t="shared" ca="1" si="3"/>
        <v>4</v>
      </c>
      <c r="E162">
        <f t="shared" ca="1" si="4"/>
        <v>0</v>
      </c>
      <c r="F162">
        <f t="shared" ca="1" si="5"/>
        <v>0</v>
      </c>
      <c r="G162">
        <f t="shared" ca="1" si="6"/>
        <v>9</v>
      </c>
      <c r="H162">
        <f t="shared" ca="1" si="32"/>
        <v>0</v>
      </c>
      <c r="I162">
        <f t="shared" ca="1" si="33"/>
        <v>0</v>
      </c>
      <c r="J162" s="356" t="s">
        <v>103</v>
      </c>
      <c r="K162" s="138" t="str">
        <f t="shared" ca="1" si="9"/>
        <v>6.4.0.9.</v>
      </c>
      <c r="L162" s="357" t="s">
        <v>469</v>
      </c>
      <c r="M162" s="357" t="s">
        <v>723</v>
      </c>
      <c r="N162" s="358" t="s">
        <v>306</v>
      </c>
      <c r="O162" s="359" t="s">
        <v>635</v>
      </c>
      <c r="P162" s="360">
        <v>6.3</v>
      </c>
      <c r="Q162" s="195"/>
      <c r="R162" s="198" t="s">
        <v>7</v>
      </c>
      <c r="S162" s="103">
        <f t="shared" si="10"/>
        <v>0</v>
      </c>
      <c r="T162" s="83">
        <f t="shared" si="11"/>
        <v>0</v>
      </c>
      <c r="U162" s="9" t="str">
        <f t="shared" si="12"/>
        <v>SEM VALOR</v>
      </c>
      <c r="V162" s="1" t="str">
        <f ca="1">IF(OR($A162=0,$A162="S",$A162&gt;CFF!$A$9),"",MAX(V$12:OFFSET(V162,-1,0))+1)</f>
        <v/>
      </c>
      <c r="W162" s="4" t="str">
        <f t="shared" si="13"/>
        <v>FNDE-FNDE 265</v>
      </c>
      <c r="X162" s="1" t="e">
        <f t="shared" ca="1" si="14"/>
        <v>#N/A</v>
      </c>
      <c r="Y162" s="103">
        <v>814.53</v>
      </c>
      <c r="Z162" s="113">
        <f ca="1">ROUND(IF(ISNUMBER(R162),R162,IF(LEFT(R162,3)="BDI",HLOOKUP(R162,DADOS!$T$37:$X$38,2,FALSE),0)),15-11*$X$5)</f>
        <v>0.25</v>
      </c>
      <c r="AA162" s="1"/>
    </row>
    <row r="163" spans="1:27" ht="26.4" x14ac:dyDescent="0.25">
      <c r="A163" t="str">
        <f t="shared" si="0"/>
        <v>S</v>
      </c>
      <c r="B163">
        <f t="shared" si="1"/>
        <v>0</v>
      </c>
      <c r="C163">
        <f t="shared" ca="1" si="2"/>
        <v>6</v>
      </c>
      <c r="D163">
        <f t="shared" ca="1" si="3"/>
        <v>4</v>
      </c>
      <c r="E163">
        <f t="shared" ca="1" si="4"/>
        <v>0</v>
      </c>
      <c r="F163">
        <f t="shared" ca="1" si="5"/>
        <v>0</v>
      </c>
      <c r="G163">
        <f t="shared" ca="1" si="6"/>
        <v>10</v>
      </c>
      <c r="H163">
        <f t="shared" ca="1" si="32"/>
        <v>0</v>
      </c>
      <c r="I163">
        <f t="shared" ca="1" si="33"/>
        <v>0</v>
      </c>
      <c r="J163" s="356" t="s">
        <v>103</v>
      </c>
      <c r="K163" s="138" t="str">
        <f t="shared" ca="1" si="9"/>
        <v>6.4.0.10.</v>
      </c>
      <c r="L163" s="357" t="s">
        <v>469</v>
      </c>
      <c r="M163" s="357" t="s">
        <v>724</v>
      </c>
      <c r="N163" s="358" t="s">
        <v>307</v>
      </c>
      <c r="O163" s="359" t="s">
        <v>635</v>
      </c>
      <c r="P163" s="360">
        <v>1.05</v>
      </c>
      <c r="Q163" s="195"/>
      <c r="R163" s="198" t="s">
        <v>7</v>
      </c>
      <c r="S163" s="103">
        <f t="shared" si="10"/>
        <v>0</v>
      </c>
      <c r="T163" s="83">
        <f t="shared" si="11"/>
        <v>0</v>
      </c>
      <c r="U163" s="9" t="str">
        <f t="shared" si="12"/>
        <v>SEM VALOR</v>
      </c>
      <c r="V163" s="1" t="str">
        <f ca="1">IF(OR($A163=0,$A163="S",$A163&gt;CFF!$A$9),"",MAX(V$12:OFFSET(V163,-1,0))+1)</f>
        <v/>
      </c>
      <c r="W163" s="4" t="str">
        <f t="shared" si="13"/>
        <v>FNDE-FNDE 442</v>
      </c>
      <c r="X163" s="1" t="e">
        <f t="shared" ca="1" si="14"/>
        <v>#N/A</v>
      </c>
      <c r="Y163" s="103">
        <v>814.53</v>
      </c>
      <c r="Z163" s="113">
        <f ca="1">ROUND(IF(ISNUMBER(R163),R163,IF(LEFT(R163,3)="BDI",HLOOKUP(R163,DADOS!$T$37:$X$38,2,FALSE),0)),15-11*$X$5)</f>
        <v>0.25</v>
      </c>
      <c r="AA163" s="1"/>
    </row>
    <row r="164" spans="1:27" ht="26.4" x14ac:dyDescent="0.25">
      <c r="A164" t="str">
        <f t="shared" si="0"/>
        <v>S</v>
      </c>
      <c r="B164">
        <f t="shared" si="1"/>
        <v>0</v>
      </c>
      <c r="C164">
        <f t="shared" ca="1" si="2"/>
        <v>6</v>
      </c>
      <c r="D164">
        <f t="shared" ca="1" si="3"/>
        <v>4</v>
      </c>
      <c r="E164">
        <f t="shared" ca="1" si="4"/>
        <v>0</v>
      </c>
      <c r="F164">
        <f t="shared" ca="1" si="5"/>
        <v>0</v>
      </c>
      <c r="G164">
        <f t="shared" ca="1" si="6"/>
        <v>11</v>
      </c>
      <c r="H164">
        <f t="shared" ca="1" si="32"/>
        <v>0</v>
      </c>
      <c r="I164">
        <f t="shared" ca="1" si="33"/>
        <v>0</v>
      </c>
      <c r="J164" s="356" t="s">
        <v>103</v>
      </c>
      <c r="K164" s="138" t="str">
        <f t="shared" ca="1" si="9"/>
        <v>6.4.0.11.</v>
      </c>
      <c r="L164" s="357" t="s">
        <v>469</v>
      </c>
      <c r="M164" s="357" t="s">
        <v>725</v>
      </c>
      <c r="N164" s="358" t="s">
        <v>308</v>
      </c>
      <c r="O164" s="359" t="s">
        <v>635</v>
      </c>
      <c r="P164" s="360">
        <v>5.25</v>
      </c>
      <c r="Q164" s="195"/>
      <c r="R164" s="198" t="s">
        <v>7</v>
      </c>
      <c r="S164" s="103">
        <f t="shared" si="10"/>
        <v>0</v>
      </c>
      <c r="T164" s="83">
        <f t="shared" si="11"/>
        <v>0</v>
      </c>
      <c r="U164" s="9" t="str">
        <f t="shared" si="12"/>
        <v>SEM VALOR</v>
      </c>
      <c r="V164" s="1" t="str">
        <f ca="1">IF(OR($A164=0,$A164="S",$A164&gt;CFF!$A$9),"",MAX(V$12:OFFSET(V164,-1,0))+1)</f>
        <v/>
      </c>
      <c r="W164" s="4" t="str">
        <f t="shared" si="13"/>
        <v>FNDE-FNDE 270</v>
      </c>
      <c r="X164" s="1" t="e">
        <f t="shared" ca="1" si="14"/>
        <v>#N/A</v>
      </c>
      <c r="Y164" s="103">
        <v>814.53</v>
      </c>
      <c r="Z164" s="113">
        <f ca="1">ROUND(IF(ISNUMBER(R164),R164,IF(LEFT(R164,3)="BDI",HLOOKUP(R164,DADOS!$T$37:$X$38,2,FALSE),0)),15-11*$X$5)</f>
        <v>0.25</v>
      </c>
      <c r="AA164" s="1"/>
    </row>
    <row r="165" spans="1:27" ht="26.4" x14ac:dyDescent="0.25">
      <c r="A165" t="str">
        <f t="shared" si="0"/>
        <v>S</v>
      </c>
      <c r="B165">
        <f t="shared" si="1"/>
        <v>0</v>
      </c>
      <c r="C165">
        <f t="shared" ca="1" si="2"/>
        <v>6</v>
      </c>
      <c r="D165">
        <f t="shared" ca="1" si="3"/>
        <v>4</v>
      </c>
      <c r="E165">
        <f t="shared" ca="1" si="4"/>
        <v>0</v>
      </c>
      <c r="F165">
        <f t="shared" ca="1" si="5"/>
        <v>0</v>
      </c>
      <c r="G165">
        <f t="shared" ca="1" si="6"/>
        <v>12</v>
      </c>
      <c r="H165">
        <f t="shared" ca="1" si="32"/>
        <v>0</v>
      </c>
      <c r="I165">
        <f t="shared" ca="1" si="33"/>
        <v>0</v>
      </c>
      <c r="J165" s="356" t="s">
        <v>103</v>
      </c>
      <c r="K165" s="138" t="str">
        <f t="shared" ca="1" si="9"/>
        <v>6.4.0.12.</v>
      </c>
      <c r="L165" s="357" t="s">
        <v>469</v>
      </c>
      <c r="M165" s="357" t="s">
        <v>726</v>
      </c>
      <c r="N165" s="358" t="s">
        <v>309</v>
      </c>
      <c r="O165" s="359" t="s">
        <v>635</v>
      </c>
      <c r="P165" s="360">
        <v>4.2</v>
      </c>
      <c r="Q165" s="195"/>
      <c r="R165" s="198" t="s">
        <v>7</v>
      </c>
      <c r="S165" s="103">
        <f t="shared" si="10"/>
        <v>0</v>
      </c>
      <c r="T165" s="83">
        <f t="shared" si="11"/>
        <v>0</v>
      </c>
      <c r="U165" s="9" t="str">
        <f t="shared" si="12"/>
        <v>SEM VALOR</v>
      </c>
      <c r="V165" s="1" t="str">
        <f ca="1">IF(OR($A165=0,$A165="S",$A165&gt;CFF!$A$9),"",MAX(V$12:OFFSET(V165,-1,0))+1)</f>
        <v/>
      </c>
      <c r="W165" s="4" t="str">
        <f t="shared" si="13"/>
        <v>FNDE-FNDE 443</v>
      </c>
      <c r="X165" s="1" t="e">
        <f t="shared" ca="1" si="14"/>
        <v>#N/A</v>
      </c>
      <c r="Y165" s="103">
        <v>814.53</v>
      </c>
      <c r="Z165" s="113">
        <f ca="1">ROUND(IF(ISNUMBER(R165),R165,IF(LEFT(R165,3)="BDI",HLOOKUP(R165,DADOS!$T$37:$X$38,2,FALSE),0)),15-11*$X$5)</f>
        <v>0.25</v>
      </c>
      <c r="AA165" s="1"/>
    </row>
    <row r="166" spans="1:27" ht="26.4" x14ac:dyDescent="0.25">
      <c r="A166" t="str">
        <f t="shared" si="0"/>
        <v>S</v>
      </c>
      <c r="B166">
        <f t="shared" si="1"/>
        <v>0</v>
      </c>
      <c r="C166">
        <f t="shared" ca="1" si="2"/>
        <v>6</v>
      </c>
      <c r="D166">
        <f t="shared" ca="1" si="3"/>
        <v>4</v>
      </c>
      <c r="E166">
        <f t="shared" ca="1" si="4"/>
        <v>0</v>
      </c>
      <c r="F166">
        <f t="shared" ca="1" si="5"/>
        <v>0</v>
      </c>
      <c r="G166">
        <f t="shared" ca="1" si="6"/>
        <v>13</v>
      </c>
      <c r="H166">
        <f t="shared" ca="1" si="32"/>
        <v>0</v>
      </c>
      <c r="I166">
        <f t="shared" ca="1" si="33"/>
        <v>0</v>
      </c>
      <c r="J166" s="356" t="s">
        <v>103</v>
      </c>
      <c r="K166" s="138" t="str">
        <f t="shared" ca="1" si="9"/>
        <v>6.4.0.13.</v>
      </c>
      <c r="L166" s="357" t="s">
        <v>469</v>
      </c>
      <c r="M166" s="357" t="s">
        <v>727</v>
      </c>
      <c r="N166" s="358" t="s">
        <v>310</v>
      </c>
      <c r="O166" s="359" t="s">
        <v>635</v>
      </c>
      <c r="P166" s="360">
        <v>16.8</v>
      </c>
      <c r="Q166" s="195"/>
      <c r="R166" s="198" t="s">
        <v>7</v>
      </c>
      <c r="S166" s="103">
        <f t="shared" si="10"/>
        <v>0</v>
      </c>
      <c r="T166" s="83">
        <f t="shared" si="11"/>
        <v>0</v>
      </c>
      <c r="U166" s="9" t="str">
        <f t="shared" si="12"/>
        <v>SEM VALOR</v>
      </c>
      <c r="V166" s="1" t="str">
        <f ca="1">IF(OR($A166=0,$A166="S",$A166&gt;CFF!$A$9),"",MAX(V$12:OFFSET(V166,-1,0))+1)</f>
        <v/>
      </c>
      <c r="W166" s="4" t="str">
        <f t="shared" si="13"/>
        <v>FNDE-FNDE 444</v>
      </c>
      <c r="X166" s="1" t="e">
        <f t="shared" ca="1" si="14"/>
        <v>#N/A</v>
      </c>
      <c r="Y166" s="103">
        <v>814.53</v>
      </c>
      <c r="Z166" s="113">
        <f ca="1">ROUND(IF(ISNUMBER(R166),R166,IF(LEFT(R166,3)="BDI",HLOOKUP(R166,DADOS!$T$37:$X$38,2,FALSE),0)),15-11*$X$5)</f>
        <v>0.25</v>
      </c>
      <c r="AA166" s="1"/>
    </row>
    <row r="167" spans="1:27" ht="26.4" x14ac:dyDescent="0.25">
      <c r="A167" t="str">
        <f t="shared" si="0"/>
        <v>S</v>
      </c>
      <c r="B167">
        <f t="shared" si="1"/>
        <v>0</v>
      </c>
      <c r="C167">
        <f t="shared" ca="1" si="2"/>
        <v>6</v>
      </c>
      <c r="D167">
        <f t="shared" ca="1" si="3"/>
        <v>4</v>
      </c>
      <c r="E167">
        <f t="shared" ca="1" si="4"/>
        <v>0</v>
      </c>
      <c r="F167">
        <f t="shared" ca="1" si="5"/>
        <v>0</v>
      </c>
      <c r="G167">
        <f t="shared" ca="1" si="6"/>
        <v>14</v>
      </c>
      <c r="H167">
        <f t="shared" ca="1" si="32"/>
        <v>0</v>
      </c>
      <c r="I167">
        <f t="shared" ca="1" si="33"/>
        <v>0</v>
      </c>
      <c r="J167" s="356" t="s">
        <v>103</v>
      </c>
      <c r="K167" s="138" t="str">
        <f t="shared" ca="1" si="9"/>
        <v>6.4.0.14.</v>
      </c>
      <c r="L167" s="357" t="s">
        <v>469</v>
      </c>
      <c r="M167" s="357" t="s">
        <v>728</v>
      </c>
      <c r="N167" s="358" t="s">
        <v>311</v>
      </c>
      <c r="O167" s="359" t="s">
        <v>635</v>
      </c>
      <c r="P167" s="360">
        <v>2.72</v>
      </c>
      <c r="Q167" s="195"/>
      <c r="R167" s="198" t="s">
        <v>7</v>
      </c>
      <c r="S167" s="103">
        <f t="shared" si="10"/>
        <v>0</v>
      </c>
      <c r="T167" s="83">
        <f t="shared" si="11"/>
        <v>0</v>
      </c>
      <c r="U167" s="9" t="str">
        <f t="shared" si="12"/>
        <v>SEM VALOR</v>
      </c>
      <c r="V167" s="1" t="str">
        <f ca="1">IF(OR($A167=0,$A167="S",$A167&gt;CFF!$A$9),"",MAX(V$12:OFFSET(V167,-1,0))+1)</f>
        <v/>
      </c>
      <c r="W167" s="4" t="str">
        <f t="shared" si="13"/>
        <v>FNDE-FNDE 445</v>
      </c>
      <c r="X167" s="1" t="e">
        <f t="shared" ca="1" si="14"/>
        <v>#N/A</v>
      </c>
      <c r="Y167" s="103">
        <v>859.3</v>
      </c>
      <c r="Z167" s="113">
        <f ca="1">ROUND(IF(ISNUMBER(R167),R167,IF(LEFT(R167,3)="BDI",HLOOKUP(R167,DADOS!$T$37:$X$38,2,FALSE),0)),15-11*$X$5)</f>
        <v>0.25</v>
      </c>
      <c r="AA167" s="1"/>
    </row>
    <row r="168" spans="1:27" x14ac:dyDescent="0.25">
      <c r="A168" t="str">
        <f t="shared" si="0"/>
        <v>S</v>
      </c>
      <c r="B168">
        <f t="shared" si="1"/>
        <v>0</v>
      </c>
      <c r="C168">
        <f t="shared" ca="1" si="2"/>
        <v>6</v>
      </c>
      <c r="D168">
        <f t="shared" ca="1" si="3"/>
        <v>4</v>
      </c>
      <c r="E168">
        <f t="shared" ca="1" si="4"/>
        <v>0</v>
      </c>
      <c r="F168">
        <f t="shared" ca="1" si="5"/>
        <v>0</v>
      </c>
      <c r="G168">
        <f t="shared" ca="1" si="6"/>
        <v>15</v>
      </c>
      <c r="H168">
        <f t="shared" ca="1" si="32"/>
        <v>0</v>
      </c>
      <c r="I168">
        <f t="shared" ca="1" si="33"/>
        <v>0</v>
      </c>
      <c r="J168" s="356" t="s">
        <v>103</v>
      </c>
      <c r="K168" s="138" t="str">
        <f t="shared" ca="1" si="9"/>
        <v>6.4.0.15.</v>
      </c>
      <c r="L168" s="357" t="s">
        <v>469</v>
      </c>
      <c r="M168" s="357" t="s">
        <v>729</v>
      </c>
      <c r="N168" s="358" t="s">
        <v>312</v>
      </c>
      <c r="O168" s="359" t="s">
        <v>635</v>
      </c>
      <c r="P168" s="360">
        <v>10.28</v>
      </c>
      <c r="Q168" s="195"/>
      <c r="R168" s="198" t="s">
        <v>7</v>
      </c>
      <c r="S168" s="103">
        <f t="shared" si="10"/>
        <v>0</v>
      </c>
      <c r="T168" s="83">
        <f t="shared" si="11"/>
        <v>0</v>
      </c>
      <c r="U168" s="9" t="str">
        <f t="shared" si="12"/>
        <v>SEM VALOR</v>
      </c>
      <c r="V168" s="1" t="str">
        <f ca="1">IF(OR($A168=0,$A168="S",$A168&gt;CFF!$A$9),"",MAX(V$12:OFFSET(V168,-1,0))+1)</f>
        <v/>
      </c>
      <c r="W168" s="4" t="str">
        <f t="shared" si="13"/>
        <v>FNDE-FNDE 05</v>
      </c>
      <c r="X168" s="1" t="e">
        <f t="shared" ca="1" si="14"/>
        <v>#N/A</v>
      </c>
      <c r="Y168" s="103">
        <v>230.98</v>
      </c>
      <c r="Z168" s="113">
        <f ca="1">ROUND(IF(ISNUMBER(R168),R168,IF(LEFT(R168,3)="BDI",HLOOKUP(R168,DADOS!$T$37:$X$38,2,FALSE),0)),15-11*$X$5)</f>
        <v>0.25</v>
      </c>
      <c r="AA168" s="1"/>
    </row>
    <row r="169" spans="1:27" x14ac:dyDescent="0.25">
      <c r="A169">
        <f t="shared" si="0"/>
        <v>2</v>
      </c>
      <c r="B169">
        <f t="shared" ca="1" si="1"/>
        <v>2</v>
      </c>
      <c r="C169">
        <f t="shared" ca="1" si="2"/>
        <v>6</v>
      </c>
      <c r="D169">
        <f t="shared" ca="1" si="3"/>
        <v>5</v>
      </c>
      <c r="E169">
        <f t="shared" ca="1" si="4"/>
        <v>0</v>
      </c>
      <c r="F169">
        <f t="shared" ca="1" si="5"/>
        <v>0</v>
      </c>
      <c r="G169">
        <f t="shared" ca="1" si="6"/>
        <v>0</v>
      </c>
      <c r="H169">
        <f t="shared" ca="1" si="32"/>
        <v>10</v>
      </c>
      <c r="I169">
        <f t="shared" ca="1" si="33"/>
        <v>2</v>
      </c>
      <c r="J169" s="356" t="s">
        <v>100</v>
      </c>
      <c r="K169" s="138" t="str">
        <f t="shared" ca="1" si="9"/>
        <v>6.5.</v>
      </c>
      <c r="L169" s="357"/>
      <c r="M169" s="357"/>
      <c r="N169" s="358" t="s">
        <v>313</v>
      </c>
      <c r="O169" s="359" t="s">
        <v>106</v>
      </c>
      <c r="P169" s="360"/>
      <c r="Q169" s="195"/>
      <c r="R169" s="198" t="s">
        <v>7</v>
      </c>
      <c r="S169" s="103">
        <f t="shared" si="10"/>
        <v>0</v>
      </c>
      <c r="T169" s="83">
        <f t="shared" ca="1" si="11"/>
        <v>0</v>
      </c>
      <c r="U169" s="9" t="str">
        <f t="shared" ca="1" si="12"/>
        <v>SEM VALOR</v>
      </c>
      <c r="V169" s="1">
        <f ca="1">IF(OR($A169=0,$A169="S",$A169&gt;CFF!$A$9),"",MAX(V$12:OFFSET(V169,-1,0))+1)</f>
        <v>30</v>
      </c>
      <c r="W169" s="4" t="b">
        <f t="shared" si="13"/>
        <v>0</v>
      </c>
      <c r="X169" s="1" t="str">
        <f t="shared" ca="1" si="14"/>
        <v>X</v>
      </c>
      <c r="Y169" s="103">
        <v>0</v>
      </c>
      <c r="Z169" s="113">
        <f ca="1">ROUND(IF(ISNUMBER(R169),R169,IF(LEFT(R169,3)="BDI",HLOOKUP(R169,DADOS!$T$37:$X$38,2,FALSE),0)),15-11*$X$5)</f>
        <v>0.25</v>
      </c>
      <c r="AA169" s="1"/>
    </row>
    <row r="170" spans="1:27" ht="26.4" x14ac:dyDescent="0.25">
      <c r="A170" t="str">
        <f t="shared" si="0"/>
        <v>S</v>
      </c>
      <c r="B170">
        <f t="shared" si="1"/>
        <v>0</v>
      </c>
      <c r="C170">
        <f t="shared" ca="1" si="2"/>
        <v>6</v>
      </c>
      <c r="D170">
        <f t="shared" ca="1" si="3"/>
        <v>5</v>
      </c>
      <c r="E170">
        <f t="shared" ca="1" si="4"/>
        <v>0</v>
      </c>
      <c r="F170">
        <f t="shared" ca="1" si="5"/>
        <v>0</v>
      </c>
      <c r="G170">
        <f t="shared" ca="1" si="6"/>
        <v>1</v>
      </c>
      <c r="H170">
        <f t="shared" ca="1" si="32"/>
        <v>0</v>
      </c>
      <c r="I170">
        <f t="shared" ca="1" si="33"/>
        <v>0</v>
      </c>
      <c r="J170" s="356" t="s">
        <v>103</v>
      </c>
      <c r="K170" s="138" t="str">
        <f t="shared" ca="1" si="9"/>
        <v>6.5.0.1.</v>
      </c>
      <c r="L170" s="357" t="s">
        <v>469</v>
      </c>
      <c r="M170" s="357" t="s">
        <v>730</v>
      </c>
      <c r="N170" s="358" t="s">
        <v>314</v>
      </c>
      <c r="O170" s="359" t="s">
        <v>106</v>
      </c>
      <c r="P170" s="360">
        <v>1</v>
      </c>
      <c r="Q170" s="195"/>
      <c r="R170" s="198" t="s">
        <v>7</v>
      </c>
      <c r="S170" s="103">
        <f t="shared" si="10"/>
        <v>0</v>
      </c>
      <c r="T170" s="83">
        <f t="shared" si="11"/>
        <v>0</v>
      </c>
      <c r="U170" s="9" t="str">
        <f t="shared" si="12"/>
        <v>UNIDADE</v>
      </c>
      <c r="V170" s="1" t="str">
        <f ca="1">IF(OR($A170=0,$A170="S",$A170&gt;CFF!$A$9),"",MAX(V$12:OFFSET(V170,-1,0))+1)</f>
        <v/>
      </c>
      <c r="W170" s="4" t="str">
        <f t="shared" si="13"/>
        <v>FNDE-FNDE 437</v>
      </c>
      <c r="X170" s="1" t="e">
        <f t="shared" ca="1" si="14"/>
        <v>#N/A</v>
      </c>
      <c r="Y170" s="103">
        <v>1654.85</v>
      </c>
      <c r="Z170" s="113">
        <f ca="1">ROUND(IF(ISNUMBER(R170),R170,IF(LEFT(R170,3)="BDI",HLOOKUP(R170,DADOS!$T$37:$X$38,2,FALSE),0)),15-11*$X$5)</f>
        <v>0.25</v>
      </c>
      <c r="AA170" s="1"/>
    </row>
    <row r="171" spans="1:27" x14ac:dyDescent="0.25">
      <c r="A171">
        <f t="shared" si="0"/>
        <v>2</v>
      </c>
      <c r="B171">
        <f t="shared" ca="1" si="1"/>
        <v>8</v>
      </c>
      <c r="C171">
        <f t="shared" ca="1" si="2"/>
        <v>6</v>
      </c>
      <c r="D171">
        <f t="shared" ca="1" si="3"/>
        <v>6</v>
      </c>
      <c r="E171">
        <f t="shared" ca="1" si="4"/>
        <v>0</v>
      </c>
      <c r="F171">
        <f t="shared" ca="1" si="5"/>
        <v>0</v>
      </c>
      <c r="G171">
        <f t="shared" ca="1" si="6"/>
        <v>0</v>
      </c>
      <c r="H171">
        <f t="shared" ca="1" si="32"/>
        <v>8</v>
      </c>
      <c r="I171">
        <f t="shared" ca="1" si="33"/>
        <v>410</v>
      </c>
      <c r="J171" s="356" t="s">
        <v>100</v>
      </c>
      <c r="K171" s="138" t="str">
        <f t="shared" ca="1" si="9"/>
        <v>6.6.</v>
      </c>
      <c r="L171" s="357"/>
      <c r="M171" s="357"/>
      <c r="N171" s="358" t="s">
        <v>315</v>
      </c>
      <c r="O171" s="359" t="s">
        <v>106</v>
      </c>
      <c r="P171" s="360"/>
      <c r="Q171" s="195"/>
      <c r="R171" s="198" t="s">
        <v>7</v>
      </c>
      <c r="S171" s="103">
        <f t="shared" si="10"/>
        <v>0</v>
      </c>
      <c r="T171" s="83">
        <f t="shared" ca="1" si="11"/>
        <v>0</v>
      </c>
      <c r="U171" s="9" t="str">
        <f t="shared" ca="1" si="12"/>
        <v>SEM VALOR</v>
      </c>
      <c r="V171" s="1">
        <f ca="1">IF(OR($A171=0,$A171="S",$A171&gt;CFF!$A$9),"",MAX(V$12:OFFSET(V171,-1,0))+1)</f>
        <v>31</v>
      </c>
      <c r="W171" s="4" t="b">
        <f t="shared" si="13"/>
        <v>0</v>
      </c>
      <c r="X171" s="1" t="str">
        <f t="shared" ca="1" si="14"/>
        <v>X</v>
      </c>
      <c r="Y171" s="103">
        <v>0</v>
      </c>
      <c r="Z171" s="113">
        <f ca="1">ROUND(IF(ISNUMBER(R171),R171,IF(LEFT(R171,3)="BDI",HLOOKUP(R171,DADOS!$T$37:$X$38,2,FALSE),0)),15-11*$X$5)</f>
        <v>0.25</v>
      </c>
      <c r="AA171" s="1"/>
    </row>
    <row r="172" spans="1:27" ht="26.4" x14ac:dyDescent="0.25">
      <c r="A172" t="str">
        <f t="shared" si="0"/>
        <v>S</v>
      </c>
      <c r="B172">
        <f t="shared" si="1"/>
        <v>0</v>
      </c>
      <c r="C172">
        <f t="shared" ca="1" si="2"/>
        <v>6</v>
      </c>
      <c r="D172">
        <f t="shared" ca="1" si="3"/>
        <v>6</v>
      </c>
      <c r="E172">
        <f t="shared" ca="1" si="4"/>
        <v>0</v>
      </c>
      <c r="F172">
        <f t="shared" ca="1" si="5"/>
        <v>0</v>
      </c>
      <c r="G172">
        <f t="shared" ca="1" si="6"/>
        <v>1</v>
      </c>
      <c r="H172">
        <f t="shared" ca="1" si="32"/>
        <v>0</v>
      </c>
      <c r="I172">
        <f t="shared" ca="1" si="33"/>
        <v>0</v>
      </c>
      <c r="J172" s="356" t="s">
        <v>103</v>
      </c>
      <c r="K172" s="138" t="str">
        <f t="shared" ca="1" si="9"/>
        <v>6.6.0.1.</v>
      </c>
      <c r="L172" s="357" t="s">
        <v>469</v>
      </c>
      <c r="M172" s="357" t="s">
        <v>731</v>
      </c>
      <c r="N172" s="358" t="s">
        <v>316</v>
      </c>
      <c r="O172" s="359" t="s">
        <v>635</v>
      </c>
      <c r="P172" s="360">
        <v>3.08</v>
      </c>
      <c r="Q172" s="195"/>
      <c r="R172" s="198" t="s">
        <v>7</v>
      </c>
      <c r="S172" s="103">
        <f t="shared" si="10"/>
        <v>0</v>
      </c>
      <c r="T172" s="83">
        <f t="shared" si="11"/>
        <v>0</v>
      </c>
      <c r="U172" s="9" t="str">
        <f t="shared" si="12"/>
        <v>SEM VALOR</v>
      </c>
      <c r="V172" s="1" t="str">
        <f ca="1">IF(OR($A172=0,$A172="S",$A172&gt;CFF!$A$9),"",MAX(V$12:OFFSET(V172,-1,0))+1)</f>
        <v/>
      </c>
      <c r="W172" s="4" t="str">
        <f t="shared" si="13"/>
        <v>FNDE-FNDE 280</v>
      </c>
      <c r="X172" s="1" t="e">
        <f t="shared" ca="1" si="14"/>
        <v>#N/A</v>
      </c>
      <c r="Y172" s="103">
        <v>1006.86</v>
      </c>
      <c r="Z172" s="113">
        <f ca="1">ROUND(IF(ISNUMBER(R172),R172,IF(LEFT(R172,3)="BDI",HLOOKUP(R172,DADOS!$T$37:$X$38,2,FALSE),0)),15-11*$X$5)</f>
        <v>0.25</v>
      </c>
      <c r="AA172" s="1"/>
    </row>
    <row r="173" spans="1:27" ht="26.4" x14ac:dyDescent="0.25">
      <c r="A173" t="str">
        <f t="shared" si="0"/>
        <v>S</v>
      </c>
      <c r="B173">
        <f t="shared" si="1"/>
        <v>0</v>
      </c>
      <c r="C173">
        <f t="shared" ca="1" si="2"/>
        <v>6</v>
      </c>
      <c r="D173">
        <f t="shared" ca="1" si="3"/>
        <v>6</v>
      </c>
      <c r="E173">
        <f t="shared" ca="1" si="4"/>
        <v>0</v>
      </c>
      <c r="F173">
        <f t="shared" ca="1" si="5"/>
        <v>0</v>
      </c>
      <c r="G173">
        <f t="shared" ca="1" si="6"/>
        <v>2</v>
      </c>
      <c r="H173">
        <f t="shared" ca="1" si="32"/>
        <v>0</v>
      </c>
      <c r="I173">
        <f t="shared" ca="1" si="33"/>
        <v>0</v>
      </c>
      <c r="J173" s="356" t="s">
        <v>103</v>
      </c>
      <c r="K173" s="138" t="str">
        <f t="shared" ca="1" si="9"/>
        <v>6.6.0.2.</v>
      </c>
      <c r="L173" s="357" t="s">
        <v>469</v>
      </c>
      <c r="M173" s="357" t="s">
        <v>732</v>
      </c>
      <c r="N173" s="358" t="s">
        <v>317</v>
      </c>
      <c r="O173" s="359" t="s">
        <v>635</v>
      </c>
      <c r="P173" s="360">
        <v>2.94</v>
      </c>
      <c r="Q173" s="195"/>
      <c r="R173" s="198" t="s">
        <v>7</v>
      </c>
      <c r="S173" s="103">
        <f t="shared" si="10"/>
        <v>0</v>
      </c>
      <c r="T173" s="83">
        <f t="shared" si="11"/>
        <v>0</v>
      </c>
      <c r="U173" s="9" t="str">
        <f t="shared" si="12"/>
        <v>SEM VALOR</v>
      </c>
      <c r="V173" s="1" t="str">
        <f ca="1">IF(OR($A173=0,$A173="S",$A173&gt;CFF!$A$9),"",MAX(V$12:OFFSET(V173,-1,0))+1)</f>
        <v/>
      </c>
      <c r="W173" s="4" t="str">
        <f t="shared" si="13"/>
        <v>FNDE-FNDE 08</v>
      </c>
      <c r="X173" s="1" t="e">
        <f t="shared" ca="1" si="14"/>
        <v>#N/A</v>
      </c>
      <c r="Y173" s="103">
        <v>996.91</v>
      </c>
      <c r="Z173" s="113">
        <f ca="1">ROUND(IF(ISNUMBER(R173),R173,IF(LEFT(R173,3)="BDI",HLOOKUP(R173,DADOS!$T$37:$X$38,2,FALSE),0)),15-11*$X$5)</f>
        <v>0.25</v>
      </c>
      <c r="AA173" s="1"/>
    </row>
    <row r="174" spans="1:27" x14ac:dyDescent="0.25">
      <c r="A174" t="str">
        <f t="shared" si="0"/>
        <v>S</v>
      </c>
      <c r="B174">
        <f t="shared" si="1"/>
        <v>0</v>
      </c>
      <c r="C174">
        <f t="shared" ca="1" si="2"/>
        <v>6</v>
      </c>
      <c r="D174">
        <f t="shared" ca="1" si="3"/>
        <v>6</v>
      </c>
      <c r="E174">
        <f t="shared" ca="1" si="4"/>
        <v>0</v>
      </c>
      <c r="F174">
        <f t="shared" ca="1" si="5"/>
        <v>0</v>
      </c>
      <c r="G174">
        <f t="shared" ca="1" si="6"/>
        <v>3</v>
      </c>
      <c r="H174">
        <f t="shared" ca="1" si="32"/>
        <v>0</v>
      </c>
      <c r="I174">
        <f t="shared" ca="1" si="33"/>
        <v>0</v>
      </c>
      <c r="J174" s="356" t="s">
        <v>103</v>
      </c>
      <c r="K174" s="138" t="str">
        <f t="shared" ca="1" si="9"/>
        <v>6.6.0.3.</v>
      </c>
      <c r="L174" s="357" t="s">
        <v>469</v>
      </c>
      <c r="M174" s="357" t="s">
        <v>733</v>
      </c>
      <c r="N174" s="358" t="s">
        <v>318</v>
      </c>
      <c r="O174" s="359" t="s">
        <v>635</v>
      </c>
      <c r="P174" s="360">
        <v>116.76</v>
      </c>
      <c r="Q174" s="195"/>
      <c r="R174" s="198" t="s">
        <v>7</v>
      </c>
      <c r="S174" s="103">
        <f t="shared" si="10"/>
        <v>0</v>
      </c>
      <c r="T174" s="83">
        <f t="shared" si="11"/>
        <v>0</v>
      </c>
      <c r="U174" s="9" t="str">
        <f t="shared" si="12"/>
        <v>SEM VALOR</v>
      </c>
      <c r="V174" s="1" t="str">
        <f ca="1">IF(OR($A174=0,$A174="S",$A174&gt;CFF!$A$9),"",MAX(V$12:OFFSET(V174,-1,0))+1)</f>
        <v/>
      </c>
      <c r="W174" s="4" t="str">
        <f t="shared" si="13"/>
        <v>FNDE-FNDE 281</v>
      </c>
      <c r="X174" s="1" t="e">
        <f t="shared" ca="1" si="14"/>
        <v>#N/A</v>
      </c>
      <c r="Y174" s="103">
        <v>984.11</v>
      </c>
      <c r="Z174" s="113">
        <f ca="1">ROUND(IF(ISNUMBER(R174),R174,IF(LEFT(R174,3)="BDI",HLOOKUP(R174,DADOS!$T$37:$X$38,2,FALSE),0)),15-11*$X$5)</f>
        <v>0.25</v>
      </c>
      <c r="AA174" s="1"/>
    </row>
    <row r="175" spans="1:27" x14ac:dyDescent="0.25">
      <c r="A175" t="str">
        <f>CHOOSE(1+LOG(1+2*(J175="Meta")+4*(J175="Nível 2")+8*(J175="Nível 3")+16*(J175="Nível 4")+32*(J175="Serviço"),2),0,1,2,3,4,"S")</f>
        <v>S</v>
      </c>
      <c r="B175">
        <f>IF(OR(A175="S",A175=0),0,IF(ISERROR(I175),H175,SMALL(H175:I175,1)))</f>
        <v>0</v>
      </c>
      <c r="C175">
        <f ca="1">IF($A175=1,OFFSET(C175,-1,0)+1,OFFSET(C175,-1,0))</f>
        <v>6</v>
      </c>
      <c r="D175">
        <f ca="1">IF($A175=1,0,IF($A175=2,OFFSET(D175,-1,0)+1,OFFSET(D175,-1,0)))</f>
        <v>6</v>
      </c>
      <c r="E175">
        <f ca="1">IF(AND($A175&lt;=2,$A175&lt;&gt;0),0,IF($A175=3,OFFSET(E175,-1,0)+1,OFFSET(E175,-1,0)))</f>
        <v>0</v>
      </c>
      <c r="F175">
        <f ca="1">IF(AND($A175&lt;=3,$A175&lt;&gt;0),0,IF($A175=4,OFFSET(F175,-1,0)+1,OFFSET(F175,-1,0)))</f>
        <v>0</v>
      </c>
      <c r="G175">
        <f ca="1">IF(AND($A175&lt;=4,$A175&lt;&gt;0),0,IF($A175="S",OFFSET(G175,-1,0)+1,OFFSET(G175,-1,0)))</f>
        <v>4</v>
      </c>
      <c r="H175">
        <f t="shared" ca="1" si="32"/>
        <v>0</v>
      </c>
      <c r="I175">
        <f t="shared" ca="1" si="33"/>
        <v>0</v>
      </c>
      <c r="J175" s="356" t="s">
        <v>103</v>
      </c>
      <c r="K175" s="138" t="str">
        <f ca="1">IF($A175=0,"-",CONCATENATE(C175&amp;".",IF(AND($A$5&gt;=2,$A175&gt;=2),D175&amp;".",""),IF(AND($A$5&gt;=3,$A175&gt;=3),E175&amp;".",""),IF(AND($A$5&gt;=4,$A175&gt;=4),F175&amp;".",""),IF($A175="S",G175&amp;".","")))</f>
        <v>6.6.0.4.</v>
      </c>
      <c r="L175" s="357" t="s">
        <v>469</v>
      </c>
      <c r="M175" s="357" t="s">
        <v>734</v>
      </c>
      <c r="N175" s="358" t="s">
        <v>319</v>
      </c>
      <c r="O175" s="359" t="s">
        <v>635</v>
      </c>
      <c r="P175" s="360">
        <f>((39.76+43.33+27.55)*1.58)-P176-P177-P178-P172-P173</f>
        <v>152.25119999999998</v>
      </c>
      <c r="Q175" s="195"/>
      <c r="R175" s="198" t="s">
        <v>7</v>
      </c>
      <c r="S175" s="103">
        <f>IF($A175="S",IF($Q$10="Preço Unitário (R$)",PO.CustoUnitario,ROUND(PO.CustoUnitario*(1+$Z175),15-13*$X$6)),0)</f>
        <v>0</v>
      </c>
      <c r="T175" s="83">
        <f>IF($A175="S",VTOTAL1,IF($A175=0,0,ROUND(SomaAgrup,15-13*$X$7)))</f>
        <v>0</v>
      </c>
      <c r="U175" s="9" t="str">
        <f>IF($J175="","",IF($N175="","DESCRIÇÃO",IF(AND($J175="Serviço",$O175=""),"UNIDADE",IF($T175&lt;=0,"SEM VALOR",IF(AND($Y175&lt;&gt;"",$Q175&gt;$Y175),"ACIMA REF.","")))))</f>
        <v>SEM VALOR</v>
      </c>
      <c r="V175" s="1" t="str">
        <f ca="1">IF(OR($A175=0,$A175="S",$A175&gt;CFF!$A$9),"",MAX(V$12:OFFSET(V175,-1,0))+1)</f>
        <v/>
      </c>
      <c r="W175" s="4" t="str">
        <f>IF(AND($J175="Serviço",$M175&lt;&gt;""),IF($L175="",$M175,CONCATENATE($L175,"-",$M175)))</f>
        <v>FNDE-FNDE 283</v>
      </c>
      <c r="X175" s="1" t="e">
        <f t="shared" ca="1" si="14"/>
        <v>#N/A</v>
      </c>
      <c r="Y175" s="103">
        <v>362.65</v>
      </c>
      <c r="Z175" s="113">
        <f ca="1">ROUND(IF(ISNUMBER(R175),R175,IF(LEFT(R175,3)="BDI",HLOOKUP(R175,DADOS!$T$37:$X$38,2,FALSE),0)),15-11*$X$5)</f>
        <v>0.25</v>
      </c>
      <c r="AA175" s="1"/>
    </row>
    <row r="176" spans="1:27" ht="26.4" x14ac:dyDescent="0.25">
      <c r="A176" t="str">
        <f t="shared" si="0"/>
        <v>S</v>
      </c>
      <c r="B176">
        <f t="shared" si="1"/>
        <v>0</v>
      </c>
      <c r="C176">
        <f t="shared" ca="1" si="2"/>
        <v>6</v>
      </c>
      <c r="D176">
        <f t="shared" ca="1" si="3"/>
        <v>6</v>
      </c>
      <c r="E176">
        <f t="shared" ca="1" si="4"/>
        <v>0</v>
      </c>
      <c r="F176">
        <f t="shared" ca="1" si="5"/>
        <v>0</v>
      </c>
      <c r="G176">
        <f t="shared" ca="1" si="6"/>
        <v>5</v>
      </c>
      <c r="H176">
        <f t="shared" ca="1" si="32"/>
        <v>0</v>
      </c>
      <c r="I176">
        <f t="shared" ca="1" si="33"/>
        <v>0</v>
      </c>
      <c r="J176" s="356" t="s">
        <v>103</v>
      </c>
      <c r="K176" s="138" t="str">
        <f t="shared" ca="1" si="9"/>
        <v>6.6.0.5.</v>
      </c>
      <c r="L176" s="357" t="s">
        <v>469</v>
      </c>
      <c r="M176" s="357" t="s">
        <v>735</v>
      </c>
      <c r="N176" s="358" t="s">
        <v>320</v>
      </c>
      <c r="O176" s="359" t="s">
        <v>635</v>
      </c>
      <c r="P176" s="360">
        <v>6.3</v>
      </c>
      <c r="Q176" s="195"/>
      <c r="R176" s="198" t="s">
        <v>7</v>
      </c>
      <c r="S176" s="103">
        <f t="shared" si="10"/>
        <v>0</v>
      </c>
      <c r="T176" s="83">
        <f t="shared" si="11"/>
        <v>0</v>
      </c>
      <c r="U176" s="9" t="str">
        <f t="shared" si="12"/>
        <v>SEM VALOR</v>
      </c>
      <c r="V176" s="1" t="str">
        <f ca="1">IF(OR($A176=0,$A176="S",$A176&gt;CFF!$A$9),"",MAX(V$12:OFFSET(V176,-1,0))+1)</f>
        <v/>
      </c>
      <c r="W176" s="4" t="str">
        <f t="shared" si="13"/>
        <v>FNDE-FNDE 446</v>
      </c>
      <c r="X176" s="1" t="e">
        <f t="shared" ca="1" si="14"/>
        <v>#N/A</v>
      </c>
      <c r="Y176" s="103">
        <v>1412.96</v>
      </c>
      <c r="Z176" s="113">
        <f ca="1">ROUND(IF(ISNUMBER(R176),R176,IF(LEFT(R176,3)="BDI",HLOOKUP(R176,DADOS!$T$37:$X$38,2,FALSE),0)),15-11*$X$5)</f>
        <v>0.25</v>
      </c>
      <c r="AA176" s="1"/>
    </row>
    <row r="177" spans="1:27" ht="26.4" x14ac:dyDescent="0.25">
      <c r="A177" t="str">
        <f t="shared" si="0"/>
        <v>S</v>
      </c>
      <c r="B177">
        <f t="shared" si="1"/>
        <v>0</v>
      </c>
      <c r="C177">
        <f t="shared" ca="1" si="2"/>
        <v>6</v>
      </c>
      <c r="D177">
        <f t="shared" ca="1" si="3"/>
        <v>6</v>
      </c>
      <c r="E177">
        <f t="shared" ca="1" si="4"/>
        <v>0</v>
      </c>
      <c r="F177">
        <f t="shared" ca="1" si="5"/>
        <v>0</v>
      </c>
      <c r="G177">
        <f t="shared" ca="1" si="6"/>
        <v>6</v>
      </c>
      <c r="H177">
        <f t="shared" ca="1" si="32"/>
        <v>0</v>
      </c>
      <c r="I177">
        <f t="shared" ca="1" si="33"/>
        <v>0</v>
      </c>
      <c r="J177" s="356" t="s">
        <v>103</v>
      </c>
      <c r="K177" s="138" t="str">
        <f t="shared" ca="1" si="9"/>
        <v>6.6.0.6.</v>
      </c>
      <c r="L177" s="357" t="s">
        <v>469</v>
      </c>
      <c r="M177" s="357" t="s">
        <v>736</v>
      </c>
      <c r="N177" s="358" t="s">
        <v>321</v>
      </c>
      <c r="O177" s="359" t="s">
        <v>635</v>
      </c>
      <c r="P177" s="360">
        <v>4</v>
      </c>
      <c r="Q177" s="195"/>
      <c r="R177" s="198" t="s">
        <v>7</v>
      </c>
      <c r="S177" s="103">
        <f t="shared" si="10"/>
        <v>0</v>
      </c>
      <c r="T177" s="83">
        <f t="shared" si="11"/>
        <v>0</v>
      </c>
      <c r="U177" s="9" t="str">
        <f t="shared" si="12"/>
        <v>SEM VALOR</v>
      </c>
      <c r="V177" s="1" t="str">
        <f ca="1">IF(OR($A177=0,$A177="S",$A177&gt;CFF!$A$9),"",MAX(V$12:OFFSET(V177,-1,0))+1)</f>
        <v/>
      </c>
      <c r="W177" s="4" t="str">
        <f t="shared" si="13"/>
        <v>FNDE-FNDE 447</v>
      </c>
      <c r="X177" s="1" t="e">
        <f t="shared" ca="1" si="14"/>
        <v>#N/A</v>
      </c>
      <c r="Y177" s="103">
        <v>1412.96</v>
      </c>
      <c r="Z177" s="113">
        <f ca="1">ROUND(IF(ISNUMBER(R177),R177,IF(LEFT(R177,3)="BDI",HLOOKUP(R177,DADOS!$T$37:$X$38,2,FALSE),0)),15-11*$X$5)</f>
        <v>0.25</v>
      </c>
      <c r="AA177" s="1"/>
    </row>
    <row r="178" spans="1:27" ht="26.4" x14ac:dyDescent="0.25">
      <c r="A178" t="str">
        <f t="shared" si="0"/>
        <v>S</v>
      </c>
      <c r="B178">
        <f t="shared" si="1"/>
        <v>0</v>
      </c>
      <c r="C178">
        <f t="shared" ca="1" si="2"/>
        <v>6</v>
      </c>
      <c r="D178">
        <f t="shared" ca="1" si="3"/>
        <v>6</v>
      </c>
      <c r="E178">
        <f t="shared" ca="1" si="4"/>
        <v>0</v>
      </c>
      <c r="F178">
        <f t="shared" ca="1" si="5"/>
        <v>0</v>
      </c>
      <c r="G178">
        <f t="shared" ca="1" si="6"/>
        <v>7</v>
      </c>
      <c r="H178">
        <f t="shared" ca="1" si="32"/>
        <v>0</v>
      </c>
      <c r="I178">
        <f t="shared" ca="1" si="33"/>
        <v>0</v>
      </c>
      <c r="J178" s="356" t="s">
        <v>103</v>
      </c>
      <c r="K178" s="138" t="str">
        <f t="shared" ca="1" si="9"/>
        <v>6.6.0.7.</v>
      </c>
      <c r="L178" s="357" t="s">
        <v>469</v>
      </c>
      <c r="M178" s="357" t="s">
        <v>737</v>
      </c>
      <c r="N178" s="358" t="s">
        <v>322</v>
      </c>
      <c r="O178" s="359" t="s">
        <v>635</v>
      </c>
      <c r="P178" s="360">
        <v>6.24</v>
      </c>
      <c r="Q178" s="195"/>
      <c r="R178" s="198" t="s">
        <v>7</v>
      </c>
      <c r="S178" s="103">
        <f t="shared" si="10"/>
        <v>0</v>
      </c>
      <c r="T178" s="83">
        <f t="shared" si="11"/>
        <v>0</v>
      </c>
      <c r="U178" s="9" t="str">
        <f t="shared" si="12"/>
        <v>SEM VALOR</v>
      </c>
      <c r="V178" s="1" t="str">
        <f ca="1">IF(OR($A178=0,$A178="S",$A178&gt;CFF!$A$9),"",MAX(V$12:OFFSET(V178,-1,0))+1)</f>
        <v/>
      </c>
      <c r="W178" s="4" t="str">
        <f t="shared" si="13"/>
        <v>FNDE-FNDE 448</v>
      </c>
      <c r="X178" s="1" t="e">
        <f t="shared" ca="1" si="14"/>
        <v>#N/A</v>
      </c>
      <c r="Y178" s="103">
        <v>1412.96</v>
      </c>
      <c r="Z178" s="113">
        <f ca="1">ROUND(IF(ISNUMBER(R178),R178,IF(LEFT(R178,3)="BDI",HLOOKUP(R178,DADOS!$T$37:$X$38,2,FALSE),0)),15-11*$X$5)</f>
        <v>0.25</v>
      </c>
      <c r="AA178" s="1"/>
    </row>
    <row r="179" spans="1:27" x14ac:dyDescent="0.25">
      <c r="A179">
        <f t="shared" si="0"/>
        <v>1</v>
      </c>
      <c r="B179">
        <f t="shared" ca="1" si="1"/>
        <v>7</v>
      </c>
      <c r="C179">
        <f t="shared" ca="1" si="2"/>
        <v>7</v>
      </c>
      <c r="D179">
        <f t="shared" ca="1" si="3"/>
        <v>0</v>
      </c>
      <c r="E179">
        <f t="shared" ca="1" si="4"/>
        <v>0</v>
      </c>
      <c r="F179">
        <f t="shared" ca="1" si="5"/>
        <v>0</v>
      </c>
      <c r="G179">
        <f t="shared" ca="1" si="6"/>
        <v>0</v>
      </c>
      <c r="H179">
        <f t="shared" ca="1" si="32"/>
        <v>424</v>
      </c>
      <c r="I179">
        <f t="shared" ca="1" si="33"/>
        <v>7</v>
      </c>
      <c r="J179" s="356" t="s">
        <v>99</v>
      </c>
      <c r="K179" s="138" t="str">
        <f t="shared" ca="1" si="9"/>
        <v>7.</v>
      </c>
      <c r="L179" s="357"/>
      <c r="M179" s="357"/>
      <c r="N179" s="358" t="s">
        <v>323</v>
      </c>
      <c r="O179" s="359" t="s">
        <v>106</v>
      </c>
      <c r="P179" s="360"/>
      <c r="Q179" s="195"/>
      <c r="R179" s="198" t="s">
        <v>7</v>
      </c>
      <c r="S179" s="103">
        <f t="shared" si="10"/>
        <v>0</v>
      </c>
      <c r="T179" s="83">
        <f t="shared" ca="1" si="11"/>
        <v>0</v>
      </c>
      <c r="U179" s="9" t="str">
        <f t="shared" ca="1" si="12"/>
        <v>SEM VALOR</v>
      </c>
      <c r="V179" s="1">
        <f ca="1">IF(OR($A179=0,$A179="S",$A179&gt;CFF!$A$9),"",MAX(V$12:OFFSET(V179,-1,0))+1)</f>
        <v>32</v>
      </c>
      <c r="W179" s="4" t="b">
        <f t="shared" si="13"/>
        <v>0</v>
      </c>
      <c r="X179" s="1" t="str">
        <f t="shared" ca="1" si="14"/>
        <v>X</v>
      </c>
      <c r="Y179" s="103">
        <v>0</v>
      </c>
      <c r="Z179" s="113">
        <f ca="1">ROUND(IF(ISNUMBER(R179),R179,IF(LEFT(R179,3)="BDI",HLOOKUP(R179,DADOS!$T$37:$X$38,2,FALSE),0)),15-11*$X$5)</f>
        <v>0.25</v>
      </c>
      <c r="AA179" s="1"/>
    </row>
    <row r="180" spans="1:27" ht="39.6" x14ac:dyDescent="0.25">
      <c r="A180" t="str">
        <f>CHOOSE(1+LOG(1+2*(J180="Meta")+4*(J180="Nível 2")+8*(J180="Nível 3")+16*(J180="Nível 4")+32*(J180="Serviço"),2),0,1,2,3,4,"S")</f>
        <v>S</v>
      </c>
      <c r="B180">
        <f>IF(OR(A180="S",A180=0),0,IF(ISERROR(I180),H180,SMALL(H180:I180,1)))</f>
        <v>0</v>
      </c>
      <c r="C180">
        <f ca="1">IF($A180=1,OFFSET(C180,-1,0)+1,OFFSET(C180,-1,0))</f>
        <v>7</v>
      </c>
      <c r="D180">
        <f ca="1">IF($A180=1,0,IF($A180=2,OFFSET(D180,-1,0)+1,OFFSET(D180,-1,0)))</f>
        <v>0</v>
      </c>
      <c r="E180">
        <f ca="1">IF(AND($A180&lt;=2,$A180&lt;&gt;0),0,IF($A180=3,OFFSET(E180,-1,0)+1,OFFSET(E180,-1,0)))</f>
        <v>0</v>
      </c>
      <c r="F180">
        <f ca="1">IF(AND($A180&lt;=3,$A180&lt;&gt;0),0,IF($A180=4,OFFSET(F180,-1,0)+1,OFFSET(F180,-1,0)))</f>
        <v>0</v>
      </c>
      <c r="G180">
        <f ca="1">IF(AND($A180&lt;=4,$A180&lt;&gt;0),0,IF($A180="S",OFFSET(G180,-1,0)+1,OFFSET(G180,-1,0)))</f>
        <v>1</v>
      </c>
      <c r="H180">
        <f t="shared" ca="1" si="32"/>
        <v>0</v>
      </c>
      <c r="I180">
        <f t="shared" ca="1" si="33"/>
        <v>0</v>
      </c>
      <c r="J180" s="356" t="s">
        <v>103</v>
      </c>
      <c r="K180" s="138" t="str">
        <f ca="1">IF($A180=0,"-",CONCATENATE(C180&amp;".",IF(AND($A$5&gt;=2,$A180&gt;=2),D180&amp;".",""),IF(AND($A$5&gt;=3,$A180&gt;=3),E180&amp;".",""),IF(AND($A$5&gt;=4,$A180&gt;=4),F180&amp;".",""),IF($A180="S",G180&amp;".","")))</f>
        <v>7.0.0.1.</v>
      </c>
      <c r="L180" s="357" t="s">
        <v>469</v>
      </c>
      <c r="M180" s="357" t="s">
        <v>738</v>
      </c>
      <c r="N180" s="358" t="s">
        <v>409</v>
      </c>
      <c r="O180" s="359" t="s">
        <v>635</v>
      </c>
      <c r="P180" s="360">
        <v>850.66</v>
      </c>
      <c r="Q180" s="195"/>
      <c r="R180" s="198" t="s">
        <v>7</v>
      </c>
      <c r="S180" s="103">
        <f>IF($A180="S",IF($Q$10="Preço Unitário (R$)",PO.CustoUnitario,ROUND(PO.CustoUnitario*(1+$Z180),15-13*$X$6)),0)</f>
        <v>0</v>
      </c>
      <c r="T180" s="83">
        <f>IF($A180="S",VTOTAL1,IF($A180=0,0,ROUND(SomaAgrup,15-13*$X$7)))</f>
        <v>0</v>
      </c>
      <c r="U180" s="9" t="str">
        <f>IF($J180="","",IF($N180="","DESCRIÇÃO",IF(AND($J180="Serviço",$O180=""),"UNIDADE",IF($T180&lt;=0,"SEM VALOR",IF(AND($Y180&lt;&gt;"",$Q180&gt;$Y180),"ACIMA REF.","")))))</f>
        <v>SEM VALOR</v>
      </c>
      <c r="V180" s="1" t="str">
        <f ca="1">IF(OR($A180=0,$A180="S",$A180&gt;CFF!$A$9),"",MAX(V$12:OFFSET(V180,-1,0))+1)</f>
        <v/>
      </c>
      <c r="W180" s="4" t="str">
        <f>IF(AND($J180="Serviço",$M180&lt;&gt;""),IF($L180="",$M180,CONCATENATE($L180,"-",$M180)))</f>
        <v>FNDE-FNDE 20</v>
      </c>
      <c r="X180" s="1" t="e">
        <f ca="1">IF(AND(Fonte&lt;&gt;"",Código&lt;&gt;""),MATCH(Fonte&amp;" "&amp;IF(Fonte="sinapi",SUBSTITUTE(SUBSTITUTE(Código,"/00","/"),"/0","/"),Código),INDIRECT("'[Referência "&amp;_xlnm.Database&amp;".xls]Banco'!$a:$a"),0),"X")</f>
        <v>#N/A</v>
      </c>
      <c r="Y180" s="103">
        <v>250.19</v>
      </c>
      <c r="Z180" s="113">
        <f ca="1">ROUND(IF(ISNUMBER(R180),R180,IF(LEFT(R180,3)="BDI",HLOOKUP(R180,DADOS!$T$37:$X$38,2,FALSE),0)),15-11*$X$5)</f>
        <v>0.25</v>
      </c>
      <c r="AA180" s="1"/>
    </row>
    <row r="181" spans="1:27" ht="26.4" x14ac:dyDescent="0.25">
      <c r="A181" t="str">
        <f>CHOOSE(1+LOG(1+2*(J181="Meta")+4*(J181="Nível 2")+8*(J181="Nível 3")+16*(J181="Nível 4")+32*(J181="Serviço"),2),0,1,2,3,4,"S")</f>
        <v>S</v>
      </c>
      <c r="B181">
        <f>IF(OR(A181="S",A181=0),0,IF(ISERROR(I181),H181,SMALL(H181:I181,1)))</f>
        <v>0</v>
      </c>
      <c r="C181">
        <f ca="1">IF($A181=1,OFFSET(C181,-1,0)+1,OFFSET(C181,-1,0))</f>
        <v>7</v>
      </c>
      <c r="D181">
        <f ca="1">IF($A181=1,0,IF($A181=2,OFFSET(D181,-1,0)+1,OFFSET(D181,-1,0)))</f>
        <v>0</v>
      </c>
      <c r="E181">
        <f ca="1">IF(AND($A181&lt;=2,$A181&lt;&gt;0),0,IF($A181=3,OFFSET(E181,-1,0)+1,OFFSET(E181,-1,0)))</f>
        <v>0</v>
      </c>
      <c r="F181">
        <f ca="1">IF(AND($A181&lt;=3,$A181&lt;&gt;0),0,IF($A181=4,OFFSET(F181,-1,0)+1,OFFSET(F181,-1,0)))</f>
        <v>0</v>
      </c>
      <c r="G181">
        <f ca="1">IF(AND($A181&lt;=4,$A181&lt;&gt;0),0,IF($A181="S",OFFSET(G181,-1,0)+1,OFFSET(G181,-1,0)))</f>
        <v>2</v>
      </c>
      <c r="H181">
        <f t="shared" ca="1" si="32"/>
        <v>0</v>
      </c>
      <c r="I181">
        <f t="shared" ca="1" si="33"/>
        <v>0</v>
      </c>
      <c r="J181" s="356" t="s">
        <v>103</v>
      </c>
      <c r="K181" s="138" t="str">
        <f ca="1">IF($A181=0,"-",CONCATENATE(C181&amp;".",IF(AND($A$5&gt;=2,$A181&gt;=2),D181&amp;".",""),IF(AND($A$5&gt;=3,$A181&gt;=3),E181&amp;".",""),IF(AND($A$5&gt;=4,$A181&gt;=4),F181&amp;".",""),IF($A181="S",G181&amp;".","")))</f>
        <v>7.0.0.2.</v>
      </c>
      <c r="L181" s="357" t="s">
        <v>233</v>
      </c>
      <c r="M181" s="357" t="s">
        <v>324</v>
      </c>
      <c r="N181" s="358" t="s">
        <v>979</v>
      </c>
      <c r="O181" s="359" t="s">
        <v>590</v>
      </c>
      <c r="P181" s="360">
        <v>69.150000000000006</v>
      </c>
      <c r="Q181" s="195"/>
      <c r="R181" s="198" t="s">
        <v>7</v>
      </c>
      <c r="S181" s="103">
        <f>IF($A181="S",IF($Q$10="Preço Unitário (R$)",PO.CustoUnitario,ROUND(PO.CustoUnitario*(1+$Z181),15-13*$X$6)),0)</f>
        <v>0</v>
      </c>
      <c r="T181" s="83">
        <f>IF($A181="S",VTOTAL1,IF($A181=0,0,ROUND(SomaAgrup,15-13*$X$7)))</f>
        <v>0</v>
      </c>
      <c r="U181" s="9" t="str">
        <f>IF($J181="","",IF($N181="","DESCRIÇÃO",IF(AND($J181="Serviço",$O181=""),"UNIDADE",IF($T181&lt;=0,"SEM VALOR",IF(AND($Y181&lt;&gt;"",$Q181&gt;$Y181),"ACIMA REF.","")))))</f>
        <v>SEM VALOR</v>
      </c>
      <c r="V181" s="1" t="str">
        <f ca="1">IF(OR($A181=0,$A181="S",$A181&gt;CFF!$A$9),"",MAX(V$12:OFFSET(V181,-1,0))+1)</f>
        <v/>
      </c>
      <c r="W181" s="4" t="str">
        <f>IF(AND($J181="Serviço",$M181&lt;&gt;""),IF($L181="",$M181,CONCATENATE($L181,"-",$M181)))</f>
        <v>SINAPI-94229</v>
      </c>
      <c r="X181" s="1">
        <f ca="1">IF(AND(Fonte&lt;&gt;"",Código&lt;&gt;""),MATCH(Fonte&amp;" "&amp;IF(Fonte="sinapi",SUBSTITUTE(SUBSTITUTE(Código,"/00","/"),"/0","/"),Código),INDIRECT("'[Referência "&amp;_xlnm.Database&amp;".xls]Banco'!$a:$a"),0),"X")</f>
        <v>1529</v>
      </c>
      <c r="Y181" s="103">
        <v>239.66</v>
      </c>
      <c r="Z181" s="113">
        <f ca="1">ROUND(IF(ISNUMBER(R181),R181,IF(LEFT(R181,3)="BDI",HLOOKUP(R181,DADOS!$T$37:$X$38,2,FALSE),0)),15-11*$X$5)</f>
        <v>0.25</v>
      </c>
      <c r="AA181" s="1"/>
    </row>
    <row r="182" spans="1:27" x14ac:dyDescent="0.25">
      <c r="A182" t="str">
        <f t="shared" si="0"/>
        <v>S</v>
      </c>
      <c r="B182">
        <f t="shared" si="1"/>
        <v>0</v>
      </c>
      <c r="C182">
        <f t="shared" ca="1" si="2"/>
        <v>7</v>
      </c>
      <c r="D182">
        <f t="shared" ca="1" si="3"/>
        <v>0</v>
      </c>
      <c r="E182">
        <f t="shared" ca="1" si="4"/>
        <v>0</v>
      </c>
      <c r="F182">
        <f t="shared" ca="1" si="5"/>
        <v>0</v>
      </c>
      <c r="G182">
        <f t="shared" ca="1" si="6"/>
        <v>3</v>
      </c>
      <c r="H182">
        <f t="shared" ca="1" si="32"/>
        <v>0</v>
      </c>
      <c r="I182">
        <f t="shared" ca="1" si="33"/>
        <v>0</v>
      </c>
      <c r="J182" s="356" t="s">
        <v>103</v>
      </c>
      <c r="K182" s="138" t="str">
        <f t="shared" ca="1" si="9"/>
        <v>7.0.0.3.</v>
      </c>
      <c r="L182" s="357" t="s">
        <v>469</v>
      </c>
      <c r="M182" s="357" t="s">
        <v>739</v>
      </c>
      <c r="N182" s="358" t="s">
        <v>325</v>
      </c>
      <c r="O182" s="359" t="s">
        <v>743</v>
      </c>
      <c r="P182" s="360">
        <v>93.6</v>
      </c>
      <c r="Q182" s="195"/>
      <c r="R182" s="198" t="s">
        <v>7</v>
      </c>
      <c r="S182" s="103">
        <f t="shared" si="10"/>
        <v>0</v>
      </c>
      <c r="T182" s="83">
        <f t="shared" si="11"/>
        <v>0</v>
      </c>
      <c r="U182" s="9" t="str">
        <f t="shared" si="12"/>
        <v>SEM VALOR</v>
      </c>
      <c r="V182" s="1" t="str">
        <f ca="1">IF(OR($A182=0,$A182="S",$A182&gt;CFF!$A$9),"",MAX(V$12:OFFSET(V182,-1,0))+1)</f>
        <v/>
      </c>
      <c r="W182" s="4" t="str">
        <f t="shared" si="13"/>
        <v>FNDE-FNDE 422</v>
      </c>
      <c r="X182" s="1" t="e">
        <f t="shared" ca="1" si="14"/>
        <v>#N/A</v>
      </c>
      <c r="Y182" s="103">
        <v>77.03</v>
      </c>
      <c r="Z182" s="113">
        <f ca="1">ROUND(IF(ISNUMBER(R182),R182,IF(LEFT(R182,3)="BDI",HLOOKUP(R182,DADOS!$T$37:$X$38,2,FALSE),0)),15-11*$X$5)</f>
        <v>0.25</v>
      </c>
      <c r="AA182" s="1"/>
    </row>
    <row r="183" spans="1:27" x14ac:dyDescent="0.25">
      <c r="A183" t="str">
        <f t="shared" si="0"/>
        <v>S</v>
      </c>
      <c r="B183">
        <f t="shared" si="1"/>
        <v>0</v>
      </c>
      <c r="C183">
        <f t="shared" ca="1" si="2"/>
        <v>7</v>
      </c>
      <c r="D183">
        <f t="shared" ca="1" si="3"/>
        <v>0</v>
      </c>
      <c r="E183">
        <f t="shared" ca="1" si="4"/>
        <v>0</v>
      </c>
      <c r="F183">
        <f t="shared" ca="1" si="5"/>
        <v>0</v>
      </c>
      <c r="G183">
        <f t="shared" ca="1" si="6"/>
        <v>4</v>
      </c>
      <c r="H183">
        <f t="shared" ca="1" si="32"/>
        <v>0</v>
      </c>
      <c r="I183">
        <f t="shared" ca="1" si="33"/>
        <v>0</v>
      </c>
      <c r="J183" s="356" t="s">
        <v>103</v>
      </c>
      <c r="K183" s="138" t="str">
        <f t="shared" ca="1" si="9"/>
        <v>7.0.0.4.</v>
      </c>
      <c r="L183" s="357" t="s">
        <v>469</v>
      </c>
      <c r="M183" s="357" t="s">
        <v>740</v>
      </c>
      <c r="N183" s="358" t="s">
        <v>326</v>
      </c>
      <c r="O183" s="359" t="s">
        <v>743</v>
      </c>
      <c r="P183" s="360">
        <v>45.7</v>
      </c>
      <c r="Q183" s="195"/>
      <c r="R183" s="198" t="s">
        <v>7</v>
      </c>
      <c r="S183" s="103">
        <f t="shared" si="10"/>
        <v>0</v>
      </c>
      <c r="T183" s="83">
        <f t="shared" si="11"/>
        <v>0</v>
      </c>
      <c r="U183" s="9" t="str">
        <f t="shared" si="12"/>
        <v>SEM VALOR</v>
      </c>
      <c r="V183" s="1" t="str">
        <f ca="1">IF(OR($A183=0,$A183="S",$A183&gt;CFF!$A$9),"",MAX(V$12:OFFSET(V183,-1,0))+1)</f>
        <v/>
      </c>
      <c r="W183" s="4" t="str">
        <f t="shared" si="13"/>
        <v>FNDE-FNDE 423</v>
      </c>
      <c r="X183" s="1" t="e">
        <f t="shared" ca="1" si="14"/>
        <v>#N/A</v>
      </c>
      <c r="Y183" s="103">
        <v>77.03</v>
      </c>
      <c r="Z183" s="113">
        <f ca="1">ROUND(IF(ISNUMBER(R183),R183,IF(LEFT(R183,3)="BDI",HLOOKUP(R183,DADOS!$T$37:$X$38,2,FALSE),0)),15-11*$X$5)</f>
        <v>0.25</v>
      </c>
      <c r="AA183" s="1"/>
    </row>
    <row r="184" spans="1:27" x14ac:dyDescent="0.25">
      <c r="A184" t="str">
        <f t="shared" si="0"/>
        <v>S</v>
      </c>
      <c r="B184">
        <f t="shared" si="1"/>
        <v>0</v>
      </c>
      <c r="C184">
        <f t="shared" ca="1" si="2"/>
        <v>7</v>
      </c>
      <c r="D184">
        <f t="shared" ca="1" si="3"/>
        <v>0</v>
      </c>
      <c r="E184">
        <f t="shared" ca="1" si="4"/>
        <v>0</v>
      </c>
      <c r="F184">
        <f t="shared" ca="1" si="5"/>
        <v>0</v>
      </c>
      <c r="G184">
        <f t="shared" ca="1" si="6"/>
        <v>5</v>
      </c>
      <c r="H184">
        <f t="shared" ca="1" si="32"/>
        <v>0</v>
      </c>
      <c r="I184">
        <f t="shared" ca="1" si="33"/>
        <v>0</v>
      </c>
      <c r="J184" s="356" t="s">
        <v>103</v>
      </c>
      <c r="K184" s="138" t="str">
        <f t="shared" ca="1" si="9"/>
        <v>7.0.0.5.</v>
      </c>
      <c r="L184" s="357" t="s">
        <v>469</v>
      </c>
      <c r="M184" s="357" t="s">
        <v>741</v>
      </c>
      <c r="N184" s="358" t="s">
        <v>327</v>
      </c>
      <c r="O184" s="359" t="s">
        <v>743</v>
      </c>
      <c r="P184" s="360">
        <v>126.6</v>
      </c>
      <c r="Q184" s="195"/>
      <c r="R184" s="198" t="s">
        <v>7</v>
      </c>
      <c r="S184" s="103">
        <f t="shared" si="10"/>
        <v>0</v>
      </c>
      <c r="T184" s="83">
        <f t="shared" si="11"/>
        <v>0</v>
      </c>
      <c r="U184" s="9" t="str">
        <f t="shared" si="12"/>
        <v>SEM VALOR</v>
      </c>
      <c r="V184" s="1" t="str">
        <f ca="1">IF(OR($A184=0,$A184="S",$A184&gt;CFF!$A$9),"",MAX(V$12:OFFSET(V184,-1,0))+1)</f>
        <v/>
      </c>
      <c r="W184" s="4" t="str">
        <f t="shared" si="13"/>
        <v>FNDE-FNDE 424</v>
      </c>
      <c r="X184" s="1" t="e">
        <f t="shared" ca="1" si="14"/>
        <v>#N/A</v>
      </c>
      <c r="Y184" s="103">
        <v>77.03</v>
      </c>
      <c r="Z184" s="113">
        <f ca="1">ROUND(IF(ISNUMBER(R184),R184,IF(LEFT(R184,3)="BDI",HLOOKUP(R184,DADOS!$T$37:$X$38,2,FALSE),0)),15-11*$X$5)</f>
        <v>0.25</v>
      </c>
      <c r="AA184" s="1"/>
    </row>
    <row r="185" spans="1:27" x14ac:dyDescent="0.25">
      <c r="A185" t="str">
        <f t="shared" si="0"/>
        <v>S</v>
      </c>
      <c r="B185">
        <f t="shared" si="1"/>
        <v>0</v>
      </c>
      <c r="C185">
        <f t="shared" ca="1" si="2"/>
        <v>7</v>
      </c>
      <c r="D185">
        <f t="shared" ca="1" si="3"/>
        <v>0</v>
      </c>
      <c r="E185">
        <f t="shared" ca="1" si="4"/>
        <v>0</v>
      </c>
      <c r="F185">
        <f t="shared" ca="1" si="5"/>
        <v>0</v>
      </c>
      <c r="G185">
        <f t="shared" ca="1" si="6"/>
        <v>6</v>
      </c>
      <c r="H185">
        <f t="shared" ca="1" si="32"/>
        <v>0</v>
      </c>
      <c r="I185">
        <f t="shared" ca="1" si="33"/>
        <v>0</v>
      </c>
      <c r="J185" s="356" t="s">
        <v>103</v>
      </c>
      <c r="K185" s="138" t="str">
        <f t="shared" ca="1" si="9"/>
        <v>7.0.0.6.</v>
      </c>
      <c r="L185" s="357" t="s">
        <v>469</v>
      </c>
      <c r="M185" s="357" t="s">
        <v>742</v>
      </c>
      <c r="N185" s="358" t="s">
        <v>328</v>
      </c>
      <c r="O185" s="359" t="s">
        <v>743</v>
      </c>
      <c r="P185" s="360">
        <v>233.6</v>
      </c>
      <c r="Q185" s="195"/>
      <c r="R185" s="198" t="s">
        <v>7</v>
      </c>
      <c r="S185" s="103">
        <f t="shared" si="10"/>
        <v>0</v>
      </c>
      <c r="T185" s="83">
        <f t="shared" si="11"/>
        <v>0</v>
      </c>
      <c r="U185" s="9" t="str">
        <f t="shared" si="12"/>
        <v>SEM VALOR</v>
      </c>
      <c r="V185" s="1" t="str">
        <f ca="1">IF(OR($A185=0,$A185="S",$A185&gt;CFF!$A$9),"",MAX(V$12:OFFSET(V185,-1,0))+1)</f>
        <v/>
      </c>
      <c r="W185" s="4" t="str">
        <f t="shared" si="13"/>
        <v>FNDE-FNDE 167</v>
      </c>
      <c r="X185" s="1" t="e">
        <f t="shared" ca="1" si="14"/>
        <v>#N/A</v>
      </c>
      <c r="Y185" s="103">
        <v>67.48</v>
      </c>
      <c r="Z185" s="113">
        <f ca="1">ROUND(IF(ISNUMBER(R185),R185,IF(LEFT(R185,3)="BDI",HLOOKUP(R185,DADOS!$T$37:$X$38,2,FALSE),0)),15-11*$X$5)</f>
        <v>0.25</v>
      </c>
      <c r="AA185" s="1"/>
    </row>
    <row r="186" spans="1:27" x14ac:dyDescent="0.25">
      <c r="A186">
        <f t="shared" si="0"/>
        <v>1</v>
      </c>
      <c r="B186">
        <f t="shared" ca="1" si="1"/>
        <v>3</v>
      </c>
      <c r="C186">
        <f t="shared" ca="1" si="2"/>
        <v>8</v>
      </c>
      <c r="D186">
        <f t="shared" ca="1" si="3"/>
        <v>0</v>
      </c>
      <c r="E186">
        <f t="shared" ca="1" si="4"/>
        <v>0</v>
      </c>
      <c r="F186">
        <f t="shared" ca="1" si="5"/>
        <v>0</v>
      </c>
      <c r="G186">
        <f t="shared" ca="1" si="6"/>
        <v>0</v>
      </c>
      <c r="H186">
        <f t="shared" ca="1" si="32"/>
        <v>417</v>
      </c>
      <c r="I186">
        <f t="shared" ca="1" si="33"/>
        <v>3</v>
      </c>
      <c r="J186" s="356" t="s">
        <v>99</v>
      </c>
      <c r="K186" s="138" t="str">
        <f t="shared" ca="1" si="9"/>
        <v>8.</v>
      </c>
      <c r="L186" s="357"/>
      <c r="M186" s="357"/>
      <c r="N186" s="358" t="s">
        <v>329</v>
      </c>
      <c r="O186" s="359" t="s">
        <v>106</v>
      </c>
      <c r="P186" s="360"/>
      <c r="Q186" s="195"/>
      <c r="R186" s="198" t="s">
        <v>7</v>
      </c>
      <c r="S186" s="103">
        <f t="shared" si="10"/>
        <v>0</v>
      </c>
      <c r="T186" s="83">
        <f t="shared" ca="1" si="11"/>
        <v>0</v>
      </c>
      <c r="U186" s="9" t="str">
        <f t="shared" ca="1" si="12"/>
        <v>SEM VALOR</v>
      </c>
      <c r="V186" s="1">
        <f ca="1">IF(OR($A186=0,$A186="S",$A186&gt;CFF!$A$9),"",MAX(V$12:OFFSET(V186,-1,0))+1)</f>
        <v>33</v>
      </c>
      <c r="W186" s="4" t="b">
        <f t="shared" si="13"/>
        <v>0</v>
      </c>
      <c r="X186" s="1" t="str">
        <f t="shared" ca="1" si="14"/>
        <v>X</v>
      </c>
      <c r="Y186" s="103">
        <v>0</v>
      </c>
      <c r="Z186" s="113">
        <f ca="1">ROUND(IF(ISNUMBER(R186),R186,IF(LEFT(R186,3)="BDI",HLOOKUP(R186,DADOS!$T$37:$X$38,2,FALSE),0)),15-11*$X$5)</f>
        <v>0.25</v>
      </c>
      <c r="AA186" s="1"/>
    </row>
    <row r="187" spans="1:27" x14ac:dyDescent="0.25">
      <c r="A187" t="str">
        <f t="shared" si="0"/>
        <v>S</v>
      </c>
      <c r="B187">
        <f t="shared" si="1"/>
        <v>0</v>
      </c>
      <c r="C187">
        <f t="shared" ca="1" si="2"/>
        <v>8</v>
      </c>
      <c r="D187">
        <f t="shared" ca="1" si="3"/>
        <v>0</v>
      </c>
      <c r="E187">
        <f t="shared" ca="1" si="4"/>
        <v>0</v>
      </c>
      <c r="F187">
        <f t="shared" ca="1" si="5"/>
        <v>0</v>
      </c>
      <c r="G187">
        <f t="shared" ca="1" si="6"/>
        <v>1</v>
      </c>
      <c r="H187">
        <f t="shared" ca="1" si="32"/>
        <v>0</v>
      </c>
      <c r="I187">
        <f t="shared" ca="1" si="33"/>
        <v>0</v>
      </c>
      <c r="J187" s="356" t="s">
        <v>103</v>
      </c>
      <c r="K187" s="138" t="str">
        <f t="shared" ca="1" si="9"/>
        <v>8.0.0.1.</v>
      </c>
      <c r="L187" s="357" t="s">
        <v>469</v>
      </c>
      <c r="M187" s="357" t="s">
        <v>744</v>
      </c>
      <c r="N187" s="358" t="s">
        <v>330</v>
      </c>
      <c r="O187" s="359" t="s">
        <v>635</v>
      </c>
      <c r="P187" s="360">
        <v>394.02</v>
      </c>
      <c r="Q187" s="195"/>
      <c r="R187" s="198" t="s">
        <v>7</v>
      </c>
      <c r="S187" s="103">
        <f t="shared" si="10"/>
        <v>0</v>
      </c>
      <c r="T187" s="83">
        <f t="shared" si="11"/>
        <v>0</v>
      </c>
      <c r="U187" s="9" t="str">
        <f t="shared" si="12"/>
        <v>SEM VALOR</v>
      </c>
      <c r="V187" s="1" t="str">
        <f ca="1">IF(OR($A187=0,$A187="S",$A187&gt;CFF!$A$9),"",MAX(V$12:OFFSET(V187,-1,0))+1)</f>
        <v/>
      </c>
      <c r="W187" s="4" t="str">
        <f t="shared" si="13"/>
        <v>FNDE-FNDE 172</v>
      </c>
      <c r="X187" s="1" t="e">
        <f t="shared" ca="1" si="14"/>
        <v>#N/A</v>
      </c>
      <c r="Y187" s="103">
        <v>59.44</v>
      </c>
      <c r="Z187" s="113">
        <f ca="1">ROUND(IF(ISNUMBER(R187),R187,IF(LEFT(R187,3)="BDI",HLOOKUP(R187,DADOS!$T$37:$X$38,2,FALSE),0)),15-11*$X$5)</f>
        <v>0.25</v>
      </c>
      <c r="AA187" s="1"/>
    </row>
    <row r="188" spans="1:27" x14ac:dyDescent="0.25">
      <c r="A188" t="str">
        <f t="shared" si="0"/>
        <v>S</v>
      </c>
      <c r="B188">
        <f t="shared" si="1"/>
        <v>0</v>
      </c>
      <c r="C188">
        <f t="shared" ca="1" si="2"/>
        <v>8</v>
      </c>
      <c r="D188">
        <f t="shared" ca="1" si="3"/>
        <v>0</v>
      </c>
      <c r="E188">
        <f t="shared" ca="1" si="4"/>
        <v>0</v>
      </c>
      <c r="F188">
        <f t="shared" ca="1" si="5"/>
        <v>0</v>
      </c>
      <c r="G188">
        <f t="shared" ca="1" si="6"/>
        <v>2</v>
      </c>
      <c r="H188">
        <f t="shared" ca="1" si="32"/>
        <v>0</v>
      </c>
      <c r="I188">
        <f t="shared" ca="1" si="33"/>
        <v>0</v>
      </c>
      <c r="J188" s="356" t="s">
        <v>103</v>
      </c>
      <c r="K188" s="138" t="str">
        <f t="shared" ca="1" si="9"/>
        <v>8.0.0.2.</v>
      </c>
      <c r="L188" s="357" t="s">
        <v>469</v>
      </c>
      <c r="M188" s="357" t="s">
        <v>745</v>
      </c>
      <c r="N188" s="358" t="s">
        <v>331</v>
      </c>
      <c r="O188" s="359" t="s">
        <v>635</v>
      </c>
      <c r="P188" s="360">
        <v>125.46</v>
      </c>
      <c r="Q188" s="195"/>
      <c r="R188" s="198" t="s">
        <v>7</v>
      </c>
      <c r="S188" s="103">
        <f t="shared" si="10"/>
        <v>0</v>
      </c>
      <c r="T188" s="83">
        <f t="shared" si="11"/>
        <v>0</v>
      </c>
      <c r="U188" s="9" t="str">
        <f t="shared" si="12"/>
        <v>SEM VALOR</v>
      </c>
      <c r="V188" s="1" t="str">
        <f ca="1">IF(OR($A188=0,$A188="S",$A188&gt;CFF!$A$9),"",MAX(V$12:OFFSET(V188,-1,0))+1)</f>
        <v/>
      </c>
      <c r="W188" s="4" t="str">
        <f t="shared" si="13"/>
        <v>FNDE-FNDE 174</v>
      </c>
      <c r="X188" s="1" t="e">
        <f t="shared" ca="1" si="14"/>
        <v>#N/A</v>
      </c>
      <c r="Y188" s="103">
        <v>59.44</v>
      </c>
      <c r="Z188" s="113">
        <f ca="1">ROUND(IF(ISNUMBER(R188),R188,IF(LEFT(R188,3)="BDI",HLOOKUP(R188,DADOS!$T$37:$X$38,2,FALSE),0)),15-11*$X$5)</f>
        <v>0.25</v>
      </c>
      <c r="AA188" s="1"/>
    </row>
    <row r="189" spans="1:27" x14ac:dyDescent="0.25">
      <c r="A189">
        <f t="shared" si="0"/>
        <v>1</v>
      </c>
      <c r="B189">
        <f t="shared" ca="1" si="1"/>
        <v>17</v>
      </c>
      <c r="C189">
        <f t="shared" ca="1" si="2"/>
        <v>9</v>
      </c>
      <c r="D189">
        <f t="shared" ca="1" si="3"/>
        <v>0</v>
      </c>
      <c r="E189">
        <f t="shared" ca="1" si="4"/>
        <v>0</v>
      </c>
      <c r="F189">
        <f t="shared" ca="1" si="5"/>
        <v>0</v>
      </c>
      <c r="G189">
        <f t="shared" ca="1" si="6"/>
        <v>0</v>
      </c>
      <c r="H189">
        <f t="shared" ca="1" si="32"/>
        <v>414</v>
      </c>
      <c r="I189">
        <f t="shared" ca="1" si="33"/>
        <v>17</v>
      </c>
      <c r="J189" s="356" t="s">
        <v>99</v>
      </c>
      <c r="K189" s="138" t="str">
        <f t="shared" ca="1" si="9"/>
        <v>9.</v>
      </c>
      <c r="L189" s="357"/>
      <c r="M189" s="357"/>
      <c r="N189" s="358" t="s">
        <v>332</v>
      </c>
      <c r="O189" s="359" t="s">
        <v>106</v>
      </c>
      <c r="P189" s="360"/>
      <c r="Q189" s="195"/>
      <c r="R189" s="198" t="s">
        <v>7</v>
      </c>
      <c r="S189" s="103">
        <f t="shared" si="10"/>
        <v>0</v>
      </c>
      <c r="T189" s="83">
        <f t="shared" ca="1" si="11"/>
        <v>0</v>
      </c>
      <c r="U189" s="9" t="str">
        <f t="shared" ca="1" si="12"/>
        <v>SEM VALOR</v>
      </c>
      <c r="V189" s="1">
        <f ca="1">IF(OR($A189=0,$A189="S",$A189&gt;CFF!$A$9),"",MAX(V$12:OFFSET(V189,-1,0))+1)</f>
        <v>34</v>
      </c>
      <c r="W189" s="4" t="b">
        <f t="shared" si="13"/>
        <v>0</v>
      </c>
      <c r="X189" s="1" t="str">
        <f t="shared" ca="1" si="14"/>
        <v>X</v>
      </c>
      <c r="Y189" s="103">
        <v>0</v>
      </c>
      <c r="Z189" s="113">
        <f ca="1">ROUND(IF(ISNUMBER(R189),R189,IF(LEFT(R189,3)="BDI",HLOOKUP(R189,DADOS!$T$37:$X$38,2,FALSE),0)),15-11*$X$5)</f>
        <v>0.25</v>
      </c>
      <c r="AA189" s="1"/>
    </row>
    <row r="190" spans="1:27" x14ac:dyDescent="0.25">
      <c r="A190">
        <f t="shared" si="0"/>
        <v>2</v>
      </c>
      <c r="B190">
        <f t="shared" ca="1" si="1"/>
        <v>13</v>
      </c>
      <c r="C190">
        <f t="shared" ca="1" si="2"/>
        <v>9</v>
      </c>
      <c r="D190">
        <f t="shared" ca="1" si="3"/>
        <v>1</v>
      </c>
      <c r="E190">
        <f t="shared" ca="1" si="4"/>
        <v>0</v>
      </c>
      <c r="F190">
        <f t="shared" ca="1" si="5"/>
        <v>0</v>
      </c>
      <c r="G190">
        <f t="shared" ca="1" si="6"/>
        <v>0</v>
      </c>
      <c r="H190">
        <f t="shared" ca="1" si="32"/>
        <v>16</v>
      </c>
      <c r="I190">
        <f t="shared" ca="1" si="33"/>
        <v>13</v>
      </c>
      <c r="J190" s="356" t="s">
        <v>100</v>
      </c>
      <c r="K190" s="138" t="str">
        <f t="shared" ca="1" si="9"/>
        <v>9.1.</v>
      </c>
      <c r="L190" s="357"/>
      <c r="M190" s="357"/>
      <c r="N190" s="358" t="s">
        <v>333</v>
      </c>
      <c r="O190" s="359" t="s">
        <v>106</v>
      </c>
      <c r="P190" s="360"/>
      <c r="Q190" s="195"/>
      <c r="R190" s="198" t="s">
        <v>7</v>
      </c>
      <c r="S190" s="103">
        <f t="shared" si="10"/>
        <v>0</v>
      </c>
      <c r="T190" s="83">
        <f t="shared" ca="1" si="11"/>
        <v>0</v>
      </c>
      <c r="U190" s="9" t="str">
        <f t="shared" ca="1" si="12"/>
        <v>SEM VALOR</v>
      </c>
      <c r="V190" s="1">
        <f ca="1">IF(OR($A190=0,$A190="S",$A190&gt;CFF!$A$9),"",MAX(V$12:OFFSET(V190,-1,0))+1)</f>
        <v>35</v>
      </c>
      <c r="W190" s="4" t="b">
        <f t="shared" si="13"/>
        <v>0</v>
      </c>
      <c r="X190" s="1" t="str">
        <f t="shared" ca="1" si="14"/>
        <v>X</v>
      </c>
      <c r="Y190" s="103">
        <v>0</v>
      </c>
      <c r="Z190" s="113">
        <f ca="1">ROUND(IF(ISNUMBER(R190),R190,IF(LEFT(R190,3)="BDI",HLOOKUP(R190,DADOS!$T$37:$X$38,2,FALSE),0)),15-11*$X$5)</f>
        <v>0.25</v>
      </c>
      <c r="AA190" s="1"/>
    </row>
    <row r="191" spans="1:27" ht="26.4" x14ac:dyDescent="0.25">
      <c r="A191" t="str">
        <f t="shared" si="0"/>
        <v>S</v>
      </c>
      <c r="B191">
        <f t="shared" si="1"/>
        <v>0</v>
      </c>
      <c r="C191">
        <f t="shared" ca="1" si="2"/>
        <v>9</v>
      </c>
      <c r="D191">
        <f t="shared" ca="1" si="3"/>
        <v>1</v>
      </c>
      <c r="E191">
        <f t="shared" ca="1" si="4"/>
        <v>0</v>
      </c>
      <c r="F191">
        <f t="shared" ca="1" si="5"/>
        <v>0</v>
      </c>
      <c r="G191">
        <f t="shared" ca="1" si="6"/>
        <v>1</v>
      </c>
      <c r="H191">
        <f t="shared" ca="1" si="32"/>
        <v>0</v>
      </c>
      <c r="I191">
        <f t="shared" ca="1" si="33"/>
        <v>0</v>
      </c>
      <c r="J191" s="356" t="s">
        <v>103</v>
      </c>
      <c r="K191" s="138" t="str">
        <f t="shared" ca="1" si="9"/>
        <v>9.1.0.1.</v>
      </c>
      <c r="L191" s="357" t="s">
        <v>233</v>
      </c>
      <c r="M191" s="357" t="s">
        <v>334</v>
      </c>
      <c r="N191" s="358" t="s">
        <v>926</v>
      </c>
      <c r="O191" s="359" t="s">
        <v>635</v>
      </c>
      <c r="P191" s="360">
        <v>2569.6</v>
      </c>
      <c r="Q191" s="195"/>
      <c r="R191" s="198" t="s">
        <v>7</v>
      </c>
      <c r="S191" s="103">
        <f t="shared" si="10"/>
        <v>0</v>
      </c>
      <c r="T191" s="83">
        <f t="shared" si="11"/>
        <v>0</v>
      </c>
      <c r="U191" s="9" t="str">
        <f t="shared" si="12"/>
        <v>SEM VALOR</v>
      </c>
      <c r="V191" s="1" t="str">
        <f ca="1">IF(OR($A191=0,$A191="S",$A191&gt;CFF!$A$9),"",MAX(V$12:OFFSET(V191,-1,0))+1)</f>
        <v/>
      </c>
      <c r="W191" s="4" t="str">
        <f t="shared" si="13"/>
        <v>SINAPI-87878</v>
      </c>
      <c r="X191" s="1">
        <f t="shared" ca="1" si="14"/>
        <v>6532</v>
      </c>
      <c r="Y191" s="103">
        <v>6.36</v>
      </c>
      <c r="Z191" s="113">
        <f ca="1">ROUND(IF(ISNUMBER(R191),R191,IF(LEFT(R191,3)="BDI",HLOOKUP(R191,DADOS!$T$37:$X$38,2,FALSE),0)),15-11*$X$5)</f>
        <v>0.25</v>
      </c>
      <c r="AA191" s="1"/>
    </row>
    <row r="192" spans="1:27" ht="26.4" x14ac:dyDescent="0.25">
      <c r="A192" t="str">
        <f t="shared" si="0"/>
        <v>S</v>
      </c>
      <c r="B192">
        <f t="shared" si="1"/>
        <v>0</v>
      </c>
      <c r="C192">
        <f t="shared" ca="1" si="2"/>
        <v>9</v>
      </c>
      <c r="D192">
        <f t="shared" ca="1" si="3"/>
        <v>1</v>
      </c>
      <c r="E192">
        <f t="shared" ca="1" si="4"/>
        <v>0</v>
      </c>
      <c r="F192">
        <f t="shared" ca="1" si="5"/>
        <v>0</v>
      </c>
      <c r="G192">
        <f t="shared" ca="1" si="6"/>
        <v>2</v>
      </c>
      <c r="H192">
        <f t="shared" ca="1" si="32"/>
        <v>0</v>
      </c>
      <c r="I192">
        <f t="shared" ca="1" si="33"/>
        <v>0</v>
      </c>
      <c r="J192" s="356" t="s">
        <v>103</v>
      </c>
      <c r="K192" s="138" t="str">
        <f t="shared" ca="1" si="9"/>
        <v>9.1.0.2.</v>
      </c>
      <c r="L192" s="357" t="s">
        <v>233</v>
      </c>
      <c r="M192" s="357" t="s">
        <v>335</v>
      </c>
      <c r="N192" s="358" t="s">
        <v>980</v>
      </c>
      <c r="O192" s="359" t="s">
        <v>635</v>
      </c>
      <c r="P192" s="360">
        <v>1589.78</v>
      </c>
      <c r="Q192" s="195"/>
      <c r="R192" s="198" t="s">
        <v>7</v>
      </c>
      <c r="S192" s="103">
        <f t="shared" si="10"/>
        <v>0</v>
      </c>
      <c r="T192" s="83">
        <f t="shared" si="11"/>
        <v>0</v>
      </c>
      <c r="U192" s="9" t="str">
        <f t="shared" si="12"/>
        <v>SEM VALOR</v>
      </c>
      <c r="V192" s="1" t="str">
        <f ca="1">IF(OR($A192=0,$A192="S",$A192&gt;CFF!$A$9),"",MAX(V$12:OFFSET(V192,-1,0))+1)</f>
        <v/>
      </c>
      <c r="W192" s="4" t="str">
        <f t="shared" si="13"/>
        <v>SINAPI-87535</v>
      </c>
      <c r="X192" s="1">
        <f t="shared" ca="1" si="14"/>
        <v>6580</v>
      </c>
      <c r="Y192" s="103">
        <v>41.39</v>
      </c>
      <c r="Z192" s="113">
        <f ca="1">ROUND(IF(ISNUMBER(R192),R192,IF(LEFT(R192,3)="BDI",HLOOKUP(R192,DADOS!$T$37:$X$38,2,FALSE),0)),15-11*$X$5)</f>
        <v>0.25</v>
      </c>
      <c r="AA192" s="1"/>
    </row>
    <row r="193" spans="1:27" ht="26.4" x14ac:dyDescent="0.25">
      <c r="A193" t="str">
        <f t="shared" si="0"/>
        <v>S</v>
      </c>
      <c r="B193">
        <f t="shared" si="1"/>
        <v>0</v>
      </c>
      <c r="C193">
        <f t="shared" ca="1" si="2"/>
        <v>9</v>
      </c>
      <c r="D193">
        <f t="shared" ca="1" si="3"/>
        <v>1</v>
      </c>
      <c r="E193">
        <f t="shared" ca="1" si="4"/>
        <v>0</v>
      </c>
      <c r="F193">
        <f t="shared" ca="1" si="5"/>
        <v>0</v>
      </c>
      <c r="G193">
        <f t="shared" ca="1" si="6"/>
        <v>3</v>
      </c>
      <c r="H193">
        <f t="shared" ca="1" si="32"/>
        <v>0</v>
      </c>
      <c r="I193">
        <f t="shared" ca="1" si="33"/>
        <v>0</v>
      </c>
      <c r="J193" s="356" t="s">
        <v>103</v>
      </c>
      <c r="K193" s="138" t="str">
        <f t="shared" ca="1" si="9"/>
        <v>9.1.0.3.</v>
      </c>
      <c r="L193" s="357" t="s">
        <v>233</v>
      </c>
      <c r="M193" s="357" t="s">
        <v>336</v>
      </c>
      <c r="N193" s="358" t="s">
        <v>927</v>
      </c>
      <c r="O193" s="359" t="s">
        <v>635</v>
      </c>
      <c r="P193" s="360">
        <v>979.82</v>
      </c>
      <c r="Q193" s="195"/>
      <c r="R193" s="198" t="s">
        <v>7</v>
      </c>
      <c r="S193" s="103">
        <f t="shared" si="10"/>
        <v>0</v>
      </c>
      <c r="T193" s="83">
        <f t="shared" si="11"/>
        <v>0</v>
      </c>
      <c r="U193" s="9" t="str">
        <f t="shared" si="12"/>
        <v>SEM VALOR</v>
      </c>
      <c r="V193" s="1" t="str">
        <f ca="1">IF(OR($A193=0,$A193="S",$A193&gt;CFF!$A$9),"",MAX(V$12:OFFSET(V193,-1,0))+1)</f>
        <v/>
      </c>
      <c r="W193" s="4" t="str">
        <f t="shared" si="13"/>
        <v>SINAPI-87792</v>
      </c>
      <c r="X193" s="1">
        <f t="shared" ca="1" si="14"/>
        <v>6605</v>
      </c>
      <c r="Y193" s="103">
        <v>51.66</v>
      </c>
      <c r="Z193" s="113">
        <f ca="1">ROUND(IF(ISNUMBER(R193),R193,IF(LEFT(R193,3)="BDI",HLOOKUP(R193,DADOS!$T$37:$X$38,2,FALSE),0)),15-11*$X$5)</f>
        <v>0.25</v>
      </c>
      <c r="AA193" s="1"/>
    </row>
    <row r="194" spans="1:27" ht="26.4" x14ac:dyDescent="0.25">
      <c r="A194" t="str">
        <f t="shared" si="0"/>
        <v>S</v>
      </c>
      <c r="B194">
        <f t="shared" si="1"/>
        <v>0</v>
      </c>
      <c r="C194">
        <f t="shared" ca="1" si="2"/>
        <v>9</v>
      </c>
      <c r="D194">
        <f t="shared" ca="1" si="3"/>
        <v>1</v>
      </c>
      <c r="E194">
        <f t="shared" ca="1" si="4"/>
        <v>0</v>
      </c>
      <c r="F194">
        <f t="shared" ca="1" si="5"/>
        <v>0</v>
      </c>
      <c r="G194">
        <f t="shared" ca="1" si="6"/>
        <v>4</v>
      </c>
      <c r="H194">
        <f t="shared" ca="1" si="32"/>
        <v>0</v>
      </c>
      <c r="I194">
        <f t="shared" ca="1" si="33"/>
        <v>0</v>
      </c>
      <c r="J194" s="356" t="s">
        <v>103</v>
      </c>
      <c r="K194" s="138" t="str">
        <f t="shared" ca="1" si="9"/>
        <v>9.1.0.4.</v>
      </c>
      <c r="L194" s="357" t="s">
        <v>233</v>
      </c>
      <c r="M194" s="357" t="s">
        <v>337</v>
      </c>
      <c r="N194" s="358" t="s">
        <v>981</v>
      </c>
      <c r="O194" s="359" t="s">
        <v>635</v>
      </c>
      <c r="P194" s="360">
        <v>1024.77</v>
      </c>
      <c r="Q194" s="195"/>
      <c r="R194" s="198" t="s">
        <v>7</v>
      </c>
      <c r="S194" s="103">
        <f t="shared" si="10"/>
        <v>0</v>
      </c>
      <c r="T194" s="83">
        <f t="shared" si="11"/>
        <v>0</v>
      </c>
      <c r="U194" s="9" t="str">
        <f t="shared" si="12"/>
        <v>SEM VALOR</v>
      </c>
      <c r="V194" s="1" t="str">
        <f ca="1">IF(OR($A194=0,$A194="S",$A194&gt;CFF!$A$9),"",MAX(V$12:OFFSET(V194,-1,0))+1)</f>
        <v/>
      </c>
      <c r="W194" s="4" t="str">
        <f t="shared" si="13"/>
        <v>SINAPI-87543</v>
      </c>
      <c r="X194" s="1">
        <f t="shared" ca="1" si="14"/>
        <v>6583</v>
      </c>
      <c r="Y194" s="103">
        <v>31.69</v>
      </c>
      <c r="Z194" s="113">
        <f ca="1">ROUND(IF(ISNUMBER(R194),R194,IF(LEFT(R194,3)="BDI",HLOOKUP(R194,DADOS!$T$37:$X$38,2,FALSE),0)),15-11*$X$5)</f>
        <v>0.25</v>
      </c>
      <c r="AA194" s="1"/>
    </row>
    <row r="195" spans="1:27" ht="26.4" x14ac:dyDescent="0.25">
      <c r="A195" t="str">
        <f t="shared" si="0"/>
        <v>S</v>
      </c>
      <c r="B195">
        <f t="shared" si="1"/>
        <v>0</v>
      </c>
      <c r="C195">
        <f t="shared" ca="1" si="2"/>
        <v>9</v>
      </c>
      <c r="D195">
        <f t="shared" ca="1" si="3"/>
        <v>1</v>
      </c>
      <c r="E195">
        <f t="shared" ca="1" si="4"/>
        <v>0</v>
      </c>
      <c r="F195">
        <f t="shared" ca="1" si="5"/>
        <v>0</v>
      </c>
      <c r="G195">
        <f t="shared" ca="1" si="6"/>
        <v>5</v>
      </c>
      <c r="H195">
        <f t="shared" ca="1" si="32"/>
        <v>0</v>
      </c>
      <c r="I195">
        <f t="shared" ca="1" si="33"/>
        <v>0</v>
      </c>
      <c r="J195" s="356" t="s">
        <v>103</v>
      </c>
      <c r="K195" s="138" t="str">
        <f t="shared" ca="1" si="9"/>
        <v>9.1.0.5.</v>
      </c>
      <c r="L195" s="357" t="s">
        <v>233</v>
      </c>
      <c r="M195" s="357" t="s">
        <v>338</v>
      </c>
      <c r="N195" s="358" t="s">
        <v>982</v>
      </c>
      <c r="O195" s="359" t="s">
        <v>635</v>
      </c>
      <c r="P195" s="360">
        <v>456.39</v>
      </c>
      <c r="Q195" s="195"/>
      <c r="R195" s="198" t="s">
        <v>7</v>
      </c>
      <c r="S195" s="103">
        <f t="shared" si="10"/>
        <v>0</v>
      </c>
      <c r="T195" s="83">
        <f t="shared" si="11"/>
        <v>0</v>
      </c>
      <c r="U195" s="9" t="str">
        <f t="shared" si="12"/>
        <v>SEM VALOR</v>
      </c>
      <c r="V195" s="1" t="str">
        <f ca="1">IF(OR($A195=0,$A195="S",$A195&gt;CFF!$A$9),"",MAX(V$12:OFFSET(V195,-1,0))+1)</f>
        <v/>
      </c>
      <c r="W195" s="4" t="str">
        <f t="shared" si="13"/>
        <v>SINAPI-87273</v>
      </c>
      <c r="X195" s="1">
        <f t="shared" ca="1" si="14"/>
        <v>6755</v>
      </c>
      <c r="Y195" s="103">
        <v>91.85</v>
      </c>
      <c r="Z195" s="113">
        <f ca="1">ROUND(IF(ISNUMBER(R195),R195,IF(LEFT(R195,3)="BDI",HLOOKUP(R195,DADOS!$T$37:$X$38,2,FALSE),0)),15-11*$X$5)</f>
        <v>0.25</v>
      </c>
      <c r="AA195" s="1"/>
    </row>
    <row r="196" spans="1:27" ht="26.4" x14ac:dyDescent="0.25">
      <c r="A196" t="str">
        <f t="shared" si="0"/>
        <v>S</v>
      </c>
      <c r="B196">
        <f t="shared" si="1"/>
        <v>0</v>
      </c>
      <c r="C196">
        <f t="shared" ca="1" si="2"/>
        <v>9</v>
      </c>
      <c r="D196">
        <f t="shared" ca="1" si="3"/>
        <v>1</v>
      </c>
      <c r="E196">
        <f t="shared" ca="1" si="4"/>
        <v>0</v>
      </c>
      <c r="F196">
        <f t="shared" ca="1" si="5"/>
        <v>0</v>
      </c>
      <c r="G196">
        <f t="shared" ca="1" si="6"/>
        <v>6</v>
      </c>
      <c r="H196">
        <f t="shared" ca="1" si="32"/>
        <v>0</v>
      </c>
      <c r="I196">
        <f t="shared" ca="1" si="33"/>
        <v>0</v>
      </c>
      <c r="J196" s="356" t="s">
        <v>103</v>
      </c>
      <c r="K196" s="138" t="str">
        <f t="shared" ca="1" si="9"/>
        <v>9.1.0.6.</v>
      </c>
      <c r="L196" s="357" t="s">
        <v>469</v>
      </c>
      <c r="M196" s="357" t="s">
        <v>746</v>
      </c>
      <c r="N196" s="358" t="s">
        <v>339</v>
      </c>
      <c r="O196" s="359" t="s">
        <v>635</v>
      </c>
      <c r="P196" s="360">
        <v>94</v>
      </c>
      <c r="Q196" s="195"/>
      <c r="R196" s="198" t="s">
        <v>7</v>
      </c>
      <c r="S196" s="103">
        <f t="shared" si="10"/>
        <v>0</v>
      </c>
      <c r="T196" s="83">
        <f t="shared" si="11"/>
        <v>0</v>
      </c>
      <c r="U196" s="9" t="str">
        <f t="shared" si="12"/>
        <v>SEM VALOR</v>
      </c>
      <c r="V196" s="1" t="str">
        <f ca="1">IF(OR($A196=0,$A196="S",$A196&gt;CFF!$A$9),"",MAX(V$12:OFFSET(V196,-1,0))+1)</f>
        <v/>
      </c>
      <c r="W196" s="4" t="str">
        <f t="shared" si="13"/>
        <v>FNDE-FNDE 293</v>
      </c>
      <c r="X196" s="1" t="e">
        <f t="shared" ca="1" si="14"/>
        <v>#N/A</v>
      </c>
      <c r="Y196" s="103">
        <v>94.56</v>
      </c>
      <c r="Z196" s="113">
        <f ca="1">ROUND(IF(ISNUMBER(R196),R196,IF(LEFT(R196,3)="BDI",HLOOKUP(R196,DADOS!$T$37:$X$38,2,FALSE),0)),15-11*$X$5)</f>
        <v>0.25</v>
      </c>
      <c r="AA196" s="1"/>
    </row>
    <row r="197" spans="1:27" ht="26.4" x14ac:dyDescent="0.25">
      <c r="A197" t="str">
        <f t="shared" si="0"/>
        <v>S</v>
      </c>
      <c r="B197">
        <f t="shared" si="1"/>
        <v>0</v>
      </c>
      <c r="C197">
        <f t="shared" ca="1" si="2"/>
        <v>9</v>
      </c>
      <c r="D197">
        <f t="shared" ca="1" si="3"/>
        <v>1</v>
      </c>
      <c r="E197">
        <f t="shared" ca="1" si="4"/>
        <v>0</v>
      </c>
      <c r="F197">
        <f t="shared" ca="1" si="5"/>
        <v>0</v>
      </c>
      <c r="G197">
        <f t="shared" ca="1" si="6"/>
        <v>7</v>
      </c>
      <c r="H197">
        <f t="shared" ca="1" si="32"/>
        <v>0</v>
      </c>
      <c r="I197">
        <f t="shared" ca="1" si="33"/>
        <v>0</v>
      </c>
      <c r="J197" s="356" t="s">
        <v>103</v>
      </c>
      <c r="K197" s="138" t="str">
        <f t="shared" ca="1" si="9"/>
        <v>9.1.0.7.</v>
      </c>
      <c r="L197" s="357" t="s">
        <v>469</v>
      </c>
      <c r="M197" s="357" t="s">
        <v>747</v>
      </c>
      <c r="N197" s="358" t="s">
        <v>340</v>
      </c>
      <c r="O197" s="359" t="s">
        <v>635</v>
      </c>
      <c r="P197" s="360">
        <v>4.5999999999999996</v>
      </c>
      <c r="Q197" s="195"/>
      <c r="R197" s="198" t="s">
        <v>7</v>
      </c>
      <c r="S197" s="103">
        <f t="shared" si="10"/>
        <v>0</v>
      </c>
      <c r="T197" s="83">
        <f t="shared" si="11"/>
        <v>0</v>
      </c>
      <c r="U197" s="9" t="str">
        <f t="shared" si="12"/>
        <v>SEM VALOR</v>
      </c>
      <c r="V197" s="1" t="str">
        <f ca="1">IF(OR($A197=0,$A197="S",$A197&gt;CFF!$A$9),"",MAX(V$12:OFFSET(V197,-1,0))+1)</f>
        <v/>
      </c>
      <c r="W197" s="4" t="str">
        <f t="shared" si="13"/>
        <v>FNDE-FNDE 294</v>
      </c>
      <c r="X197" s="1" t="e">
        <f t="shared" ca="1" si="14"/>
        <v>#N/A</v>
      </c>
      <c r="Y197" s="103">
        <v>94.56</v>
      </c>
      <c r="Z197" s="113">
        <f ca="1">ROUND(IF(ISNUMBER(R197),R197,IF(LEFT(R197,3)="BDI",HLOOKUP(R197,DADOS!$T$37:$X$38,2,FALSE),0)),15-11*$X$5)</f>
        <v>0.25</v>
      </c>
      <c r="AA197" s="1"/>
    </row>
    <row r="198" spans="1:27" ht="26.4" x14ac:dyDescent="0.25">
      <c r="A198" t="str">
        <f t="shared" si="0"/>
        <v>S</v>
      </c>
      <c r="B198">
        <f t="shared" si="1"/>
        <v>0</v>
      </c>
      <c r="C198">
        <f t="shared" ca="1" si="2"/>
        <v>9</v>
      </c>
      <c r="D198">
        <f t="shared" ca="1" si="3"/>
        <v>1</v>
      </c>
      <c r="E198">
        <f t="shared" ca="1" si="4"/>
        <v>0</v>
      </c>
      <c r="F198">
        <f t="shared" ca="1" si="5"/>
        <v>0</v>
      </c>
      <c r="G198">
        <f t="shared" ca="1" si="6"/>
        <v>8</v>
      </c>
      <c r="H198">
        <f t="shared" ca="1" si="32"/>
        <v>0</v>
      </c>
      <c r="I198">
        <f t="shared" ca="1" si="33"/>
        <v>0</v>
      </c>
      <c r="J198" s="356" t="s">
        <v>103</v>
      </c>
      <c r="K198" s="138" t="str">
        <f t="shared" ca="1" si="9"/>
        <v>9.1.0.8.</v>
      </c>
      <c r="L198" s="357" t="s">
        <v>469</v>
      </c>
      <c r="M198" s="357" t="s">
        <v>748</v>
      </c>
      <c r="N198" s="358" t="s">
        <v>341</v>
      </c>
      <c r="O198" s="359" t="s">
        <v>635</v>
      </c>
      <c r="P198" s="360">
        <v>9.7100000000000009</v>
      </c>
      <c r="Q198" s="195"/>
      <c r="R198" s="198" t="s">
        <v>7</v>
      </c>
      <c r="S198" s="103">
        <f t="shared" si="10"/>
        <v>0</v>
      </c>
      <c r="T198" s="83">
        <f t="shared" si="11"/>
        <v>0</v>
      </c>
      <c r="U198" s="9" t="str">
        <f t="shared" si="12"/>
        <v>SEM VALOR</v>
      </c>
      <c r="V198" s="1" t="str">
        <f ca="1">IF(OR($A198=0,$A198="S",$A198&gt;CFF!$A$9),"",MAX(V$12:OFFSET(V198,-1,0))+1)</f>
        <v/>
      </c>
      <c r="W198" s="4" t="str">
        <f t="shared" si="13"/>
        <v>FNDE-FNDE 295</v>
      </c>
      <c r="X198" s="1" t="e">
        <f t="shared" ca="1" si="14"/>
        <v>#N/A</v>
      </c>
      <c r="Y198" s="103">
        <v>94.56</v>
      </c>
      <c r="Z198" s="113">
        <f ca="1">ROUND(IF(ISNUMBER(R198),R198,IF(LEFT(R198,3)="BDI",HLOOKUP(R198,DADOS!$T$37:$X$38,2,FALSE),0)),15-11*$X$5)</f>
        <v>0.25</v>
      </c>
      <c r="AA198" s="1"/>
    </row>
    <row r="199" spans="1:27" ht="26.4" x14ac:dyDescent="0.25">
      <c r="A199" t="str">
        <f t="shared" si="0"/>
        <v>S</v>
      </c>
      <c r="B199">
        <f t="shared" si="1"/>
        <v>0</v>
      </c>
      <c r="C199">
        <f t="shared" ca="1" si="2"/>
        <v>9</v>
      </c>
      <c r="D199">
        <f t="shared" ca="1" si="3"/>
        <v>1</v>
      </c>
      <c r="E199">
        <f t="shared" ca="1" si="4"/>
        <v>0</v>
      </c>
      <c r="F199">
        <f t="shared" ca="1" si="5"/>
        <v>0</v>
      </c>
      <c r="G199">
        <f t="shared" ca="1" si="6"/>
        <v>9</v>
      </c>
      <c r="H199">
        <f t="shared" ca="1" si="32"/>
        <v>0</v>
      </c>
      <c r="I199">
        <f t="shared" ca="1" si="33"/>
        <v>0</v>
      </c>
      <c r="J199" s="356" t="s">
        <v>103</v>
      </c>
      <c r="K199" s="138" t="str">
        <f t="shared" ca="1" si="9"/>
        <v>9.1.0.9.</v>
      </c>
      <c r="L199" s="357" t="s">
        <v>469</v>
      </c>
      <c r="M199" s="357" t="s">
        <v>749</v>
      </c>
      <c r="N199" s="358" t="s">
        <v>342</v>
      </c>
      <c r="O199" s="359" t="s">
        <v>635</v>
      </c>
      <c r="P199" s="360">
        <v>4.92</v>
      </c>
      <c r="Q199" s="195"/>
      <c r="R199" s="198" t="s">
        <v>7</v>
      </c>
      <c r="S199" s="103">
        <f t="shared" si="10"/>
        <v>0</v>
      </c>
      <c r="T199" s="83">
        <f t="shared" si="11"/>
        <v>0</v>
      </c>
      <c r="U199" s="9" t="str">
        <f t="shared" si="12"/>
        <v>SEM VALOR</v>
      </c>
      <c r="V199" s="1" t="str">
        <f ca="1">IF(OR($A199=0,$A199="S",$A199&gt;CFF!$A$9),"",MAX(V$12:OFFSET(V199,-1,0))+1)</f>
        <v/>
      </c>
      <c r="W199" s="4" t="str">
        <f t="shared" si="13"/>
        <v>FNDE-FNDE 296</v>
      </c>
      <c r="X199" s="1" t="e">
        <f t="shared" ca="1" si="14"/>
        <v>#N/A</v>
      </c>
      <c r="Y199" s="103">
        <v>94.56</v>
      </c>
      <c r="Z199" s="113">
        <f ca="1">ROUND(IF(ISNUMBER(R199),R199,IF(LEFT(R199,3)="BDI",HLOOKUP(R199,DADOS!$T$37:$X$38,2,FALSE),0)),15-11*$X$5)</f>
        <v>0.25</v>
      </c>
      <c r="AA199" s="1"/>
    </row>
    <row r="200" spans="1:27" x14ac:dyDescent="0.25">
      <c r="A200" t="str">
        <f t="shared" si="0"/>
        <v>S</v>
      </c>
      <c r="B200">
        <f t="shared" si="1"/>
        <v>0</v>
      </c>
      <c r="C200">
        <f t="shared" ca="1" si="2"/>
        <v>9</v>
      </c>
      <c r="D200">
        <f t="shared" ca="1" si="3"/>
        <v>1</v>
      </c>
      <c r="E200">
        <f t="shared" ca="1" si="4"/>
        <v>0</v>
      </c>
      <c r="F200">
        <f t="shared" ca="1" si="5"/>
        <v>0</v>
      </c>
      <c r="G200">
        <f t="shared" ca="1" si="6"/>
        <v>10</v>
      </c>
      <c r="H200">
        <f t="shared" ca="1" si="32"/>
        <v>0</v>
      </c>
      <c r="I200">
        <f t="shared" ca="1" si="33"/>
        <v>0</v>
      </c>
      <c r="J200" s="356" t="s">
        <v>103</v>
      </c>
      <c r="K200" s="138" t="str">
        <f t="shared" ca="1" si="9"/>
        <v>9.1.0.10.</v>
      </c>
      <c r="L200" s="357" t="s">
        <v>469</v>
      </c>
      <c r="M200" s="357" t="s">
        <v>750</v>
      </c>
      <c r="N200" s="358" t="s">
        <v>752</v>
      </c>
      <c r="O200" s="359" t="s">
        <v>590</v>
      </c>
      <c r="P200" s="360">
        <v>127.2</v>
      </c>
      <c r="Q200" s="195"/>
      <c r="R200" s="198" t="s">
        <v>7</v>
      </c>
      <c r="S200" s="103">
        <f t="shared" si="10"/>
        <v>0</v>
      </c>
      <c r="T200" s="83">
        <f t="shared" si="11"/>
        <v>0</v>
      </c>
      <c r="U200" s="9" t="str">
        <f t="shared" si="12"/>
        <v>SEM VALOR</v>
      </c>
      <c r="V200" s="1" t="str">
        <f ca="1">IF(OR($A200=0,$A200="S",$A200&gt;CFF!$A$9),"",MAX(V$12:OFFSET(V200,-1,0))+1)</f>
        <v/>
      </c>
      <c r="W200" s="4" t="str">
        <f t="shared" si="13"/>
        <v>FNDE-FNDE 245</v>
      </c>
      <c r="X200" s="1" t="e">
        <f t="shared" ca="1" si="14"/>
        <v>#N/A</v>
      </c>
      <c r="Y200" s="103">
        <v>45.41</v>
      </c>
      <c r="Z200" s="113">
        <f ca="1">ROUND(IF(ISNUMBER(R200),R200,IF(LEFT(R200,3)="BDI",HLOOKUP(R200,DADOS!$T$37:$X$38,2,FALSE),0)),15-11*$X$5)</f>
        <v>0.25</v>
      </c>
      <c r="AA200" s="1"/>
    </row>
    <row r="201" spans="1:27" ht="26.4" x14ac:dyDescent="0.25">
      <c r="A201" t="str">
        <f t="shared" si="0"/>
        <v>S</v>
      </c>
      <c r="B201">
        <f t="shared" si="1"/>
        <v>0</v>
      </c>
      <c r="C201">
        <f t="shared" ca="1" si="2"/>
        <v>9</v>
      </c>
      <c r="D201">
        <f t="shared" ca="1" si="3"/>
        <v>1</v>
      </c>
      <c r="E201">
        <f t="shared" ca="1" si="4"/>
        <v>0</v>
      </c>
      <c r="F201">
        <f t="shared" ca="1" si="5"/>
        <v>0</v>
      </c>
      <c r="G201">
        <f t="shared" ca="1" si="6"/>
        <v>11</v>
      </c>
      <c r="H201">
        <f t="shared" ca="1" si="32"/>
        <v>0</v>
      </c>
      <c r="I201">
        <f t="shared" ca="1" si="33"/>
        <v>0</v>
      </c>
      <c r="J201" s="356" t="s">
        <v>103</v>
      </c>
      <c r="K201" s="138" t="str">
        <f t="shared" ca="1" si="9"/>
        <v>9.1.0.11.</v>
      </c>
      <c r="L201" s="357" t="s">
        <v>233</v>
      </c>
      <c r="M201" s="357" t="s">
        <v>343</v>
      </c>
      <c r="N201" s="358" t="s">
        <v>983</v>
      </c>
      <c r="O201" s="359" t="s">
        <v>635</v>
      </c>
      <c r="P201" s="360">
        <v>438.37</v>
      </c>
      <c r="Q201" s="195"/>
      <c r="R201" s="198" t="s">
        <v>7</v>
      </c>
      <c r="S201" s="103">
        <f t="shared" si="10"/>
        <v>0</v>
      </c>
      <c r="T201" s="83">
        <f t="shared" si="11"/>
        <v>0</v>
      </c>
      <c r="U201" s="9" t="str">
        <f t="shared" si="12"/>
        <v>SEM VALOR</v>
      </c>
      <c r="V201" s="1" t="str">
        <f ca="1">IF(OR($A201=0,$A201="S",$A201&gt;CFF!$A$9),"",MAX(V$12:OFFSET(V201,-1,0))+1)</f>
        <v/>
      </c>
      <c r="W201" s="4" t="str">
        <f t="shared" si="13"/>
        <v>SINAPI-96114</v>
      </c>
      <c r="X201" s="1">
        <f t="shared" ca="1" si="14"/>
        <v>6777</v>
      </c>
      <c r="Y201" s="103">
        <v>107.95</v>
      </c>
      <c r="Z201" s="113">
        <f ca="1">ROUND(IF(ISNUMBER(R201),R201,IF(LEFT(R201,3)="BDI",HLOOKUP(R201,DADOS!$T$37:$X$38,2,FALSE),0)),15-11*$X$5)</f>
        <v>0.25</v>
      </c>
      <c r="AA201" s="1"/>
    </row>
    <row r="202" spans="1:27" ht="26.4" x14ac:dyDescent="0.25">
      <c r="A202" t="str">
        <f t="shared" si="0"/>
        <v>S</v>
      </c>
      <c r="B202">
        <f t="shared" si="1"/>
        <v>0</v>
      </c>
      <c r="C202">
        <f t="shared" ca="1" si="2"/>
        <v>9</v>
      </c>
      <c r="D202">
        <f t="shared" ca="1" si="3"/>
        <v>1</v>
      </c>
      <c r="E202">
        <f t="shared" ca="1" si="4"/>
        <v>0</v>
      </c>
      <c r="F202">
        <f t="shared" ca="1" si="5"/>
        <v>0</v>
      </c>
      <c r="G202">
        <f t="shared" ca="1" si="6"/>
        <v>12</v>
      </c>
      <c r="H202">
        <f t="shared" ca="1" si="32"/>
        <v>0</v>
      </c>
      <c r="I202">
        <f t="shared" ca="1" si="33"/>
        <v>0</v>
      </c>
      <c r="J202" s="356" t="s">
        <v>103</v>
      </c>
      <c r="K202" s="138" t="str">
        <f t="shared" ca="1" si="9"/>
        <v>9.1.0.12.</v>
      </c>
      <c r="L202" s="357" t="s">
        <v>469</v>
      </c>
      <c r="M202" s="357" t="s">
        <v>751</v>
      </c>
      <c r="N202" s="358" t="s">
        <v>753</v>
      </c>
      <c r="O202" s="359" t="s">
        <v>635</v>
      </c>
      <c r="P202" s="360">
        <v>259.43</v>
      </c>
      <c r="Q202" s="195"/>
      <c r="R202" s="198" t="s">
        <v>7</v>
      </c>
      <c r="S202" s="103">
        <f t="shared" si="10"/>
        <v>0</v>
      </c>
      <c r="T202" s="83">
        <f t="shared" si="11"/>
        <v>0</v>
      </c>
      <c r="U202" s="9" t="str">
        <f t="shared" si="12"/>
        <v>SEM VALOR</v>
      </c>
      <c r="V202" s="1" t="str">
        <f ca="1">IF(OR($A202=0,$A202="S",$A202&gt;CFF!$A$9),"",MAX(V$12:OFFSET(V202,-1,0))+1)</f>
        <v/>
      </c>
      <c r="W202" s="4" t="str">
        <f t="shared" si="13"/>
        <v>FNDE-FNDE 18</v>
      </c>
      <c r="X202" s="1" t="e">
        <f t="shared" ca="1" si="14"/>
        <v>#N/A</v>
      </c>
      <c r="Y202" s="103">
        <v>187.63</v>
      </c>
      <c r="Z202" s="113">
        <f ca="1">ROUND(IF(ISNUMBER(R202),R202,IF(LEFT(R202,3)="BDI",HLOOKUP(R202,DADOS!$T$37:$X$38,2,FALSE),0)),15-11*$X$5)</f>
        <v>0.25</v>
      </c>
      <c r="AA202" s="1"/>
    </row>
    <row r="203" spans="1:27" x14ac:dyDescent="0.25">
      <c r="A203">
        <f t="shared" si="0"/>
        <v>2</v>
      </c>
      <c r="B203">
        <f t="shared" ca="1" si="1"/>
        <v>3</v>
      </c>
      <c r="C203">
        <f t="shared" ca="1" si="2"/>
        <v>9</v>
      </c>
      <c r="D203">
        <f t="shared" ca="1" si="3"/>
        <v>2</v>
      </c>
      <c r="E203">
        <f t="shared" ca="1" si="4"/>
        <v>0</v>
      </c>
      <c r="F203">
        <f t="shared" ca="1" si="5"/>
        <v>0</v>
      </c>
      <c r="G203">
        <f t="shared" ca="1" si="6"/>
        <v>0</v>
      </c>
      <c r="H203">
        <f t="shared" ca="1" si="32"/>
        <v>3</v>
      </c>
      <c r="I203">
        <f t="shared" ca="1" si="33"/>
        <v>36</v>
      </c>
      <c r="J203" s="356" t="s">
        <v>100</v>
      </c>
      <c r="K203" s="138" t="str">
        <f t="shared" ca="1" si="9"/>
        <v>9.2.</v>
      </c>
      <c r="L203" s="357"/>
      <c r="M203" s="357"/>
      <c r="N203" s="358" t="s">
        <v>658</v>
      </c>
      <c r="O203" s="359" t="s">
        <v>106</v>
      </c>
      <c r="P203" s="360"/>
      <c r="Q203" s="195"/>
      <c r="R203" s="198" t="s">
        <v>7</v>
      </c>
      <c r="S203" s="103">
        <f t="shared" si="10"/>
        <v>0</v>
      </c>
      <c r="T203" s="83">
        <f t="shared" ca="1" si="11"/>
        <v>0</v>
      </c>
      <c r="U203" s="9" t="str">
        <f t="shared" ca="1" si="12"/>
        <v>SEM VALOR</v>
      </c>
      <c r="V203" s="1">
        <f ca="1">IF(OR($A203=0,$A203="S",$A203&gt;CFF!$A$9),"",MAX(V$12:OFFSET(V203,-1,0))+1)</f>
        <v>36</v>
      </c>
      <c r="W203" s="4" t="b">
        <f t="shared" si="13"/>
        <v>0</v>
      </c>
      <c r="X203" s="1" t="str">
        <f ca="1">IF(AND(Fonte&lt;&gt;"",Código&lt;&gt;""),MATCH(Fonte&amp;" "&amp;IF(Fonte="sinapi",SUBSTITUTE(SUBSTITUTE(Código,"/00","/"),"/0","/"),Código),INDIRECT("'[Referência "&amp;_xlnm.Database&amp;".xls]Banco'!$a:$a"),0),"X")</f>
        <v>X</v>
      </c>
      <c r="Y203" s="103">
        <v>0</v>
      </c>
      <c r="Z203" s="113">
        <f ca="1">ROUND(IF(ISNUMBER(R203),R203,IF(LEFT(R203,3)="BDI",HLOOKUP(R203,DADOS!$T$37:$X$38,2,FALSE),0)),15-11*$X$5)</f>
        <v>0.25</v>
      </c>
      <c r="AA203" s="1"/>
    </row>
    <row r="204" spans="1:27" ht="26.4" x14ac:dyDescent="0.25">
      <c r="A204" t="str">
        <f t="shared" si="0"/>
        <v>S</v>
      </c>
      <c r="B204">
        <f t="shared" si="1"/>
        <v>0</v>
      </c>
      <c r="C204">
        <f t="shared" ca="1" si="2"/>
        <v>9</v>
      </c>
      <c r="D204">
        <f t="shared" ca="1" si="3"/>
        <v>2</v>
      </c>
      <c r="E204">
        <f t="shared" ca="1" si="4"/>
        <v>0</v>
      </c>
      <c r="F204">
        <f t="shared" ca="1" si="5"/>
        <v>0</v>
      </c>
      <c r="G204">
        <f t="shared" ca="1" si="6"/>
        <v>1</v>
      </c>
      <c r="H204">
        <f t="shared" ca="1" si="32"/>
        <v>0</v>
      </c>
      <c r="I204">
        <f t="shared" ca="1" si="33"/>
        <v>0</v>
      </c>
      <c r="J204" s="356" t="s">
        <v>103</v>
      </c>
      <c r="K204" s="138" t="str">
        <f t="shared" ca="1" si="9"/>
        <v>9.2.0.1.</v>
      </c>
      <c r="L204" s="357" t="s">
        <v>233</v>
      </c>
      <c r="M204" s="357" t="s">
        <v>334</v>
      </c>
      <c r="N204" s="358" t="s">
        <v>926</v>
      </c>
      <c r="O204" s="359" t="s">
        <v>635</v>
      </c>
      <c r="P204" s="360">
        <f>P129*2</f>
        <v>221.28</v>
      </c>
      <c r="Q204" s="195"/>
      <c r="R204" s="198" t="s">
        <v>7</v>
      </c>
      <c r="S204" s="103">
        <f t="shared" si="10"/>
        <v>0</v>
      </c>
      <c r="T204" s="83">
        <f t="shared" si="11"/>
        <v>0</v>
      </c>
      <c r="U204" s="9" t="str">
        <f t="shared" si="12"/>
        <v>SEM VALOR</v>
      </c>
      <c r="V204" s="1" t="str">
        <f ca="1">IF(OR($A204=0,$A204="S",$A204&gt;CFF!$A$9),"",MAX(V$12:OFFSET(V204,-1,0))+1)</f>
        <v/>
      </c>
      <c r="W204" s="4" t="str">
        <f t="shared" si="13"/>
        <v>SINAPI-87878</v>
      </c>
      <c r="X204" s="1">
        <f ca="1">IF(AND(Fonte&lt;&gt;"",Código&lt;&gt;""),MATCH(Fonte&amp;" "&amp;IF(Fonte="sinapi",SUBSTITUTE(SUBSTITUTE(Código,"/00","/"),"/0","/"),Código),INDIRECT("'[Referência "&amp;_xlnm.Database&amp;".xls]Banco'!$a:$a"),0),"X")</f>
        <v>6532</v>
      </c>
      <c r="Y204" s="103">
        <v>6.36</v>
      </c>
      <c r="Z204" s="113">
        <f ca="1">ROUND(IF(ISNUMBER(R204),R204,IF(LEFT(R204,3)="BDI",HLOOKUP(R204,DADOS!$T$37:$X$38,2,FALSE),0)),15-11*$X$5)</f>
        <v>0.25</v>
      </c>
      <c r="AA204" s="1"/>
    </row>
    <row r="205" spans="1:27" ht="26.4" x14ac:dyDescent="0.25">
      <c r="A205" t="str">
        <f t="shared" si="0"/>
        <v>S</v>
      </c>
      <c r="B205">
        <f t="shared" si="1"/>
        <v>0</v>
      </c>
      <c r="C205">
        <f t="shared" ca="1" si="2"/>
        <v>9</v>
      </c>
      <c r="D205">
        <f t="shared" ca="1" si="3"/>
        <v>2</v>
      </c>
      <c r="E205">
        <f t="shared" ca="1" si="4"/>
        <v>0</v>
      </c>
      <c r="F205">
        <f t="shared" ca="1" si="5"/>
        <v>0</v>
      </c>
      <c r="G205">
        <f t="shared" ca="1" si="6"/>
        <v>2</v>
      </c>
      <c r="H205">
        <f t="shared" ref="H205:H268" ca="1" si="34">IF(OR($A205="S",$A205=0),0,MATCH(0,OFFSET($B205,1,$A205,ROW($A$603)-ROW($A205)),0))</f>
        <v>0</v>
      </c>
      <c r="I205">
        <f t="shared" ref="I205:I268" ca="1" si="35">IF(OR($A205="S",$A205=0),0,MATCH(OFFSET($B205,0,$A205)+1,OFFSET($B205,1,$A205,ROW($A$603)-ROW($A205)),0))</f>
        <v>0</v>
      </c>
      <c r="J205" s="356" t="s">
        <v>103</v>
      </c>
      <c r="K205" s="138" t="str">
        <f t="shared" ca="1" si="9"/>
        <v>9.2.0.2.</v>
      </c>
      <c r="L205" s="357" t="s">
        <v>233</v>
      </c>
      <c r="M205" s="357" t="s">
        <v>336</v>
      </c>
      <c r="N205" s="358" t="s">
        <v>927</v>
      </c>
      <c r="O205" s="359" t="s">
        <v>635</v>
      </c>
      <c r="P205" s="360">
        <f>P204</f>
        <v>221.28</v>
      </c>
      <c r="Q205" s="195"/>
      <c r="R205" s="198" t="s">
        <v>7</v>
      </c>
      <c r="S205" s="103">
        <f t="shared" si="10"/>
        <v>0</v>
      </c>
      <c r="T205" s="83">
        <f t="shared" si="11"/>
        <v>0</v>
      </c>
      <c r="U205" s="9" t="str">
        <f t="shared" si="12"/>
        <v>SEM VALOR</v>
      </c>
      <c r="V205" s="1" t="str">
        <f ca="1">IF(OR($A205=0,$A205="S",$A205&gt;CFF!$A$9),"",MAX(V$12:OFFSET(V205,-1,0))+1)</f>
        <v/>
      </c>
      <c r="W205" s="4" t="str">
        <f t="shared" si="13"/>
        <v>SINAPI-87792</v>
      </c>
      <c r="X205" s="1">
        <f ca="1">IF(AND(Fonte&lt;&gt;"",Código&lt;&gt;""),MATCH(Fonte&amp;" "&amp;IF(Fonte="sinapi",SUBSTITUTE(SUBSTITUTE(Código,"/00","/"),"/0","/"),Código),INDIRECT("'[Referência "&amp;_xlnm.Database&amp;".xls]Banco'!$a:$a"),0),"X")</f>
        <v>6605</v>
      </c>
      <c r="Y205" s="103">
        <v>51.66</v>
      </c>
      <c r="Z205" s="113">
        <f ca="1">ROUND(IF(ISNUMBER(R205),R205,IF(LEFT(R205,3)="BDI",HLOOKUP(R205,DADOS!$T$37:$X$38,2,FALSE),0)),15-11*$X$5)</f>
        <v>0.25</v>
      </c>
      <c r="AA205" s="1"/>
    </row>
    <row r="206" spans="1:27" x14ac:dyDescent="0.25">
      <c r="A206">
        <f t="shared" si="0"/>
        <v>1</v>
      </c>
      <c r="B206">
        <f t="shared" ca="1" si="1"/>
        <v>22</v>
      </c>
      <c r="C206">
        <f t="shared" ca="1" si="2"/>
        <v>10</v>
      </c>
      <c r="D206">
        <f t="shared" ca="1" si="3"/>
        <v>0</v>
      </c>
      <c r="E206">
        <f t="shared" ca="1" si="4"/>
        <v>0</v>
      </c>
      <c r="F206">
        <f t="shared" ca="1" si="5"/>
        <v>0</v>
      </c>
      <c r="G206">
        <f t="shared" ca="1" si="6"/>
        <v>0</v>
      </c>
      <c r="H206">
        <f t="shared" ca="1" si="34"/>
        <v>397</v>
      </c>
      <c r="I206">
        <f t="shared" ca="1" si="35"/>
        <v>22</v>
      </c>
      <c r="J206" s="356" t="s">
        <v>99</v>
      </c>
      <c r="K206" s="138" t="str">
        <f t="shared" ca="1" si="9"/>
        <v>10.</v>
      </c>
      <c r="L206" s="357"/>
      <c r="M206" s="357"/>
      <c r="N206" s="358" t="s">
        <v>344</v>
      </c>
      <c r="O206" s="359" t="s">
        <v>106</v>
      </c>
      <c r="P206" s="360"/>
      <c r="Q206" s="195"/>
      <c r="R206" s="198" t="s">
        <v>7</v>
      </c>
      <c r="S206" s="103">
        <f t="shared" si="10"/>
        <v>0</v>
      </c>
      <c r="T206" s="83">
        <f t="shared" ca="1" si="11"/>
        <v>0</v>
      </c>
      <c r="U206" s="9" t="str">
        <f t="shared" ca="1" si="12"/>
        <v>SEM VALOR</v>
      </c>
      <c r="V206" s="1">
        <f ca="1">IF(OR($A206=0,$A206="S",$A206&gt;CFF!$A$9),"",MAX(V$12:OFFSET(V206,-1,0))+1)</f>
        <v>37</v>
      </c>
      <c r="W206" s="4" t="b">
        <f t="shared" si="13"/>
        <v>0</v>
      </c>
      <c r="X206" s="1" t="str">
        <f t="shared" ca="1" si="14"/>
        <v>X</v>
      </c>
      <c r="Y206" s="103">
        <v>0</v>
      </c>
      <c r="Z206" s="113">
        <f ca="1">ROUND(IF(ISNUMBER(R206),R206,IF(LEFT(R206,3)="BDI",HLOOKUP(R206,DADOS!$T$37:$X$38,2,FALSE),0)),15-11*$X$5)</f>
        <v>0.25</v>
      </c>
      <c r="AA206" s="1"/>
    </row>
    <row r="207" spans="1:27" x14ac:dyDescent="0.25">
      <c r="A207">
        <f t="shared" si="0"/>
        <v>2</v>
      </c>
      <c r="B207">
        <f t="shared" ca="1" si="1"/>
        <v>13</v>
      </c>
      <c r="C207">
        <f t="shared" ca="1" si="2"/>
        <v>10</v>
      </c>
      <c r="D207">
        <f t="shared" ca="1" si="3"/>
        <v>1</v>
      </c>
      <c r="E207">
        <f t="shared" ca="1" si="4"/>
        <v>0</v>
      </c>
      <c r="F207">
        <f t="shared" ca="1" si="5"/>
        <v>0</v>
      </c>
      <c r="G207">
        <f t="shared" ca="1" si="6"/>
        <v>0</v>
      </c>
      <c r="H207">
        <f t="shared" ca="1" si="34"/>
        <v>21</v>
      </c>
      <c r="I207">
        <f t="shared" ca="1" si="35"/>
        <v>13</v>
      </c>
      <c r="J207" s="356" t="s">
        <v>100</v>
      </c>
      <c r="K207" s="138" t="str">
        <f t="shared" ca="1" si="9"/>
        <v>10.1.</v>
      </c>
      <c r="L207" s="357"/>
      <c r="M207" s="357"/>
      <c r="N207" s="358" t="s">
        <v>274</v>
      </c>
      <c r="O207" s="359" t="s">
        <v>106</v>
      </c>
      <c r="P207" s="360"/>
      <c r="Q207" s="195"/>
      <c r="R207" s="198" t="s">
        <v>7</v>
      </c>
      <c r="S207" s="103">
        <f t="shared" si="10"/>
        <v>0</v>
      </c>
      <c r="T207" s="83">
        <f t="shared" ca="1" si="11"/>
        <v>0</v>
      </c>
      <c r="U207" s="9" t="str">
        <f t="shared" ca="1" si="12"/>
        <v>SEM VALOR</v>
      </c>
      <c r="V207" s="1">
        <f ca="1">IF(OR($A207=0,$A207="S",$A207&gt;CFF!$A$9),"",MAX(V$12:OFFSET(V207,-1,0))+1)</f>
        <v>38</v>
      </c>
      <c r="W207" s="4" t="b">
        <f t="shared" si="13"/>
        <v>0</v>
      </c>
      <c r="X207" s="1" t="str">
        <f t="shared" ca="1" si="14"/>
        <v>X</v>
      </c>
      <c r="Y207" s="103">
        <v>0</v>
      </c>
      <c r="Z207" s="113">
        <f ca="1">ROUND(IF(ISNUMBER(R207),R207,IF(LEFT(R207,3)="BDI",HLOOKUP(R207,DADOS!$T$37:$X$38,2,FALSE),0)),15-11*$X$5)</f>
        <v>0.25</v>
      </c>
      <c r="AA207" s="1"/>
    </row>
    <row r="208" spans="1:27" x14ac:dyDescent="0.25">
      <c r="A208" t="str">
        <f t="shared" si="0"/>
        <v>S</v>
      </c>
      <c r="B208">
        <f t="shared" si="1"/>
        <v>0</v>
      </c>
      <c r="C208">
        <f t="shared" ca="1" si="2"/>
        <v>10</v>
      </c>
      <c r="D208">
        <f t="shared" ca="1" si="3"/>
        <v>1</v>
      </c>
      <c r="E208">
        <f t="shared" ca="1" si="4"/>
        <v>0</v>
      </c>
      <c r="F208">
        <f t="shared" ca="1" si="5"/>
        <v>0</v>
      </c>
      <c r="G208">
        <f t="shared" ca="1" si="6"/>
        <v>1</v>
      </c>
      <c r="H208">
        <f t="shared" ca="1" si="34"/>
        <v>0</v>
      </c>
      <c r="I208">
        <f t="shared" ca="1" si="35"/>
        <v>0</v>
      </c>
      <c r="J208" s="356" t="s">
        <v>103</v>
      </c>
      <c r="K208" s="138" t="str">
        <f t="shared" ca="1" si="9"/>
        <v>10.1.0.1.</v>
      </c>
      <c r="L208" s="357" t="s">
        <v>469</v>
      </c>
      <c r="M208" s="357" t="s">
        <v>754</v>
      </c>
      <c r="N208" s="358" t="s">
        <v>760</v>
      </c>
      <c r="O208" s="359" t="s">
        <v>635</v>
      </c>
      <c r="P208" s="360">
        <v>282.92</v>
      </c>
      <c r="Q208" s="195"/>
      <c r="R208" s="198" t="s">
        <v>7</v>
      </c>
      <c r="S208" s="103">
        <f t="shared" si="10"/>
        <v>0</v>
      </c>
      <c r="T208" s="83">
        <f t="shared" si="11"/>
        <v>0</v>
      </c>
      <c r="U208" s="9" t="str">
        <f t="shared" si="12"/>
        <v>SEM VALOR</v>
      </c>
      <c r="V208" s="1" t="str">
        <f ca="1">IF(OR($A208=0,$A208="S",$A208&gt;CFF!$A$9),"",MAX(V$12:OFFSET(V208,-1,0))+1)</f>
        <v/>
      </c>
      <c r="W208" s="4" t="str">
        <f t="shared" si="13"/>
        <v>FNDE-FNDE 182</v>
      </c>
      <c r="X208" s="1" t="e">
        <f t="shared" ca="1" si="14"/>
        <v>#N/A</v>
      </c>
      <c r="Y208" s="103">
        <v>46.71</v>
      </c>
      <c r="Z208" s="113">
        <f ca="1">ROUND(IF(ISNUMBER(R208),R208,IF(LEFT(R208,3)="BDI",HLOOKUP(R208,DADOS!$T$37:$X$38,2,FALSE),0)),15-11*$X$5)</f>
        <v>0.25</v>
      </c>
      <c r="AA208" s="1"/>
    </row>
    <row r="209" spans="1:27" ht="26.4" x14ac:dyDescent="0.25">
      <c r="A209" t="str">
        <f t="shared" si="0"/>
        <v>S</v>
      </c>
      <c r="B209">
        <f t="shared" si="1"/>
        <v>0</v>
      </c>
      <c r="C209">
        <f t="shared" ca="1" si="2"/>
        <v>10</v>
      </c>
      <c r="D209">
        <f t="shared" ca="1" si="3"/>
        <v>1</v>
      </c>
      <c r="E209">
        <f t="shared" ca="1" si="4"/>
        <v>0</v>
      </c>
      <c r="F209">
        <f t="shared" ca="1" si="5"/>
        <v>0</v>
      </c>
      <c r="G209">
        <f t="shared" ca="1" si="6"/>
        <v>2</v>
      </c>
      <c r="H209">
        <f t="shared" ca="1" si="34"/>
        <v>0</v>
      </c>
      <c r="I209">
        <f t="shared" ca="1" si="35"/>
        <v>0</v>
      </c>
      <c r="J209" s="356" t="s">
        <v>103</v>
      </c>
      <c r="K209" s="138" t="str">
        <f t="shared" ca="1" si="9"/>
        <v>10.1.0.2.</v>
      </c>
      <c r="L209" s="357" t="s">
        <v>233</v>
      </c>
      <c r="M209" s="357" t="s">
        <v>345</v>
      </c>
      <c r="N209" s="358" t="s">
        <v>984</v>
      </c>
      <c r="O209" s="359" t="s">
        <v>635</v>
      </c>
      <c r="P209" s="360">
        <v>375.34</v>
      </c>
      <c r="Q209" s="195"/>
      <c r="R209" s="198" t="s">
        <v>7</v>
      </c>
      <c r="S209" s="103">
        <f t="shared" si="10"/>
        <v>0</v>
      </c>
      <c r="T209" s="83">
        <f t="shared" si="11"/>
        <v>0</v>
      </c>
      <c r="U209" s="9" t="str">
        <f t="shared" si="12"/>
        <v>SEM VALOR</v>
      </c>
      <c r="V209" s="1" t="str">
        <f ca="1">IF(OR($A209=0,$A209="S",$A209&gt;CFF!$A$9),"",MAX(V$12:OFFSET(V209,-1,0))+1)</f>
        <v/>
      </c>
      <c r="W209" s="4" t="str">
        <f t="shared" si="13"/>
        <v>SINAPI-98680</v>
      </c>
      <c r="X209" s="1">
        <f t="shared" ca="1" si="14"/>
        <v>6430</v>
      </c>
      <c r="Y209" s="103">
        <v>63.68</v>
      </c>
      <c r="Z209" s="113">
        <f ca="1">ROUND(IF(ISNUMBER(R209),R209,IF(LEFT(R209,3)="BDI",HLOOKUP(R209,DADOS!$T$37:$X$38,2,FALSE),0)),15-11*$X$5)</f>
        <v>0.25</v>
      </c>
      <c r="AA209" s="1"/>
    </row>
    <row r="210" spans="1:27" ht="39.6" x14ac:dyDescent="0.25">
      <c r="A210" t="str">
        <f t="shared" si="0"/>
        <v>S</v>
      </c>
      <c r="B210">
        <f t="shared" si="1"/>
        <v>0</v>
      </c>
      <c r="C210">
        <f t="shared" ca="1" si="2"/>
        <v>10</v>
      </c>
      <c r="D210">
        <f t="shared" ca="1" si="3"/>
        <v>1</v>
      </c>
      <c r="E210">
        <f t="shared" ca="1" si="4"/>
        <v>0</v>
      </c>
      <c r="F210">
        <f t="shared" ca="1" si="5"/>
        <v>0</v>
      </c>
      <c r="G210">
        <f t="shared" ca="1" si="6"/>
        <v>3</v>
      </c>
      <c r="H210">
        <f t="shared" ca="1" si="34"/>
        <v>0</v>
      </c>
      <c r="I210">
        <f t="shared" ca="1" si="35"/>
        <v>0</v>
      </c>
      <c r="J210" s="356" t="s">
        <v>103</v>
      </c>
      <c r="K210" s="138" t="str">
        <f t="shared" ca="1" si="9"/>
        <v>10.1.0.3.</v>
      </c>
      <c r="L210" s="357" t="s">
        <v>233</v>
      </c>
      <c r="M210" s="357" t="s">
        <v>346</v>
      </c>
      <c r="N210" s="358" t="s">
        <v>985</v>
      </c>
      <c r="O210" s="359" t="s">
        <v>635</v>
      </c>
      <c r="P210" s="360">
        <v>125.46</v>
      </c>
      <c r="Q210" s="195"/>
      <c r="R210" s="198" t="s">
        <v>7</v>
      </c>
      <c r="S210" s="103">
        <f t="shared" si="10"/>
        <v>0</v>
      </c>
      <c r="T210" s="83">
        <f t="shared" si="11"/>
        <v>0</v>
      </c>
      <c r="U210" s="9" t="str">
        <f t="shared" si="12"/>
        <v>SEM VALOR</v>
      </c>
      <c r="V210" s="1" t="str">
        <f ca="1">IF(OR($A210=0,$A210="S",$A210&gt;CFF!$A$9),"",MAX(V$12:OFFSET(V210,-1,0))+1)</f>
        <v/>
      </c>
      <c r="W210" s="4" t="str">
        <f t="shared" si="13"/>
        <v>SINAPI-87755</v>
      </c>
      <c r="X210" s="1">
        <f t="shared" ca="1" si="14"/>
        <v>6504</v>
      </c>
      <c r="Y210" s="103">
        <v>66.900000000000006</v>
      </c>
      <c r="Z210" s="113">
        <f ca="1">ROUND(IF(ISNUMBER(R210),R210,IF(LEFT(R210,3)="BDI",HLOOKUP(R210,DADOS!$T$37:$X$38,2,FALSE),0)),15-11*$X$5)</f>
        <v>0.25</v>
      </c>
      <c r="AA210" s="1"/>
    </row>
    <row r="211" spans="1:27" ht="26.4" x14ac:dyDescent="0.25">
      <c r="A211" t="str">
        <f t="shared" si="0"/>
        <v>S</v>
      </c>
      <c r="B211">
        <f t="shared" si="1"/>
        <v>0</v>
      </c>
      <c r="C211">
        <f t="shared" ca="1" si="2"/>
        <v>10</v>
      </c>
      <c r="D211">
        <f t="shared" ca="1" si="3"/>
        <v>1</v>
      </c>
      <c r="E211">
        <f t="shared" ca="1" si="4"/>
        <v>0</v>
      </c>
      <c r="F211">
        <f t="shared" ca="1" si="5"/>
        <v>0</v>
      </c>
      <c r="G211">
        <f t="shared" ca="1" si="6"/>
        <v>4</v>
      </c>
      <c r="H211">
        <f t="shared" ca="1" si="34"/>
        <v>0</v>
      </c>
      <c r="I211">
        <f t="shared" ca="1" si="35"/>
        <v>0</v>
      </c>
      <c r="J211" s="356" t="s">
        <v>103</v>
      </c>
      <c r="K211" s="138" t="str">
        <f t="shared" ca="1" si="9"/>
        <v>10.1.0.4.</v>
      </c>
      <c r="L211" s="357" t="s">
        <v>233</v>
      </c>
      <c r="M211" s="357" t="s">
        <v>755</v>
      </c>
      <c r="N211" s="358" t="s">
        <v>986</v>
      </c>
      <c r="O211" s="359" t="s">
        <v>635</v>
      </c>
      <c r="P211" s="360">
        <v>42.9</v>
      </c>
      <c r="Q211" s="195"/>
      <c r="R211" s="198" t="s">
        <v>7</v>
      </c>
      <c r="S211" s="103">
        <f t="shared" si="10"/>
        <v>0</v>
      </c>
      <c r="T211" s="83">
        <f t="shared" si="11"/>
        <v>0</v>
      </c>
      <c r="U211" s="9" t="str">
        <f t="shared" si="12"/>
        <v>SEM VALOR</v>
      </c>
      <c r="V211" s="1" t="str">
        <f ca="1">IF(OR($A211=0,$A211="S",$A211&gt;CFF!$A$9),"",MAX(V$12:OFFSET(V211,-1,0))+1)</f>
        <v/>
      </c>
      <c r="W211" s="4" t="str">
        <f t="shared" si="13"/>
        <v>SINAPI-87257</v>
      </c>
      <c r="X211" s="1">
        <f t="shared" ca="1" si="14"/>
        <v>6410</v>
      </c>
      <c r="Y211" s="103">
        <v>90.98</v>
      </c>
      <c r="Z211" s="113">
        <f ca="1">ROUND(IF(ISNUMBER(R211),R211,IF(LEFT(R211,3)="BDI",HLOOKUP(R211,DADOS!$T$37:$X$38,2,FALSE),0)),15-11*$X$5)</f>
        <v>0.25</v>
      </c>
      <c r="AA211" s="1"/>
    </row>
    <row r="212" spans="1:27" ht="26.4" x14ac:dyDescent="0.25">
      <c r="A212" t="str">
        <f t="shared" si="0"/>
        <v>S</v>
      </c>
      <c r="B212">
        <f t="shared" si="1"/>
        <v>0</v>
      </c>
      <c r="C212">
        <f t="shared" ca="1" si="2"/>
        <v>10</v>
      </c>
      <c r="D212">
        <f t="shared" ca="1" si="3"/>
        <v>1</v>
      </c>
      <c r="E212">
        <f t="shared" ca="1" si="4"/>
        <v>0</v>
      </c>
      <c r="F212">
        <f t="shared" ca="1" si="5"/>
        <v>0</v>
      </c>
      <c r="G212">
        <f t="shared" ca="1" si="6"/>
        <v>5</v>
      </c>
      <c r="H212">
        <f t="shared" ca="1" si="34"/>
        <v>0</v>
      </c>
      <c r="I212">
        <f t="shared" ca="1" si="35"/>
        <v>0</v>
      </c>
      <c r="J212" s="356" t="s">
        <v>103</v>
      </c>
      <c r="K212" s="138" t="str">
        <f t="shared" ca="1" si="9"/>
        <v>10.1.0.5.</v>
      </c>
      <c r="L212" s="357" t="s">
        <v>233</v>
      </c>
      <c r="M212" s="357" t="s">
        <v>756</v>
      </c>
      <c r="N212" s="358" t="s">
        <v>987</v>
      </c>
      <c r="O212" s="359" t="s">
        <v>635</v>
      </c>
      <c r="P212" s="360">
        <v>148.94999999999999</v>
      </c>
      <c r="Q212" s="195"/>
      <c r="R212" s="198" t="s">
        <v>7</v>
      </c>
      <c r="S212" s="103">
        <f t="shared" si="10"/>
        <v>0</v>
      </c>
      <c r="T212" s="83">
        <f t="shared" si="11"/>
        <v>0</v>
      </c>
      <c r="U212" s="9" t="str">
        <f t="shared" si="12"/>
        <v>SEM VALOR</v>
      </c>
      <c r="V212" s="1" t="str">
        <f ca="1">IF(OR($A212=0,$A212="S",$A212&gt;CFF!$A$9),"",MAX(V$12:OFFSET(V212,-1,0))+1)</f>
        <v/>
      </c>
      <c r="W212" s="4" t="str">
        <f t="shared" si="13"/>
        <v>SINAPI-87251</v>
      </c>
      <c r="X212" s="1">
        <f t="shared" ca="1" si="14"/>
        <v>6407</v>
      </c>
      <c r="Y212" s="103">
        <v>76.040000000000006</v>
      </c>
      <c r="Z212" s="113">
        <f ca="1">ROUND(IF(ISNUMBER(R212),R212,IF(LEFT(R212,3)="BDI",HLOOKUP(R212,DADOS!$T$37:$X$38,2,FALSE),0)),15-11*$X$5)</f>
        <v>0.25</v>
      </c>
      <c r="AA212" s="1"/>
    </row>
    <row r="213" spans="1:27" x14ac:dyDescent="0.25">
      <c r="A213" t="str">
        <f t="shared" si="0"/>
        <v>S</v>
      </c>
      <c r="B213">
        <f t="shared" si="1"/>
        <v>0</v>
      </c>
      <c r="C213">
        <f t="shared" ca="1" si="2"/>
        <v>10</v>
      </c>
      <c r="D213">
        <f t="shared" ca="1" si="3"/>
        <v>1</v>
      </c>
      <c r="E213">
        <f t="shared" ca="1" si="4"/>
        <v>0</v>
      </c>
      <c r="F213">
        <f t="shared" ca="1" si="5"/>
        <v>0</v>
      </c>
      <c r="G213">
        <f t="shared" ca="1" si="6"/>
        <v>6</v>
      </c>
      <c r="H213">
        <f t="shared" ca="1" si="34"/>
        <v>0</v>
      </c>
      <c r="I213">
        <f t="shared" ca="1" si="35"/>
        <v>0</v>
      </c>
      <c r="J213" s="356" t="s">
        <v>103</v>
      </c>
      <c r="K213" s="138" t="str">
        <f t="shared" ca="1" si="9"/>
        <v>10.1.0.6.</v>
      </c>
      <c r="L213" s="357" t="s">
        <v>469</v>
      </c>
      <c r="M213" s="357" t="s">
        <v>757</v>
      </c>
      <c r="N213" s="358" t="s">
        <v>360</v>
      </c>
      <c r="O213" s="359" t="s">
        <v>635</v>
      </c>
      <c r="P213" s="360">
        <v>216.53</v>
      </c>
      <c r="Q213" s="195"/>
      <c r="R213" s="198" t="s">
        <v>7</v>
      </c>
      <c r="S213" s="103">
        <f t="shared" si="10"/>
        <v>0</v>
      </c>
      <c r="T213" s="83">
        <f t="shared" si="11"/>
        <v>0</v>
      </c>
      <c r="U213" s="9" t="str">
        <f t="shared" si="12"/>
        <v>SEM VALOR</v>
      </c>
      <c r="V213" s="1" t="str">
        <f ca="1">IF(OR($A213=0,$A213="S",$A213&gt;CFF!$A$9),"",MAX(V$12:OFFSET(V213,-1,0))+1)</f>
        <v/>
      </c>
      <c r="W213" s="4" t="str">
        <f t="shared" si="13"/>
        <v>FNDE-FNDE 425</v>
      </c>
      <c r="X213" s="1" t="e">
        <f t="shared" ca="1" si="14"/>
        <v>#N/A</v>
      </c>
      <c r="Y213" s="103">
        <v>227.55</v>
      </c>
      <c r="Z213" s="113">
        <f ca="1">ROUND(IF(ISNUMBER(R213),R213,IF(LEFT(R213,3)="BDI",HLOOKUP(R213,DADOS!$T$37:$X$38,2,FALSE),0)),15-11*$X$5)</f>
        <v>0.25</v>
      </c>
      <c r="AA213" s="1"/>
    </row>
    <row r="214" spans="1:27" ht="26.4" x14ac:dyDescent="0.25">
      <c r="A214" t="str">
        <f t="shared" si="0"/>
        <v>S</v>
      </c>
      <c r="B214">
        <f t="shared" si="1"/>
        <v>0</v>
      </c>
      <c r="C214">
        <f t="shared" ca="1" si="2"/>
        <v>10</v>
      </c>
      <c r="D214">
        <f t="shared" ca="1" si="3"/>
        <v>1</v>
      </c>
      <c r="E214">
        <f t="shared" ca="1" si="4"/>
        <v>0</v>
      </c>
      <c r="F214">
        <f t="shared" ca="1" si="5"/>
        <v>0</v>
      </c>
      <c r="G214">
        <f t="shared" ca="1" si="6"/>
        <v>7</v>
      </c>
      <c r="H214">
        <f t="shared" ca="1" si="34"/>
        <v>0</v>
      </c>
      <c r="I214">
        <f t="shared" ca="1" si="35"/>
        <v>0</v>
      </c>
      <c r="J214" s="356" t="s">
        <v>103</v>
      </c>
      <c r="K214" s="138" t="str">
        <f t="shared" ca="1" si="9"/>
        <v>10.1.0.7.</v>
      </c>
      <c r="L214" s="357" t="s">
        <v>469</v>
      </c>
      <c r="M214" s="357" t="s">
        <v>758</v>
      </c>
      <c r="N214" s="358" t="s">
        <v>761</v>
      </c>
      <c r="O214" s="359" t="s">
        <v>635</v>
      </c>
      <c r="P214" s="360">
        <v>216.53</v>
      </c>
      <c r="Q214" s="195"/>
      <c r="R214" s="198" t="s">
        <v>7</v>
      </c>
      <c r="S214" s="103">
        <f t="shared" si="10"/>
        <v>0</v>
      </c>
      <c r="T214" s="83">
        <f t="shared" si="11"/>
        <v>0</v>
      </c>
      <c r="U214" s="9" t="str">
        <f t="shared" si="12"/>
        <v>SEM VALOR</v>
      </c>
      <c r="V214" s="1" t="str">
        <f ca="1">IF(OR($A214=0,$A214="S",$A214&gt;CFF!$A$9),"",MAX(V$12:OFFSET(V214,-1,0))+1)</f>
        <v/>
      </c>
      <c r="W214" s="4" t="str">
        <f t="shared" si="13"/>
        <v>FNDE-FNDE 09</v>
      </c>
      <c r="X214" s="1" t="e">
        <f t="shared" ca="1" si="14"/>
        <v>#N/A</v>
      </c>
      <c r="Y214" s="103">
        <v>7.46</v>
      </c>
      <c r="Z214" s="113">
        <f ca="1">ROUND(IF(ISNUMBER(R214),R214,IF(LEFT(R214,3)="BDI",HLOOKUP(R214,DADOS!$T$37:$X$38,2,FALSE),0)),15-11*$X$5)</f>
        <v>0.25</v>
      </c>
      <c r="AA214" s="1"/>
    </row>
    <row r="215" spans="1:27" x14ac:dyDescent="0.25">
      <c r="A215" t="str">
        <f t="shared" si="0"/>
        <v>S</v>
      </c>
      <c r="B215">
        <f t="shared" si="1"/>
        <v>0</v>
      </c>
      <c r="C215">
        <f t="shared" ca="1" si="2"/>
        <v>10</v>
      </c>
      <c r="D215">
        <f t="shared" ca="1" si="3"/>
        <v>1</v>
      </c>
      <c r="E215">
        <f t="shared" ca="1" si="4"/>
        <v>0</v>
      </c>
      <c r="F215">
        <f t="shared" ca="1" si="5"/>
        <v>0</v>
      </c>
      <c r="G215">
        <f t="shared" ca="1" si="6"/>
        <v>8</v>
      </c>
      <c r="H215">
        <f t="shared" ca="1" si="34"/>
        <v>0</v>
      </c>
      <c r="I215">
        <f t="shared" ca="1" si="35"/>
        <v>0</v>
      </c>
      <c r="J215" s="356" t="s">
        <v>103</v>
      </c>
      <c r="K215" s="138" t="str">
        <f t="shared" ca="1" si="9"/>
        <v>10.1.0.8.</v>
      </c>
      <c r="L215" s="357" t="s">
        <v>233</v>
      </c>
      <c r="M215" s="357" t="s">
        <v>347</v>
      </c>
      <c r="N215" s="358" t="s">
        <v>988</v>
      </c>
      <c r="O215" s="359" t="s">
        <v>590</v>
      </c>
      <c r="P215" s="360">
        <v>68</v>
      </c>
      <c r="Q215" s="195"/>
      <c r="R215" s="198" t="s">
        <v>7</v>
      </c>
      <c r="S215" s="103">
        <f t="shared" si="10"/>
        <v>0</v>
      </c>
      <c r="T215" s="83">
        <f t="shared" si="11"/>
        <v>0</v>
      </c>
      <c r="U215" s="9" t="str">
        <f t="shared" si="12"/>
        <v>SEM VALOR</v>
      </c>
      <c r="V215" s="1" t="str">
        <f ca="1">IF(OR($A215=0,$A215="S",$A215&gt;CFF!$A$9),"",MAX(V$12:OFFSET(V215,-1,0))+1)</f>
        <v/>
      </c>
      <c r="W215" s="4" t="str">
        <f t="shared" si="13"/>
        <v>SINAPI-88650</v>
      </c>
      <c r="X215" s="1">
        <f t="shared" ca="1" si="14"/>
        <v>6460</v>
      </c>
      <c r="Y215" s="103">
        <v>16.86</v>
      </c>
      <c r="Z215" s="113">
        <f ca="1">ROUND(IF(ISNUMBER(R215),R215,IF(LEFT(R215,3)="BDI",HLOOKUP(R215,DADOS!$T$37:$X$38,2,FALSE),0)),15-11*$X$5)</f>
        <v>0.25</v>
      </c>
      <c r="AA215" s="1"/>
    </row>
    <row r="216" spans="1:27" x14ac:dyDescent="0.25">
      <c r="A216" t="str">
        <f t="shared" si="0"/>
        <v>S</v>
      </c>
      <c r="B216">
        <f t="shared" si="1"/>
        <v>0</v>
      </c>
      <c r="C216">
        <f t="shared" ca="1" si="2"/>
        <v>10</v>
      </c>
      <c r="D216">
        <f t="shared" ca="1" si="3"/>
        <v>1</v>
      </c>
      <c r="E216">
        <f t="shared" ca="1" si="4"/>
        <v>0</v>
      </c>
      <c r="F216">
        <f t="shared" ca="1" si="5"/>
        <v>0</v>
      </c>
      <c r="G216">
        <f t="shared" ca="1" si="6"/>
        <v>9</v>
      </c>
      <c r="H216">
        <f t="shared" ca="1" si="34"/>
        <v>0</v>
      </c>
      <c r="I216">
        <f t="shared" ca="1" si="35"/>
        <v>0</v>
      </c>
      <c r="J216" s="356" t="s">
        <v>103</v>
      </c>
      <c r="K216" s="138" t="str">
        <f t="shared" ca="1" si="9"/>
        <v>10.1.0.9.</v>
      </c>
      <c r="L216" s="357" t="s">
        <v>233</v>
      </c>
      <c r="M216" s="357" t="s">
        <v>348</v>
      </c>
      <c r="N216" s="358" t="s">
        <v>989</v>
      </c>
      <c r="O216" s="359" t="s">
        <v>590</v>
      </c>
      <c r="P216" s="360">
        <v>127.2</v>
      </c>
      <c r="Q216" s="195"/>
      <c r="R216" s="198" t="s">
        <v>7</v>
      </c>
      <c r="S216" s="103">
        <f t="shared" si="10"/>
        <v>0</v>
      </c>
      <c r="T216" s="83">
        <f t="shared" si="11"/>
        <v>0</v>
      </c>
      <c r="U216" s="9" t="str">
        <f t="shared" si="12"/>
        <v>SEM VALOR</v>
      </c>
      <c r="V216" s="1" t="str">
        <f ca="1">IF(OR($A216=0,$A216="S",$A216&gt;CFF!$A$9),"",MAX(V$12:OFFSET(V216,-1,0))+1)</f>
        <v/>
      </c>
      <c r="W216" s="4" t="str">
        <f t="shared" si="13"/>
        <v>SINAPI-98688</v>
      </c>
      <c r="X216" s="1">
        <f t="shared" ca="1" si="14"/>
        <v>6435</v>
      </c>
      <c r="Y216" s="103">
        <v>74.66</v>
      </c>
      <c r="Z216" s="113">
        <f ca="1">ROUND(IF(ISNUMBER(R216),R216,IF(LEFT(R216,3)="BDI",HLOOKUP(R216,DADOS!$T$37:$X$38,2,FALSE),0)),15-11*$X$5)</f>
        <v>0.25</v>
      </c>
      <c r="AA216" s="1"/>
    </row>
    <row r="217" spans="1:27" x14ac:dyDescent="0.25">
      <c r="A217" t="str">
        <f t="shared" si="0"/>
        <v>S</v>
      </c>
      <c r="B217">
        <f t="shared" si="1"/>
        <v>0</v>
      </c>
      <c r="C217">
        <f t="shared" ca="1" si="2"/>
        <v>10</v>
      </c>
      <c r="D217">
        <f t="shared" ca="1" si="3"/>
        <v>1</v>
      </c>
      <c r="E217">
        <f t="shared" ca="1" si="4"/>
        <v>0</v>
      </c>
      <c r="F217">
        <f t="shared" ca="1" si="5"/>
        <v>0</v>
      </c>
      <c r="G217">
        <f t="shared" ca="1" si="6"/>
        <v>10</v>
      </c>
      <c r="H217">
        <f t="shared" ca="1" si="34"/>
        <v>0</v>
      </c>
      <c r="I217">
        <f t="shared" ca="1" si="35"/>
        <v>0</v>
      </c>
      <c r="J217" s="356" t="s">
        <v>103</v>
      </c>
      <c r="K217" s="138" t="str">
        <f t="shared" ca="1" si="9"/>
        <v>10.1.0.10.</v>
      </c>
      <c r="L217" s="357" t="s">
        <v>233</v>
      </c>
      <c r="M217" s="357" t="s">
        <v>349</v>
      </c>
      <c r="N217" s="358" t="s">
        <v>990</v>
      </c>
      <c r="O217" s="359" t="s">
        <v>590</v>
      </c>
      <c r="P217" s="360">
        <v>53.45</v>
      </c>
      <c r="Q217" s="195"/>
      <c r="R217" s="198" t="s">
        <v>7</v>
      </c>
      <c r="S217" s="103">
        <f t="shared" si="10"/>
        <v>0</v>
      </c>
      <c r="T217" s="83">
        <f t="shared" si="11"/>
        <v>0</v>
      </c>
      <c r="U217" s="9" t="str">
        <f t="shared" si="12"/>
        <v>SEM VALOR</v>
      </c>
      <c r="V217" s="1" t="str">
        <f ca="1">IF(OR($A217=0,$A217="S",$A217&gt;CFF!$A$9),"",MAX(V$12:OFFSET(V217,-1,0))+1)</f>
        <v/>
      </c>
      <c r="W217" s="4" t="str">
        <f t="shared" si="13"/>
        <v>SINAPI-98689</v>
      </c>
      <c r="X217" s="1">
        <f t="shared" ca="1" si="14"/>
        <v>6436</v>
      </c>
      <c r="Y217" s="103">
        <v>175.64</v>
      </c>
      <c r="Z217" s="113">
        <f ca="1">ROUND(IF(ISNUMBER(R217),R217,IF(LEFT(R217,3)="BDI",HLOOKUP(R217,DADOS!$T$37:$X$38,2,FALSE),0)),15-11*$X$5)</f>
        <v>0.25</v>
      </c>
      <c r="AA217" s="1"/>
    </row>
    <row r="218" spans="1:27" x14ac:dyDescent="0.25">
      <c r="A218" t="str">
        <f t="shared" si="0"/>
        <v>S</v>
      </c>
      <c r="B218">
        <f t="shared" si="1"/>
        <v>0</v>
      </c>
      <c r="C218">
        <f t="shared" ca="1" si="2"/>
        <v>10</v>
      </c>
      <c r="D218">
        <f t="shared" ca="1" si="3"/>
        <v>1</v>
      </c>
      <c r="E218">
        <f t="shared" ca="1" si="4"/>
        <v>0</v>
      </c>
      <c r="F218">
        <f t="shared" ca="1" si="5"/>
        <v>0</v>
      </c>
      <c r="G218">
        <f t="shared" ca="1" si="6"/>
        <v>11</v>
      </c>
      <c r="H218">
        <f t="shared" ca="1" si="34"/>
        <v>0</v>
      </c>
      <c r="I218">
        <f t="shared" ca="1" si="35"/>
        <v>0</v>
      </c>
      <c r="J218" s="356" t="s">
        <v>103</v>
      </c>
      <c r="K218" s="138" t="str">
        <f t="shared" ca="1" si="9"/>
        <v>10.1.0.11.</v>
      </c>
      <c r="L218" s="357" t="s">
        <v>469</v>
      </c>
      <c r="M218" s="357" t="s">
        <v>759</v>
      </c>
      <c r="N218" s="358" t="s">
        <v>762</v>
      </c>
      <c r="O218" s="359" t="s">
        <v>590</v>
      </c>
      <c r="P218" s="360">
        <v>1.75</v>
      </c>
      <c r="Q218" s="195"/>
      <c r="R218" s="198" t="s">
        <v>7</v>
      </c>
      <c r="S218" s="103">
        <f t="shared" si="10"/>
        <v>0</v>
      </c>
      <c r="T218" s="83">
        <f t="shared" si="11"/>
        <v>0</v>
      </c>
      <c r="U218" s="9" t="str">
        <f t="shared" si="12"/>
        <v>SEM VALOR</v>
      </c>
      <c r="V218" s="1" t="str">
        <f ca="1">IF(OR($A218=0,$A218="S",$A218&gt;CFF!$A$9),"",MAX(V$12:OFFSET(V218,-1,0))+1)</f>
        <v/>
      </c>
      <c r="W218" s="4" t="str">
        <f t="shared" si="13"/>
        <v>FNDE-FNDE 426</v>
      </c>
      <c r="X218" s="1" t="e">
        <f t="shared" ca="1" si="14"/>
        <v>#N/A</v>
      </c>
      <c r="Y218" s="103">
        <v>155.19</v>
      </c>
      <c r="Z218" s="113">
        <f ca="1">ROUND(IF(ISNUMBER(R218),R218,IF(LEFT(R218,3)="BDI",HLOOKUP(R218,DADOS!$T$37:$X$38,2,FALSE),0)),15-11*$X$5)</f>
        <v>0.25</v>
      </c>
      <c r="AA218" s="1"/>
    </row>
    <row r="219" spans="1:27" x14ac:dyDescent="0.25">
      <c r="A219" t="str">
        <f t="shared" si="0"/>
        <v>S</v>
      </c>
      <c r="B219">
        <f t="shared" si="1"/>
        <v>0</v>
      </c>
      <c r="C219">
        <f t="shared" ca="1" si="2"/>
        <v>10</v>
      </c>
      <c r="D219">
        <f t="shared" ca="1" si="3"/>
        <v>1</v>
      </c>
      <c r="E219">
        <f t="shared" ca="1" si="4"/>
        <v>0</v>
      </c>
      <c r="F219">
        <f t="shared" ca="1" si="5"/>
        <v>0</v>
      </c>
      <c r="G219">
        <f t="shared" ca="1" si="6"/>
        <v>12</v>
      </c>
      <c r="H219">
        <f t="shared" ca="1" si="34"/>
        <v>0</v>
      </c>
      <c r="I219">
        <f t="shared" ca="1" si="35"/>
        <v>0</v>
      </c>
      <c r="J219" s="356" t="s">
        <v>103</v>
      </c>
      <c r="K219" s="138" t="str">
        <f t="shared" ca="1" si="9"/>
        <v>10.1.0.12.</v>
      </c>
      <c r="L219" s="357" t="s">
        <v>233</v>
      </c>
      <c r="M219" s="357" t="s">
        <v>350</v>
      </c>
      <c r="N219" s="358" t="s">
        <v>991</v>
      </c>
      <c r="O219" s="359" t="s">
        <v>635</v>
      </c>
      <c r="P219" s="360">
        <v>37.42</v>
      </c>
      <c r="Q219" s="195"/>
      <c r="R219" s="198" t="s">
        <v>7</v>
      </c>
      <c r="S219" s="103">
        <f t="shared" si="10"/>
        <v>0</v>
      </c>
      <c r="T219" s="83">
        <f t="shared" si="11"/>
        <v>0</v>
      </c>
      <c r="U219" s="9" t="str">
        <f t="shared" si="12"/>
        <v>SEM VALOR</v>
      </c>
      <c r="V219" s="1" t="str">
        <f ca="1">IF(OR($A219=0,$A219="S",$A219&gt;CFF!$A$9),"",MAX(V$12:OFFSET(V219,-1,0))+1)</f>
        <v/>
      </c>
      <c r="W219" s="4" t="str">
        <f t="shared" si="13"/>
        <v>SINAPI-102494</v>
      </c>
      <c r="X219" s="1">
        <f t="shared" ca="1" si="14"/>
        <v>6381</v>
      </c>
      <c r="Y219" s="103">
        <v>85.13</v>
      </c>
      <c r="Z219" s="113">
        <f ca="1">ROUND(IF(ISNUMBER(R219),R219,IF(LEFT(R219,3)="BDI",HLOOKUP(R219,DADOS!$T$37:$X$38,2,FALSE),0)),15-11*$X$5)</f>
        <v>0.25</v>
      </c>
      <c r="AA219" s="1"/>
    </row>
    <row r="220" spans="1:27" x14ac:dyDescent="0.25">
      <c r="A220">
        <f t="shared" si="0"/>
        <v>2</v>
      </c>
      <c r="B220">
        <f t="shared" ca="1" si="1"/>
        <v>8</v>
      </c>
      <c r="C220">
        <f t="shared" ca="1" si="2"/>
        <v>10</v>
      </c>
      <c r="D220">
        <f t="shared" ca="1" si="3"/>
        <v>2</v>
      </c>
      <c r="E220">
        <f t="shared" ca="1" si="4"/>
        <v>0</v>
      </c>
      <c r="F220">
        <f t="shared" ca="1" si="5"/>
        <v>0</v>
      </c>
      <c r="G220">
        <f t="shared" ca="1" si="6"/>
        <v>0</v>
      </c>
      <c r="H220">
        <f t="shared" ca="1" si="34"/>
        <v>8</v>
      </c>
      <c r="I220">
        <f t="shared" ca="1" si="35"/>
        <v>19</v>
      </c>
      <c r="J220" s="356" t="s">
        <v>100</v>
      </c>
      <c r="K220" s="138" t="str">
        <f t="shared" ca="1" si="9"/>
        <v>10.2.</v>
      </c>
      <c r="L220" s="357"/>
      <c r="M220" s="357"/>
      <c r="N220" s="358" t="s">
        <v>351</v>
      </c>
      <c r="O220" s="359" t="s">
        <v>106</v>
      </c>
      <c r="P220" s="360"/>
      <c r="Q220" s="195"/>
      <c r="R220" s="198" t="s">
        <v>7</v>
      </c>
      <c r="S220" s="103">
        <f t="shared" si="10"/>
        <v>0</v>
      </c>
      <c r="T220" s="83">
        <f t="shared" ca="1" si="11"/>
        <v>0</v>
      </c>
      <c r="U220" s="9" t="str">
        <f t="shared" ca="1" si="12"/>
        <v>SEM VALOR</v>
      </c>
      <c r="V220" s="1">
        <f ca="1">IF(OR($A220=0,$A220="S",$A220&gt;CFF!$A$9),"",MAX(V$12:OFFSET(V220,-1,0))+1)</f>
        <v>39</v>
      </c>
      <c r="W220" s="4" t="b">
        <f t="shared" si="13"/>
        <v>0</v>
      </c>
      <c r="X220" s="1" t="str">
        <f t="shared" ca="1" si="14"/>
        <v>X</v>
      </c>
      <c r="Y220" s="103">
        <v>0</v>
      </c>
      <c r="Z220" s="113">
        <f ca="1">ROUND(IF(ISNUMBER(R220),R220,IF(LEFT(R220,3)="BDI",HLOOKUP(R220,DADOS!$T$37:$X$38,2,FALSE),0)),15-11*$X$5)</f>
        <v>0.25</v>
      </c>
      <c r="AA220" s="1"/>
    </row>
    <row r="221" spans="1:27" ht="26.4" x14ac:dyDescent="0.25">
      <c r="A221" t="str">
        <f t="shared" si="0"/>
        <v>S</v>
      </c>
      <c r="B221">
        <f t="shared" si="1"/>
        <v>0</v>
      </c>
      <c r="C221">
        <f t="shared" ca="1" si="2"/>
        <v>10</v>
      </c>
      <c r="D221">
        <f t="shared" ca="1" si="3"/>
        <v>2</v>
      </c>
      <c r="E221">
        <f t="shared" ca="1" si="4"/>
        <v>0</v>
      </c>
      <c r="F221">
        <f t="shared" ca="1" si="5"/>
        <v>0</v>
      </c>
      <c r="G221">
        <f t="shared" ca="1" si="6"/>
        <v>1</v>
      </c>
      <c r="H221">
        <f t="shared" ca="1" si="34"/>
        <v>0</v>
      </c>
      <c r="I221">
        <f t="shared" ca="1" si="35"/>
        <v>0</v>
      </c>
      <c r="J221" s="356" t="s">
        <v>103</v>
      </c>
      <c r="K221" s="138" t="str">
        <f t="shared" ca="1" si="9"/>
        <v>10.2.0.1.</v>
      </c>
      <c r="L221" s="357" t="s">
        <v>233</v>
      </c>
      <c r="M221" s="357" t="s">
        <v>352</v>
      </c>
      <c r="N221" s="358" t="s">
        <v>992</v>
      </c>
      <c r="O221" s="359" t="s">
        <v>635</v>
      </c>
      <c r="P221" s="360">
        <v>254.8</v>
      </c>
      <c r="Q221" s="195"/>
      <c r="R221" s="198" t="s">
        <v>7</v>
      </c>
      <c r="S221" s="103">
        <f t="shared" si="10"/>
        <v>0</v>
      </c>
      <c r="T221" s="83">
        <f t="shared" si="11"/>
        <v>0</v>
      </c>
      <c r="U221" s="9" t="str">
        <f t="shared" si="12"/>
        <v>SEM VALOR</v>
      </c>
      <c r="V221" s="1" t="str">
        <f ca="1">IF(OR($A221=0,$A221="S",$A221&gt;CFF!$A$9),"",MAX(V$12:OFFSET(V221,-1,0))+1)</f>
        <v/>
      </c>
      <c r="W221" s="4" t="str">
        <f t="shared" si="13"/>
        <v>SINAPI-98682</v>
      </c>
      <c r="X221" s="1">
        <f t="shared" ca="1" si="14"/>
        <v>6432</v>
      </c>
      <c r="Y221" s="103">
        <v>60.39</v>
      </c>
      <c r="Z221" s="113">
        <f ca="1">ROUND(IF(ISNUMBER(R221),R221,IF(LEFT(R221,3)="BDI",HLOOKUP(R221,DADOS!$T$37:$X$38,2,FALSE),0)),15-11*$X$5)</f>
        <v>0.25</v>
      </c>
      <c r="AA221" s="1"/>
    </row>
    <row r="222" spans="1:27" ht="26.4" x14ac:dyDescent="0.25">
      <c r="A222" t="str">
        <f t="shared" si="0"/>
        <v>S</v>
      </c>
      <c r="B222">
        <f t="shared" si="1"/>
        <v>0</v>
      </c>
      <c r="C222">
        <f t="shared" ca="1" si="2"/>
        <v>10</v>
      </c>
      <c r="D222">
        <f t="shared" ca="1" si="3"/>
        <v>2</v>
      </c>
      <c r="E222">
        <f t="shared" ca="1" si="4"/>
        <v>0</v>
      </c>
      <c r="F222">
        <f t="shared" ca="1" si="5"/>
        <v>0</v>
      </c>
      <c r="G222">
        <f t="shared" ca="1" si="6"/>
        <v>2</v>
      </c>
      <c r="H222">
        <f t="shared" ca="1" si="34"/>
        <v>0</v>
      </c>
      <c r="I222">
        <f t="shared" ca="1" si="35"/>
        <v>0</v>
      </c>
      <c r="J222" s="356" t="s">
        <v>103</v>
      </c>
      <c r="K222" s="138" t="str">
        <f t="shared" ca="1" si="9"/>
        <v>10.2.0.2.</v>
      </c>
      <c r="L222" s="357" t="s">
        <v>233</v>
      </c>
      <c r="M222" s="357" t="s">
        <v>659</v>
      </c>
      <c r="N222" s="358" t="s">
        <v>993</v>
      </c>
      <c r="O222" s="359" t="s">
        <v>635</v>
      </c>
      <c r="P222" s="360">
        <v>27.74</v>
      </c>
      <c r="Q222" s="195"/>
      <c r="R222" s="198" t="s">
        <v>7</v>
      </c>
      <c r="S222" s="103">
        <f t="shared" si="10"/>
        <v>0</v>
      </c>
      <c r="T222" s="83">
        <f t="shared" si="11"/>
        <v>0</v>
      </c>
      <c r="U222" s="9" t="str">
        <f t="shared" si="12"/>
        <v>SEM VALOR</v>
      </c>
      <c r="V222" s="1" t="str">
        <f ca="1">IF(OR($A222=0,$A222="S",$A222&gt;CFF!$A$9),"",MAX(V$12:OFFSET(V222,-1,0))+1)</f>
        <v/>
      </c>
      <c r="W222" s="4" t="str">
        <f t="shared" si="13"/>
        <v>SINAPI-92396</v>
      </c>
      <c r="X222" s="1">
        <f t="shared" ca="1" si="14"/>
        <v>6204</v>
      </c>
      <c r="Y222" s="103">
        <v>95.31</v>
      </c>
      <c r="Z222" s="113">
        <f ca="1">ROUND(IF(ISNUMBER(R222),R222,IF(LEFT(R222,3)="BDI",HLOOKUP(R222,DADOS!$T$37:$X$38,2,FALSE),0)),15-11*$X$5)</f>
        <v>0.25</v>
      </c>
      <c r="AA222" s="1"/>
    </row>
    <row r="223" spans="1:27" x14ac:dyDescent="0.25">
      <c r="A223" t="str">
        <f t="shared" si="0"/>
        <v>S</v>
      </c>
      <c r="B223">
        <f t="shared" si="1"/>
        <v>0</v>
      </c>
      <c r="C223">
        <f t="shared" ca="1" si="2"/>
        <v>10</v>
      </c>
      <c r="D223">
        <f t="shared" ca="1" si="3"/>
        <v>2</v>
      </c>
      <c r="E223">
        <f t="shared" ca="1" si="4"/>
        <v>0</v>
      </c>
      <c r="F223">
        <f t="shared" ca="1" si="5"/>
        <v>0</v>
      </c>
      <c r="G223">
        <f t="shared" ca="1" si="6"/>
        <v>3</v>
      </c>
      <c r="H223">
        <f t="shared" ca="1" si="34"/>
        <v>0</v>
      </c>
      <c r="I223">
        <f t="shared" ca="1" si="35"/>
        <v>0</v>
      </c>
      <c r="J223" s="356" t="s">
        <v>103</v>
      </c>
      <c r="K223" s="138" t="str">
        <f t="shared" ca="1" si="9"/>
        <v>10.2.0.3.</v>
      </c>
      <c r="L223" s="357" t="s">
        <v>469</v>
      </c>
      <c r="M223" s="357" t="s">
        <v>763</v>
      </c>
      <c r="N223" s="358" t="s">
        <v>766</v>
      </c>
      <c r="O223" s="359" t="s">
        <v>635</v>
      </c>
      <c r="P223" s="360">
        <v>4.88</v>
      </c>
      <c r="Q223" s="195"/>
      <c r="R223" s="198" t="s">
        <v>7</v>
      </c>
      <c r="S223" s="103">
        <f t="shared" si="10"/>
        <v>0</v>
      </c>
      <c r="T223" s="83">
        <f t="shared" si="11"/>
        <v>0</v>
      </c>
      <c r="U223" s="9" t="str">
        <f t="shared" si="12"/>
        <v>SEM VALOR</v>
      </c>
      <c r="V223" s="1" t="str">
        <f ca="1">IF(OR($A223=0,$A223="S",$A223&gt;CFF!$A$9),"",MAX(V$12:OFFSET(V223,-1,0))+1)</f>
        <v/>
      </c>
      <c r="W223" s="4" t="str">
        <f t="shared" si="13"/>
        <v>FNDE-FNDE 190</v>
      </c>
      <c r="X223" s="1" t="e">
        <f ca="1">IF(AND(Fonte&lt;&gt;"",Código&lt;&gt;""),MATCH(Fonte&amp;" "&amp;IF(Fonte="sinapi",SUBSTITUTE(SUBSTITUTE(Código,"/00","/"),"/0","/"),Código),INDIRECT("'[Referência "&amp;_xlnm.Database&amp;".xls]Banco'!$a:$a"),0),"X")</f>
        <v>#N/A</v>
      </c>
      <c r="Y223" s="103">
        <v>290.36</v>
      </c>
      <c r="Z223" s="113">
        <f ca="1">ROUND(IF(ISNUMBER(R223),R223,IF(LEFT(R223,3)="BDI",HLOOKUP(R223,DADOS!$T$37:$X$38,2,FALSE),0)),15-11*$X$5)</f>
        <v>0.25</v>
      </c>
      <c r="AA223" s="1"/>
    </row>
    <row r="224" spans="1:27" x14ac:dyDescent="0.25">
      <c r="A224" t="str">
        <f t="shared" si="0"/>
        <v>S</v>
      </c>
      <c r="B224">
        <f t="shared" si="1"/>
        <v>0</v>
      </c>
      <c r="C224">
        <f t="shared" ca="1" si="2"/>
        <v>10</v>
      </c>
      <c r="D224">
        <f t="shared" ca="1" si="3"/>
        <v>2</v>
      </c>
      <c r="E224">
        <f t="shared" ca="1" si="4"/>
        <v>0</v>
      </c>
      <c r="F224">
        <f t="shared" ca="1" si="5"/>
        <v>0</v>
      </c>
      <c r="G224">
        <f t="shared" ca="1" si="6"/>
        <v>4</v>
      </c>
      <c r="H224">
        <f t="shared" ca="1" si="34"/>
        <v>0</v>
      </c>
      <c r="I224">
        <f t="shared" ca="1" si="35"/>
        <v>0</v>
      </c>
      <c r="J224" s="356" t="s">
        <v>103</v>
      </c>
      <c r="K224" s="138" t="str">
        <f t="shared" ca="1" si="9"/>
        <v>10.2.0.4.</v>
      </c>
      <c r="L224" s="357" t="s">
        <v>469</v>
      </c>
      <c r="M224" s="357" t="s">
        <v>764</v>
      </c>
      <c r="N224" s="358" t="s">
        <v>767</v>
      </c>
      <c r="O224" s="359" t="s">
        <v>635</v>
      </c>
      <c r="P224" s="360">
        <v>7.5</v>
      </c>
      <c r="Q224" s="195"/>
      <c r="R224" s="198" t="s">
        <v>7</v>
      </c>
      <c r="S224" s="103">
        <f t="shared" si="10"/>
        <v>0</v>
      </c>
      <c r="T224" s="83">
        <f t="shared" si="11"/>
        <v>0</v>
      </c>
      <c r="U224" s="9" t="str">
        <f t="shared" si="12"/>
        <v>SEM VALOR</v>
      </c>
      <c r="V224" s="1" t="str">
        <f ca="1">IF(OR($A224=0,$A224="S",$A224&gt;CFF!$A$9),"",MAX(V$12:OFFSET(V224,-1,0))+1)</f>
        <v/>
      </c>
      <c r="W224" s="4" t="str">
        <f t="shared" si="13"/>
        <v>FNDE-FNDE 427</v>
      </c>
      <c r="X224" s="1" t="e">
        <f ca="1">IF(AND(Fonte&lt;&gt;"",Código&lt;&gt;""),MATCH(Fonte&amp;" "&amp;IF(Fonte="sinapi",SUBSTITUTE(SUBSTITUTE(Código,"/00","/"),"/0","/"),Código),INDIRECT("'[Referência "&amp;_xlnm.Database&amp;".xls]Banco'!$a:$a"),0),"X")</f>
        <v>#N/A</v>
      </c>
      <c r="Y224" s="103">
        <v>290.36</v>
      </c>
      <c r="Z224" s="113">
        <f ca="1">ROUND(IF(ISNUMBER(R224),R224,IF(LEFT(R224,3)="BDI",HLOOKUP(R224,DADOS!$T$37:$X$38,2,FALSE),0)),15-11*$X$5)</f>
        <v>0.25</v>
      </c>
      <c r="AA224" s="1"/>
    </row>
    <row r="225" spans="1:27" x14ac:dyDescent="0.25">
      <c r="A225" t="str">
        <f t="shared" si="0"/>
        <v>S</v>
      </c>
      <c r="B225">
        <f t="shared" si="1"/>
        <v>0</v>
      </c>
      <c r="C225">
        <f t="shared" ca="1" si="2"/>
        <v>10</v>
      </c>
      <c r="D225">
        <f t="shared" ca="1" si="3"/>
        <v>2</v>
      </c>
      <c r="E225">
        <f t="shared" ca="1" si="4"/>
        <v>0</v>
      </c>
      <c r="F225">
        <f t="shared" ca="1" si="5"/>
        <v>0</v>
      </c>
      <c r="G225">
        <f t="shared" ca="1" si="6"/>
        <v>5</v>
      </c>
      <c r="H225">
        <f t="shared" ca="1" si="34"/>
        <v>0</v>
      </c>
      <c r="I225">
        <f t="shared" ca="1" si="35"/>
        <v>0</v>
      </c>
      <c r="J225" s="356" t="s">
        <v>103</v>
      </c>
      <c r="K225" s="138" t="str">
        <f t="shared" ca="1" si="9"/>
        <v>10.2.0.5.</v>
      </c>
      <c r="L225" s="357" t="s">
        <v>469</v>
      </c>
      <c r="M225" s="357" t="s">
        <v>765</v>
      </c>
      <c r="N225" s="358" t="s">
        <v>768</v>
      </c>
      <c r="O225" s="359" t="s">
        <v>660</v>
      </c>
      <c r="P225" s="360">
        <v>21.96</v>
      </c>
      <c r="Q225" s="195"/>
      <c r="R225" s="198" t="s">
        <v>7</v>
      </c>
      <c r="S225" s="103">
        <f t="shared" si="10"/>
        <v>0</v>
      </c>
      <c r="T225" s="83">
        <f t="shared" si="11"/>
        <v>0</v>
      </c>
      <c r="U225" s="9" t="str">
        <f t="shared" si="12"/>
        <v>SEM VALOR</v>
      </c>
      <c r="V225" s="1" t="str">
        <f ca="1">IF(OR($A225=0,$A225="S",$A225&gt;CFF!$A$9),"",MAX(V$12:OFFSET(V225,-1,0))+1)</f>
        <v/>
      </c>
      <c r="W225" s="4" t="str">
        <f t="shared" si="13"/>
        <v>FNDE-FNDE 10</v>
      </c>
      <c r="X225" s="1" t="e">
        <f ca="1">IF(AND(Fonte&lt;&gt;"",Código&lt;&gt;""),MATCH(Fonte&amp;" "&amp;IF(Fonte="sinapi",SUBSTITUTE(SUBSTITUTE(Código,"/00","/"),"/0","/"),Código),INDIRECT("'[Referência "&amp;_xlnm.Database&amp;".xls]Banco'!$a:$a"),0),"X")</f>
        <v>#N/A</v>
      </c>
      <c r="Y225" s="103">
        <v>123.34</v>
      </c>
      <c r="Z225" s="113">
        <f ca="1">ROUND(IF(ISNUMBER(R225),R225,IF(LEFT(R225,3)="BDI",HLOOKUP(R225,DADOS!$T$37:$X$38,2,FALSE),0)),15-11*$X$5)</f>
        <v>0.25</v>
      </c>
      <c r="AA225" s="1"/>
    </row>
    <row r="226" spans="1:27" x14ac:dyDescent="0.25">
      <c r="A226" t="str">
        <f t="shared" si="0"/>
        <v>S</v>
      </c>
      <c r="B226">
        <f t="shared" si="1"/>
        <v>0</v>
      </c>
      <c r="C226">
        <f t="shared" ca="1" si="2"/>
        <v>10</v>
      </c>
      <c r="D226">
        <f t="shared" ca="1" si="3"/>
        <v>2</v>
      </c>
      <c r="E226">
        <f t="shared" ca="1" si="4"/>
        <v>0</v>
      </c>
      <c r="F226">
        <f t="shared" ca="1" si="5"/>
        <v>0</v>
      </c>
      <c r="G226">
        <f t="shared" ca="1" si="6"/>
        <v>6</v>
      </c>
      <c r="H226">
        <f t="shared" ca="1" si="34"/>
        <v>0</v>
      </c>
      <c r="I226">
        <f t="shared" ca="1" si="35"/>
        <v>0</v>
      </c>
      <c r="J226" s="356" t="s">
        <v>103</v>
      </c>
      <c r="K226" s="138" t="str">
        <f t="shared" ca="1" si="9"/>
        <v>10.2.0.6.</v>
      </c>
      <c r="L226" s="357" t="s">
        <v>233</v>
      </c>
      <c r="M226" s="357" t="s">
        <v>353</v>
      </c>
      <c r="N226" s="358" t="s">
        <v>994</v>
      </c>
      <c r="O226" s="359" t="s">
        <v>635</v>
      </c>
      <c r="P226" s="360">
        <v>344.81</v>
      </c>
      <c r="Q226" s="195"/>
      <c r="R226" s="198" t="s">
        <v>7</v>
      </c>
      <c r="S226" s="103">
        <f t="shared" si="10"/>
        <v>0</v>
      </c>
      <c r="T226" s="83">
        <f t="shared" si="11"/>
        <v>0</v>
      </c>
      <c r="U226" s="9" t="str">
        <f t="shared" si="12"/>
        <v>SEM VALOR</v>
      </c>
      <c r="V226" s="1" t="str">
        <f ca="1">IF(OR($A226=0,$A226="S",$A226&gt;CFF!$A$9),"",MAX(V$12:OFFSET(V226,-1,0))+1)</f>
        <v/>
      </c>
      <c r="W226" s="4" t="str">
        <f t="shared" si="13"/>
        <v>SINAPI-98504</v>
      </c>
      <c r="X226" s="1">
        <f ca="1">IF(AND(Fonte&lt;&gt;"",Código&lt;&gt;""),MATCH(Fonte&amp;" "&amp;IF(Fonte="sinapi",SUBSTITUTE(SUBSTITUTE(Código,"/00","/"),"/0","/"),Código),INDIRECT("'[Referência "&amp;_xlnm.Database&amp;".xls]Banco'!$a:$a"),0),"X")</f>
        <v>7337</v>
      </c>
      <c r="Y226" s="103">
        <v>27.98</v>
      </c>
      <c r="Z226" s="113">
        <f ca="1">ROUND(IF(ISNUMBER(R226),R226,IF(LEFT(R226,3)="BDI",HLOOKUP(R226,DADOS!$T$37:$X$38,2,FALSE),0)),15-11*$X$5)</f>
        <v>0.25</v>
      </c>
      <c r="AA226" s="1"/>
    </row>
    <row r="227" spans="1:27" ht="26.4" x14ac:dyDescent="0.25">
      <c r="A227" t="str">
        <f t="shared" si="0"/>
        <v>S</v>
      </c>
      <c r="B227">
        <f t="shared" si="1"/>
        <v>0</v>
      </c>
      <c r="C227">
        <f t="shared" ca="1" si="2"/>
        <v>10</v>
      </c>
      <c r="D227">
        <f t="shared" ca="1" si="3"/>
        <v>2</v>
      </c>
      <c r="E227">
        <f t="shared" ca="1" si="4"/>
        <v>0</v>
      </c>
      <c r="F227">
        <f t="shared" ca="1" si="5"/>
        <v>0</v>
      </c>
      <c r="G227">
        <f t="shared" ca="1" si="6"/>
        <v>7</v>
      </c>
      <c r="H227">
        <f t="shared" ca="1" si="34"/>
        <v>0</v>
      </c>
      <c r="I227">
        <f t="shared" ca="1" si="35"/>
        <v>0</v>
      </c>
      <c r="J227" s="356" t="s">
        <v>103</v>
      </c>
      <c r="K227" s="138" t="str">
        <f t="shared" ca="1" si="9"/>
        <v>10.2.0.7.</v>
      </c>
      <c r="L227" s="357" t="s">
        <v>233</v>
      </c>
      <c r="M227" s="357" t="s">
        <v>661</v>
      </c>
      <c r="N227" s="358" t="s">
        <v>995</v>
      </c>
      <c r="O227" s="359" t="s">
        <v>590</v>
      </c>
      <c r="P227" s="360">
        <v>8.06</v>
      </c>
      <c r="Q227" s="195"/>
      <c r="R227" s="198" t="s">
        <v>7</v>
      </c>
      <c r="S227" s="103">
        <f t="shared" si="10"/>
        <v>0</v>
      </c>
      <c r="T227" s="83">
        <f t="shared" si="11"/>
        <v>0</v>
      </c>
      <c r="U227" s="9" t="str">
        <f t="shared" si="12"/>
        <v>SEM VALOR</v>
      </c>
      <c r="V227" s="1" t="str">
        <f ca="1">IF(OR($A227=0,$A227="S",$A227&gt;CFF!$A$9),"",MAX(V$12:OFFSET(V227,-1,0))+1)</f>
        <v/>
      </c>
      <c r="W227" s="4" t="str">
        <f t="shared" si="13"/>
        <v>SINAPI-94263</v>
      </c>
      <c r="X227" s="1">
        <f ca="1">IF(AND(Fonte&lt;&gt;"",Código&lt;&gt;""),MATCH(Fonte&amp;" "&amp;IF(Fonte="sinapi",SUBSTITUTE(SUBSTITUTE(Código,"/00","/"),"/0","/"),Código),INDIRECT("'[Referência "&amp;_xlnm.Database&amp;".xls]Banco'!$a:$a"),0),"X")</f>
        <v>1940</v>
      </c>
      <c r="Y227" s="103">
        <v>44.28</v>
      </c>
      <c r="Z227" s="113">
        <f ca="1">ROUND(IF(ISNUMBER(R227),R227,IF(LEFT(R227,3)="BDI",HLOOKUP(R227,DADOS!$T$37:$X$38,2,FALSE),0)),15-11*$X$5)</f>
        <v>0.25</v>
      </c>
      <c r="AA227" s="1"/>
    </row>
    <row r="228" spans="1:27" x14ac:dyDescent="0.25">
      <c r="A228">
        <f t="shared" si="0"/>
        <v>1</v>
      </c>
      <c r="B228">
        <f t="shared" ca="1" si="1"/>
        <v>17</v>
      </c>
      <c r="C228">
        <f t="shared" ca="1" si="2"/>
        <v>11</v>
      </c>
      <c r="D228">
        <f t="shared" ca="1" si="3"/>
        <v>0</v>
      </c>
      <c r="E228">
        <f t="shared" ca="1" si="4"/>
        <v>0</v>
      </c>
      <c r="F228">
        <f t="shared" ca="1" si="5"/>
        <v>0</v>
      </c>
      <c r="G228">
        <f t="shared" ca="1" si="6"/>
        <v>0</v>
      </c>
      <c r="H228">
        <f t="shared" ca="1" si="34"/>
        <v>375</v>
      </c>
      <c r="I228">
        <f t="shared" ca="1" si="35"/>
        <v>17</v>
      </c>
      <c r="J228" s="356" t="s">
        <v>99</v>
      </c>
      <c r="K228" s="138" t="str">
        <f t="shared" ca="1" si="9"/>
        <v>11.</v>
      </c>
      <c r="L228" s="357"/>
      <c r="M228" s="357"/>
      <c r="N228" s="358" t="s">
        <v>354</v>
      </c>
      <c r="O228" s="359" t="s">
        <v>106</v>
      </c>
      <c r="P228" s="360"/>
      <c r="Q228" s="195"/>
      <c r="R228" s="198" t="s">
        <v>7</v>
      </c>
      <c r="S228" s="103">
        <f t="shared" si="10"/>
        <v>0</v>
      </c>
      <c r="T228" s="83">
        <f t="shared" ca="1" si="11"/>
        <v>0</v>
      </c>
      <c r="U228" s="9" t="str">
        <f t="shared" ca="1" si="12"/>
        <v>SEM VALOR</v>
      </c>
      <c r="V228" s="1">
        <f ca="1">IF(OR($A228=0,$A228="S",$A228&gt;CFF!$A$9),"",MAX(V$12:OFFSET(V228,-1,0))+1)</f>
        <v>40</v>
      </c>
      <c r="W228" s="4" t="b">
        <f t="shared" si="13"/>
        <v>0</v>
      </c>
      <c r="X228" s="1" t="str">
        <f t="shared" ca="1" si="14"/>
        <v>X</v>
      </c>
      <c r="Y228" s="103">
        <v>0</v>
      </c>
      <c r="Z228" s="113">
        <f ca="1">ROUND(IF(ISNUMBER(R228),R228,IF(LEFT(R228,3)="BDI",HLOOKUP(R228,DADOS!$T$37:$X$38,2,FALSE),0)),15-11*$X$5)</f>
        <v>0.25</v>
      </c>
      <c r="AA228" s="1"/>
    </row>
    <row r="229" spans="1:27" x14ac:dyDescent="0.25">
      <c r="A229">
        <f>CHOOSE(1+LOG(1+2*(J229="Meta")+4*(J229="Nível 2")+8*(J229="Nível 3")+16*(J229="Nível 4")+32*(J229="Serviço"),2),0,1,2,3,4,"S")</f>
        <v>2</v>
      </c>
      <c r="B229">
        <f ca="1">IF(OR(A229="S",A229=0),0,IF(ISERROR(I229),H229,SMALL(H229:I229,1)))</f>
        <v>7</v>
      </c>
      <c r="C229">
        <f ca="1">IF($A229=1,OFFSET(C229,-1,0)+1,OFFSET(C229,-1,0))</f>
        <v>11</v>
      </c>
      <c r="D229">
        <f ca="1">IF($A229=1,0,IF($A229=2,OFFSET(D229,-1,0)+1,OFFSET(D229,-1,0)))</f>
        <v>1</v>
      </c>
      <c r="E229">
        <f ca="1">IF(AND($A229&lt;=2,$A229&lt;&gt;0),0,IF($A229=3,OFFSET(E229,-1,0)+1,OFFSET(E229,-1,0)))</f>
        <v>0</v>
      </c>
      <c r="F229">
        <f ca="1">IF(AND($A229&lt;=3,$A229&lt;&gt;0),0,IF($A229=4,OFFSET(F229,-1,0)+1,OFFSET(F229,-1,0)))</f>
        <v>0</v>
      </c>
      <c r="G229">
        <f ca="1">IF(AND($A229&lt;=4,$A229&lt;&gt;0),0,IF($A229="S",OFFSET(G229,-1,0)+1,OFFSET(G229,-1,0)))</f>
        <v>0</v>
      </c>
      <c r="H229">
        <f t="shared" ca="1" si="34"/>
        <v>16</v>
      </c>
      <c r="I229">
        <f t="shared" ca="1" si="35"/>
        <v>7</v>
      </c>
      <c r="J229" s="356" t="s">
        <v>100</v>
      </c>
      <c r="K229" s="138" t="str">
        <f ca="1">IF($A229=0,"-",CONCATENATE(C229&amp;".",IF(AND($A$5&gt;=2,$A229&gt;=2),D229&amp;".",""),IF(AND($A$5&gt;=3,$A229&gt;=3),E229&amp;".",""),IF(AND($A$5&gt;=4,$A229&gt;=4),F229&amp;".",""),IF($A229="S",G229&amp;".","")))</f>
        <v>11.1.</v>
      </c>
      <c r="L229" s="357"/>
      <c r="M229" s="357"/>
      <c r="N229" s="358" t="s">
        <v>662</v>
      </c>
      <c r="O229" s="359" t="s">
        <v>106</v>
      </c>
      <c r="P229" s="360"/>
      <c r="Q229" s="195"/>
      <c r="R229" s="198" t="s">
        <v>7</v>
      </c>
      <c r="S229" s="103">
        <f>IF($A229="S",IF($Q$10="Preço Unitário (R$)",PO.CustoUnitario,ROUND(PO.CustoUnitario*(1+$Z229),15-13*$X$6)),0)</f>
        <v>0</v>
      </c>
      <c r="T229" s="83">
        <f ca="1">IF($A229="S",VTOTAL1,IF($A229=0,0,ROUND(SomaAgrup,15-13*$X$7)))</f>
        <v>0</v>
      </c>
      <c r="U229" s="9" t="str">
        <f ca="1">IF($J229="","",IF($N229="","DESCRIÇÃO",IF(AND($J229="Serviço",$O229=""),"UNIDADE",IF($T229&lt;=0,"SEM VALOR",IF(AND($Y229&lt;&gt;"",$Q229&gt;$Y229),"ACIMA REF.","")))))</f>
        <v>SEM VALOR</v>
      </c>
      <c r="V229" s="1">
        <f ca="1">IF(OR($A229=0,$A229="S",$A229&gt;CFF!$A$9),"",MAX(V$12:OFFSET(V229,-1,0))+1)</f>
        <v>41</v>
      </c>
      <c r="W229" s="4" t="b">
        <f>IF(AND($J229="Serviço",$M229&lt;&gt;""),IF($L229="",$M229,CONCATENATE($L229,"-",$M229)))</f>
        <v>0</v>
      </c>
      <c r="X229" s="1" t="str">
        <f ca="1">IF(AND(Fonte&lt;&gt;"",Código&lt;&gt;""),MATCH(Fonte&amp;" "&amp;IF(Fonte="sinapi",SUBSTITUTE(SUBSTITUTE(Código,"/00","/"),"/0","/"),Código),INDIRECT("'[Referência "&amp;_xlnm.Database&amp;".xls]Banco'!$a:$a"),0),"X")</f>
        <v>X</v>
      </c>
      <c r="Y229" s="103">
        <v>0</v>
      </c>
      <c r="Z229" s="113">
        <f ca="1">ROUND(IF(ISNUMBER(R229),R229,IF(LEFT(R229,3)="BDI",HLOOKUP(R229,DADOS!$T$37:$X$38,2,FALSE),0)),15-11*$X$5)</f>
        <v>0.25</v>
      </c>
      <c r="AA229" s="1"/>
    </row>
    <row r="230" spans="1:27" x14ac:dyDescent="0.25">
      <c r="A230" t="str">
        <f t="shared" si="0"/>
        <v>S</v>
      </c>
      <c r="B230">
        <f t="shared" si="1"/>
        <v>0</v>
      </c>
      <c r="C230">
        <f t="shared" ca="1" si="2"/>
        <v>11</v>
      </c>
      <c r="D230">
        <f t="shared" ca="1" si="3"/>
        <v>1</v>
      </c>
      <c r="E230">
        <f t="shared" ca="1" si="4"/>
        <v>0</v>
      </c>
      <c r="F230">
        <f t="shared" ca="1" si="5"/>
        <v>0</v>
      </c>
      <c r="G230">
        <f t="shared" ca="1" si="6"/>
        <v>1</v>
      </c>
      <c r="H230">
        <f t="shared" ca="1" si="34"/>
        <v>0</v>
      </c>
      <c r="I230">
        <f t="shared" ca="1" si="35"/>
        <v>0</v>
      </c>
      <c r="J230" s="356" t="s">
        <v>103</v>
      </c>
      <c r="K230" s="138" t="str">
        <f t="shared" ca="1" si="9"/>
        <v>11.1.0.1.</v>
      </c>
      <c r="L230" s="357" t="s">
        <v>233</v>
      </c>
      <c r="M230" s="357" t="s">
        <v>355</v>
      </c>
      <c r="N230" s="358" t="s">
        <v>996</v>
      </c>
      <c r="O230" s="359" t="s">
        <v>635</v>
      </c>
      <c r="P230" s="360">
        <v>2004.59</v>
      </c>
      <c r="Q230" s="195"/>
      <c r="R230" s="198" t="s">
        <v>7</v>
      </c>
      <c r="S230" s="103">
        <f t="shared" si="10"/>
        <v>0</v>
      </c>
      <c r="T230" s="83">
        <f t="shared" si="11"/>
        <v>0</v>
      </c>
      <c r="U230" s="9" t="str">
        <f t="shared" si="12"/>
        <v>SEM VALOR</v>
      </c>
      <c r="V230" s="1" t="str">
        <f ca="1">IF(OR($A230=0,$A230="S",$A230&gt;CFF!$A$9),"",MAX(V$12:OFFSET(V230,-1,0))+1)</f>
        <v/>
      </c>
      <c r="W230" s="4" t="str">
        <f t="shared" si="13"/>
        <v>SINAPI-88497</v>
      </c>
      <c r="X230" s="1">
        <f t="shared" ca="1" si="14"/>
        <v>6285</v>
      </c>
      <c r="Y230" s="103">
        <v>23.9</v>
      </c>
      <c r="Z230" s="113">
        <f ca="1">ROUND(IF(ISNUMBER(R230),R230,IF(LEFT(R230,3)="BDI",HLOOKUP(R230,DADOS!$T$37:$X$38,2,FALSE),0)),15-11*$X$5)</f>
        <v>0.25</v>
      </c>
      <c r="AA230" s="1"/>
    </row>
    <row r="231" spans="1:27" x14ac:dyDescent="0.25">
      <c r="A231" t="str">
        <f t="shared" si="0"/>
        <v>S</v>
      </c>
      <c r="B231">
        <f t="shared" si="1"/>
        <v>0</v>
      </c>
      <c r="C231">
        <f t="shared" ca="1" si="2"/>
        <v>11</v>
      </c>
      <c r="D231">
        <f t="shared" ca="1" si="3"/>
        <v>1</v>
      </c>
      <c r="E231">
        <f t="shared" ca="1" si="4"/>
        <v>0</v>
      </c>
      <c r="F231">
        <f t="shared" ca="1" si="5"/>
        <v>0</v>
      </c>
      <c r="G231">
        <f t="shared" ca="1" si="6"/>
        <v>2</v>
      </c>
      <c r="H231">
        <f t="shared" ca="1" si="34"/>
        <v>0</v>
      </c>
      <c r="I231">
        <f t="shared" ca="1" si="35"/>
        <v>0</v>
      </c>
      <c r="J231" s="356" t="s">
        <v>103</v>
      </c>
      <c r="K231" s="138" t="str">
        <f t="shared" ca="1" si="9"/>
        <v>11.1.0.2.</v>
      </c>
      <c r="L231" s="357" t="s">
        <v>469</v>
      </c>
      <c r="M231" s="357" t="s">
        <v>769</v>
      </c>
      <c r="N231" s="358" t="s">
        <v>772</v>
      </c>
      <c r="O231" s="359" t="s">
        <v>635</v>
      </c>
      <c r="P231" s="360">
        <v>1902.96</v>
      </c>
      <c r="Q231" s="195"/>
      <c r="R231" s="198" t="s">
        <v>7</v>
      </c>
      <c r="S231" s="103">
        <f t="shared" si="10"/>
        <v>0</v>
      </c>
      <c r="T231" s="83">
        <f t="shared" si="11"/>
        <v>0</v>
      </c>
      <c r="U231" s="9" t="str">
        <f t="shared" si="12"/>
        <v>SEM VALOR</v>
      </c>
      <c r="V231" s="1" t="str">
        <f ca="1">IF(OR($A231=0,$A231="S",$A231&gt;CFF!$A$9),"",MAX(V$12:OFFSET(V231,-1,0))+1)</f>
        <v/>
      </c>
      <c r="W231" s="4" t="str">
        <f t="shared" si="13"/>
        <v>FNDE-FNDE 402</v>
      </c>
      <c r="X231" s="1" t="e">
        <f t="shared" ca="1" si="14"/>
        <v>#N/A</v>
      </c>
      <c r="Y231" s="103">
        <v>18.260000000000002</v>
      </c>
      <c r="Z231" s="113">
        <f ca="1">ROUND(IF(ISNUMBER(R231),R231,IF(LEFT(R231,3)="BDI",HLOOKUP(R231,DADOS!$T$37:$X$38,2,FALSE),0)),15-11*$X$5)</f>
        <v>0.25</v>
      </c>
      <c r="AA231" s="1"/>
    </row>
    <row r="232" spans="1:27" ht="26.4" x14ac:dyDescent="0.25">
      <c r="A232" t="str">
        <f t="shared" si="0"/>
        <v>S</v>
      </c>
      <c r="B232">
        <f t="shared" si="1"/>
        <v>0</v>
      </c>
      <c r="C232">
        <f t="shared" ca="1" si="2"/>
        <v>11</v>
      </c>
      <c r="D232">
        <f t="shared" ca="1" si="3"/>
        <v>1</v>
      </c>
      <c r="E232">
        <f t="shared" ca="1" si="4"/>
        <v>0</v>
      </c>
      <c r="F232">
        <f t="shared" ca="1" si="5"/>
        <v>0</v>
      </c>
      <c r="G232">
        <f t="shared" ca="1" si="6"/>
        <v>3</v>
      </c>
      <c r="H232">
        <f t="shared" ca="1" si="34"/>
        <v>0</v>
      </c>
      <c r="I232">
        <f t="shared" ca="1" si="35"/>
        <v>0</v>
      </c>
      <c r="J232" s="356" t="s">
        <v>103</v>
      </c>
      <c r="K232" s="138" t="str">
        <f t="shared" ca="1" si="9"/>
        <v>11.1.0.3.</v>
      </c>
      <c r="L232" s="357" t="s">
        <v>233</v>
      </c>
      <c r="M232" s="357" t="s">
        <v>356</v>
      </c>
      <c r="N232" s="358" t="s">
        <v>997</v>
      </c>
      <c r="O232" s="359" t="s">
        <v>635</v>
      </c>
      <c r="P232" s="360">
        <v>126.01</v>
      </c>
      <c r="Q232" s="195"/>
      <c r="R232" s="198" t="s">
        <v>7</v>
      </c>
      <c r="S232" s="103">
        <f t="shared" si="10"/>
        <v>0</v>
      </c>
      <c r="T232" s="83">
        <f t="shared" si="11"/>
        <v>0</v>
      </c>
      <c r="U232" s="9" t="str">
        <f t="shared" si="12"/>
        <v>SEM VALOR</v>
      </c>
      <c r="V232" s="1" t="str">
        <f ca="1">IF(OR($A232=0,$A232="S",$A232&gt;CFF!$A$9),"",MAX(V$12:OFFSET(V232,-1,0))+1)</f>
        <v/>
      </c>
      <c r="W232" s="4" t="str">
        <f t="shared" si="13"/>
        <v>SINAPI-102219</v>
      </c>
      <c r="X232" s="1">
        <f t="shared" ca="1" si="14"/>
        <v>6325</v>
      </c>
      <c r="Y232" s="103">
        <v>21.95</v>
      </c>
      <c r="Z232" s="113">
        <f ca="1">ROUND(IF(ISNUMBER(R232),R232,IF(LEFT(R232,3)="BDI",HLOOKUP(R232,DADOS!$T$37:$X$38,2,FALSE),0)),15-11*$X$5)</f>
        <v>0.25</v>
      </c>
      <c r="AA232" s="1"/>
    </row>
    <row r="233" spans="1:27" x14ac:dyDescent="0.25">
      <c r="A233" t="str">
        <f t="shared" si="0"/>
        <v>S</v>
      </c>
      <c r="B233">
        <f t="shared" si="1"/>
        <v>0</v>
      </c>
      <c r="C233">
        <f t="shared" ca="1" si="2"/>
        <v>11</v>
      </c>
      <c r="D233">
        <f t="shared" ca="1" si="3"/>
        <v>1</v>
      </c>
      <c r="E233">
        <f t="shared" ca="1" si="4"/>
        <v>0</v>
      </c>
      <c r="F233">
        <f t="shared" ca="1" si="5"/>
        <v>0</v>
      </c>
      <c r="G233">
        <f t="shared" ca="1" si="6"/>
        <v>4</v>
      </c>
      <c r="H233">
        <f t="shared" ca="1" si="34"/>
        <v>0</v>
      </c>
      <c r="I233">
        <f t="shared" ca="1" si="35"/>
        <v>0</v>
      </c>
      <c r="J233" s="356" t="s">
        <v>103</v>
      </c>
      <c r="K233" s="138" t="str">
        <f t="shared" ca="1" si="9"/>
        <v>11.1.0.4.</v>
      </c>
      <c r="L233" s="357" t="s">
        <v>469</v>
      </c>
      <c r="M233" s="357" t="s">
        <v>770</v>
      </c>
      <c r="N233" s="358" t="s">
        <v>773</v>
      </c>
      <c r="O233" s="359" t="s">
        <v>635</v>
      </c>
      <c r="P233" s="360">
        <v>12.72</v>
      </c>
      <c r="Q233" s="195"/>
      <c r="R233" s="198" t="s">
        <v>7</v>
      </c>
      <c r="S233" s="103">
        <f t="shared" si="10"/>
        <v>0</v>
      </c>
      <c r="T233" s="83">
        <f t="shared" si="11"/>
        <v>0</v>
      </c>
      <c r="U233" s="9" t="str">
        <f t="shared" si="12"/>
        <v>SEM VALOR</v>
      </c>
      <c r="V233" s="1" t="str">
        <f ca="1">IF(OR($A233=0,$A233="S",$A233&gt;CFF!$A$9),"",MAX(V$12:OFFSET(V233,-1,0))+1)</f>
        <v/>
      </c>
      <c r="W233" s="4" t="str">
        <f t="shared" si="13"/>
        <v>FNDE-FNDE 201</v>
      </c>
      <c r="X233" s="1" t="e">
        <f t="shared" ca="1" si="14"/>
        <v>#N/A</v>
      </c>
      <c r="Y233" s="103">
        <v>25.56</v>
      </c>
      <c r="Z233" s="113">
        <f ca="1">ROUND(IF(ISNUMBER(R233),R233,IF(LEFT(R233,3)="BDI",HLOOKUP(R233,DADOS!$T$37:$X$38,2,FALSE),0)),15-11*$X$5)</f>
        <v>0.25</v>
      </c>
      <c r="AA233" s="1"/>
    </row>
    <row r="234" spans="1:27" ht="26.4" x14ac:dyDescent="0.25">
      <c r="A234" t="str">
        <f t="shared" si="0"/>
        <v>S</v>
      </c>
      <c r="B234">
        <f t="shared" si="1"/>
        <v>0</v>
      </c>
      <c r="C234">
        <f t="shared" ca="1" si="2"/>
        <v>11</v>
      </c>
      <c r="D234">
        <f t="shared" ca="1" si="3"/>
        <v>1</v>
      </c>
      <c r="E234">
        <f t="shared" ca="1" si="4"/>
        <v>0</v>
      </c>
      <c r="F234">
        <f t="shared" ca="1" si="5"/>
        <v>0</v>
      </c>
      <c r="G234">
        <f t="shared" ca="1" si="6"/>
        <v>5</v>
      </c>
      <c r="H234">
        <f t="shared" ca="1" si="34"/>
        <v>0</v>
      </c>
      <c r="I234">
        <f t="shared" ca="1" si="35"/>
        <v>0</v>
      </c>
      <c r="J234" s="356" t="s">
        <v>103</v>
      </c>
      <c r="K234" s="138" t="str">
        <f t="shared" ca="1" si="9"/>
        <v>11.1.0.5.</v>
      </c>
      <c r="L234" s="357" t="s">
        <v>469</v>
      </c>
      <c r="M234" s="357" t="s">
        <v>771</v>
      </c>
      <c r="N234" s="358" t="s">
        <v>774</v>
      </c>
      <c r="O234" s="359" t="s">
        <v>635</v>
      </c>
      <c r="P234" s="360">
        <v>101.63</v>
      </c>
      <c r="Q234" s="195"/>
      <c r="R234" s="198" t="s">
        <v>7</v>
      </c>
      <c r="S234" s="103">
        <f t="shared" si="10"/>
        <v>0</v>
      </c>
      <c r="T234" s="83">
        <f t="shared" si="11"/>
        <v>0</v>
      </c>
      <c r="U234" s="9" t="str">
        <f t="shared" si="12"/>
        <v>SEM VALOR</v>
      </c>
      <c r="V234" s="1" t="str">
        <f ca="1">IF(OR($A234=0,$A234="S",$A234&gt;CFF!$A$9),"",MAX(V$12:OFFSET(V234,-1,0))+1)</f>
        <v/>
      </c>
      <c r="W234" s="4" t="str">
        <f t="shared" si="13"/>
        <v>FNDE-FNDE 428</v>
      </c>
      <c r="X234" s="1" t="e">
        <f t="shared" ca="1" si="14"/>
        <v>#N/A</v>
      </c>
      <c r="Y234" s="103">
        <v>199.71</v>
      </c>
      <c r="Z234" s="113">
        <f ca="1">ROUND(IF(ISNUMBER(R234),R234,IF(LEFT(R234,3)="BDI",HLOOKUP(R234,DADOS!$T$37:$X$38,2,FALSE),0)),15-11*$X$5)</f>
        <v>0.25</v>
      </c>
      <c r="AA234" s="1"/>
    </row>
    <row r="235" spans="1:27" ht="26.4" x14ac:dyDescent="0.25">
      <c r="A235" t="str">
        <f t="shared" si="0"/>
        <v>S</v>
      </c>
      <c r="B235">
        <f t="shared" si="1"/>
        <v>0</v>
      </c>
      <c r="C235">
        <f t="shared" ca="1" si="2"/>
        <v>11</v>
      </c>
      <c r="D235">
        <f t="shared" ca="1" si="3"/>
        <v>1</v>
      </c>
      <c r="E235">
        <f t="shared" ca="1" si="4"/>
        <v>0</v>
      </c>
      <c r="F235">
        <f t="shared" ca="1" si="5"/>
        <v>0</v>
      </c>
      <c r="G235">
        <f t="shared" ca="1" si="6"/>
        <v>6</v>
      </c>
      <c r="H235">
        <f t="shared" ca="1" si="34"/>
        <v>0</v>
      </c>
      <c r="I235">
        <f t="shared" ca="1" si="35"/>
        <v>0</v>
      </c>
      <c r="J235" s="356" t="s">
        <v>103</v>
      </c>
      <c r="K235" s="138" t="str">
        <f t="shared" ca="1" si="9"/>
        <v>11.1.0.6.</v>
      </c>
      <c r="L235" s="357" t="s">
        <v>233</v>
      </c>
      <c r="M235" s="357" t="s">
        <v>357</v>
      </c>
      <c r="N235" s="358" t="s">
        <v>998</v>
      </c>
      <c r="O235" s="359" t="s">
        <v>635</v>
      </c>
      <c r="P235" s="360">
        <v>593.16</v>
      </c>
      <c r="Q235" s="195"/>
      <c r="R235" s="198" t="s">
        <v>7</v>
      </c>
      <c r="S235" s="103">
        <f t="shared" si="10"/>
        <v>0</v>
      </c>
      <c r="T235" s="83">
        <f t="shared" si="11"/>
        <v>0</v>
      </c>
      <c r="U235" s="9" t="str">
        <f t="shared" si="12"/>
        <v>SEM VALOR</v>
      </c>
      <c r="V235" s="1" t="str">
        <f ca="1">IF(OR($A235=0,$A235="S",$A235&gt;CFF!$A$9),"",MAX(V$12:OFFSET(V235,-1,0))+1)</f>
        <v/>
      </c>
      <c r="W235" s="4" t="str">
        <f t="shared" si="13"/>
        <v>SINAPI-100742</v>
      </c>
      <c r="X235" s="1">
        <f t="shared" ca="1" si="14"/>
        <v>6358</v>
      </c>
      <c r="Y235" s="103">
        <v>32.130000000000003</v>
      </c>
      <c r="Z235" s="113">
        <f ca="1">ROUND(IF(ISNUMBER(R235),R235,IF(LEFT(R235,3)="BDI",HLOOKUP(R235,DADOS!$T$37:$X$38,2,FALSE),0)),15-11*$X$5)</f>
        <v>0.25</v>
      </c>
      <c r="AA235" s="1"/>
    </row>
    <row r="236" spans="1:27" x14ac:dyDescent="0.25">
      <c r="A236">
        <f t="shared" si="0"/>
        <v>2</v>
      </c>
      <c r="B236">
        <f t="shared" ca="1" si="1"/>
        <v>3</v>
      </c>
      <c r="C236">
        <f t="shared" ca="1" si="2"/>
        <v>11</v>
      </c>
      <c r="D236">
        <f t="shared" ca="1" si="3"/>
        <v>2</v>
      </c>
      <c r="E236">
        <f t="shared" ca="1" si="4"/>
        <v>0</v>
      </c>
      <c r="F236">
        <f t="shared" ca="1" si="5"/>
        <v>0</v>
      </c>
      <c r="G236">
        <f t="shared" ca="1" si="6"/>
        <v>0</v>
      </c>
      <c r="H236">
        <f t="shared" ca="1" si="34"/>
        <v>9</v>
      </c>
      <c r="I236">
        <f t="shared" ca="1" si="35"/>
        <v>3</v>
      </c>
      <c r="J236" s="356" t="s">
        <v>100</v>
      </c>
      <c r="K236" s="138" t="str">
        <f t="shared" ca="1" si="9"/>
        <v>11.2.</v>
      </c>
      <c r="L236" s="357"/>
      <c r="M236" s="357"/>
      <c r="N236" s="358" t="s">
        <v>359</v>
      </c>
      <c r="O236" s="359" t="s">
        <v>106</v>
      </c>
      <c r="P236" s="360"/>
      <c r="Q236" s="195"/>
      <c r="R236" s="198" t="s">
        <v>7</v>
      </c>
      <c r="S236" s="103">
        <f t="shared" si="10"/>
        <v>0</v>
      </c>
      <c r="T236" s="83">
        <f t="shared" ca="1" si="11"/>
        <v>0</v>
      </c>
      <c r="U236" s="9" t="str">
        <f t="shared" ca="1" si="12"/>
        <v>SEM VALOR</v>
      </c>
      <c r="V236" s="1">
        <f ca="1">IF(OR($A236=0,$A236="S",$A236&gt;CFF!$A$9),"",MAX(V$12:OFFSET(V236,-1,0))+1)</f>
        <v>42</v>
      </c>
      <c r="W236" s="4" t="b">
        <f t="shared" si="13"/>
        <v>0</v>
      </c>
      <c r="X236" s="1" t="str">
        <f t="shared" ca="1" si="14"/>
        <v>X</v>
      </c>
      <c r="Y236" s="103">
        <v>0</v>
      </c>
      <c r="Z236" s="113">
        <f ca="1">ROUND(IF(ISNUMBER(R236),R236,IF(LEFT(R236,3)="BDI",HLOOKUP(R236,DADOS!$T$37:$X$38,2,FALSE),0)),15-11*$X$5)</f>
        <v>0.25</v>
      </c>
      <c r="AA236" s="1"/>
    </row>
    <row r="237" spans="1:27" x14ac:dyDescent="0.25">
      <c r="A237" t="str">
        <f t="shared" si="0"/>
        <v>S</v>
      </c>
      <c r="B237">
        <f t="shared" si="1"/>
        <v>0</v>
      </c>
      <c r="C237">
        <f t="shared" ca="1" si="2"/>
        <v>11</v>
      </c>
      <c r="D237">
        <f t="shared" ca="1" si="3"/>
        <v>2</v>
      </c>
      <c r="E237">
        <f t="shared" ca="1" si="4"/>
        <v>0</v>
      </c>
      <c r="F237">
        <f t="shared" ca="1" si="5"/>
        <v>0</v>
      </c>
      <c r="G237">
        <f t="shared" ca="1" si="6"/>
        <v>1</v>
      </c>
      <c r="H237">
        <f t="shared" ca="1" si="34"/>
        <v>0</v>
      </c>
      <c r="I237">
        <f t="shared" ca="1" si="35"/>
        <v>0</v>
      </c>
      <c r="J237" s="356" t="s">
        <v>103</v>
      </c>
      <c r="K237" s="138" t="str">
        <f t="shared" ca="1" si="9"/>
        <v>11.2.0.1.</v>
      </c>
      <c r="L237" s="357" t="s">
        <v>233</v>
      </c>
      <c r="M237" s="357" t="s">
        <v>361</v>
      </c>
      <c r="N237" s="358" t="s">
        <v>999</v>
      </c>
      <c r="O237" s="359" t="s">
        <v>635</v>
      </c>
      <c r="P237" s="360">
        <v>442.55</v>
      </c>
      <c r="Q237" s="195"/>
      <c r="R237" s="198" t="s">
        <v>7</v>
      </c>
      <c r="S237" s="103">
        <f t="shared" si="10"/>
        <v>0</v>
      </c>
      <c r="T237" s="83">
        <f t="shared" si="11"/>
        <v>0</v>
      </c>
      <c r="U237" s="9" t="str">
        <f t="shared" si="12"/>
        <v>SEM VALOR</v>
      </c>
      <c r="V237" s="1" t="str">
        <f ca="1">IF(OR($A237=0,$A237="S",$A237&gt;CFF!$A$9),"",MAX(V$12:OFFSET(V237,-1,0))+1)</f>
        <v/>
      </c>
      <c r="W237" s="4" t="str">
        <f t="shared" si="13"/>
        <v>SINAPI-88494</v>
      </c>
      <c r="X237" s="1">
        <f t="shared" ca="1" si="14"/>
        <v>6282</v>
      </c>
      <c r="Y237" s="103">
        <v>27.31</v>
      </c>
      <c r="Z237" s="113">
        <f ca="1">ROUND(IF(ISNUMBER(R237),R237,IF(LEFT(R237,3)="BDI",HLOOKUP(R237,DADOS!$T$37:$X$38,2,FALSE),0)),15-11*$X$5)</f>
        <v>0.25</v>
      </c>
      <c r="AA237" s="1"/>
    </row>
    <row r="238" spans="1:27" x14ac:dyDescent="0.25">
      <c r="A238" t="str">
        <f t="shared" si="0"/>
        <v>S</v>
      </c>
      <c r="B238">
        <f t="shared" si="1"/>
        <v>0</v>
      </c>
      <c r="C238">
        <f t="shared" ca="1" si="2"/>
        <v>11</v>
      </c>
      <c r="D238">
        <f t="shared" ca="1" si="3"/>
        <v>2</v>
      </c>
      <c r="E238">
        <f t="shared" ca="1" si="4"/>
        <v>0</v>
      </c>
      <c r="F238">
        <f t="shared" ca="1" si="5"/>
        <v>0</v>
      </c>
      <c r="G238">
        <f t="shared" ca="1" si="6"/>
        <v>2</v>
      </c>
      <c r="H238">
        <f t="shared" ca="1" si="34"/>
        <v>0</v>
      </c>
      <c r="I238">
        <f t="shared" ca="1" si="35"/>
        <v>0</v>
      </c>
      <c r="J238" s="356" t="s">
        <v>103</v>
      </c>
      <c r="K238" s="138" t="str">
        <f t="shared" ca="1" si="9"/>
        <v>11.2.0.2.</v>
      </c>
      <c r="L238" s="357" t="s">
        <v>233</v>
      </c>
      <c r="M238" s="357" t="s">
        <v>362</v>
      </c>
      <c r="N238" s="358" t="s">
        <v>1000</v>
      </c>
      <c r="O238" s="359" t="s">
        <v>635</v>
      </c>
      <c r="P238" s="360">
        <v>442.55</v>
      </c>
      <c r="Q238" s="195"/>
      <c r="R238" s="198" t="s">
        <v>7</v>
      </c>
      <c r="S238" s="103">
        <f t="shared" si="10"/>
        <v>0</v>
      </c>
      <c r="T238" s="83">
        <f t="shared" si="11"/>
        <v>0</v>
      </c>
      <c r="U238" s="9" t="str">
        <f t="shared" si="12"/>
        <v>SEM VALOR</v>
      </c>
      <c r="V238" s="1" t="str">
        <f ca="1">IF(OR($A238=0,$A238="S",$A238&gt;CFF!$A$9),"",MAX(V$12:OFFSET(V238,-1,0))+1)</f>
        <v/>
      </c>
      <c r="W238" s="4" t="str">
        <f t="shared" si="13"/>
        <v>SINAPI-88488</v>
      </c>
      <c r="X238" s="1">
        <f t="shared" ca="1" si="14"/>
        <v>6280</v>
      </c>
      <c r="Y238" s="103">
        <v>20.25</v>
      </c>
      <c r="Z238" s="113">
        <f ca="1">ROUND(IF(ISNUMBER(R238),R238,IF(LEFT(R238,3)="BDI",HLOOKUP(R238,DADOS!$T$37:$X$38,2,FALSE),0)),15-11*$X$5)</f>
        <v>0.25</v>
      </c>
      <c r="AA238" s="1"/>
    </row>
    <row r="239" spans="1:27" x14ac:dyDescent="0.25">
      <c r="A239">
        <f t="shared" si="0"/>
        <v>2</v>
      </c>
      <c r="B239">
        <f t="shared" ca="1" si="1"/>
        <v>3</v>
      </c>
      <c r="C239">
        <f t="shared" ca="1" si="2"/>
        <v>11</v>
      </c>
      <c r="D239">
        <f t="shared" ca="1" si="3"/>
        <v>3</v>
      </c>
      <c r="E239">
        <f t="shared" ca="1" si="4"/>
        <v>0</v>
      </c>
      <c r="F239">
        <f t="shared" ca="1" si="5"/>
        <v>0</v>
      </c>
      <c r="G239">
        <f t="shared" ca="1" si="6"/>
        <v>0</v>
      </c>
      <c r="H239">
        <f t="shared" ca="1" si="34"/>
        <v>6</v>
      </c>
      <c r="I239">
        <f t="shared" ca="1" si="35"/>
        <v>3</v>
      </c>
      <c r="J239" s="356" t="s">
        <v>100</v>
      </c>
      <c r="K239" s="138" t="str">
        <f t="shared" ca="1" si="9"/>
        <v>11.3.</v>
      </c>
      <c r="L239" s="357"/>
      <c r="M239" s="357"/>
      <c r="N239" s="358" t="s">
        <v>775</v>
      </c>
      <c r="O239" s="359" t="s">
        <v>106</v>
      </c>
      <c r="P239" s="360" t="s">
        <v>679</v>
      </c>
      <c r="Q239" s="195"/>
      <c r="R239" s="198" t="s">
        <v>7</v>
      </c>
      <c r="S239" s="103">
        <f t="shared" si="10"/>
        <v>0</v>
      </c>
      <c r="T239" s="83">
        <f t="shared" ca="1" si="11"/>
        <v>0</v>
      </c>
      <c r="U239" s="9" t="str">
        <f t="shared" ca="1" si="12"/>
        <v>SEM VALOR</v>
      </c>
      <c r="V239" s="1">
        <f ca="1">IF(OR($A239=0,$A239="S",$A239&gt;CFF!$A$9),"",MAX(V$12:OFFSET(V239,-1,0))+1)</f>
        <v>43</v>
      </c>
      <c r="W239" s="4" t="b">
        <f t="shared" si="13"/>
        <v>0</v>
      </c>
      <c r="X239" s="1" t="str">
        <f t="shared" ca="1" si="14"/>
        <v>X</v>
      </c>
      <c r="Y239" s="103">
        <v>0</v>
      </c>
      <c r="Z239" s="113">
        <f ca="1">ROUND(IF(ISNUMBER(R239),R239,IF(LEFT(R239,3)="BDI",HLOOKUP(R239,DADOS!$T$37:$X$38,2,FALSE),0)),15-11*$X$5)</f>
        <v>0.25</v>
      </c>
      <c r="AA239" s="1"/>
    </row>
    <row r="240" spans="1:27" x14ac:dyDescent="0.25">
      <c r="A240">
        <f>CHOOSE(1+LOG(1+2*(J240="Meta")+4*(J240="Nível 2")+8*(J240="Nível 3")+16*(J240="Nível 4")+32*(J240="Serviço"),2),0,1,2,3,4,"S")</f>
        <v>3</v>
      </c>
      <c r="B240">
        <f ca="1">IF(OR(A240="S",A240=0),0,IF(ISERROR(I240),H240,SMALL(H240:I240,1)))</f>
        <v>2</v>
      </c>
      <c r="C240">
        <f ca="1">IF($A240=1,OFFSET(C240,-1,0)+1,OFFSET(C240,-1,0))</f>
        <v>11</v>
      </c>
      <c r="D240">
        <f ca="1">IF($A240=1,0,IF($A240=2,OFFSET(D240,-1,0)+1,OFFSET(D240,-1,0)))</f>
        <v>3</v>
      </c>
      <c r="E240">
        <f ca="1">IF(AND($A240&lt;=2,$A240&lt;&gt;0),0,IF($A240=3,OFFSET(E240,-1,0)+1,OFFSET(E240,-1,0)))</f>
        <v>1</v>
      </c>
      <c r="F240">
        <f ca="1">IF(AND($A240&lt;=3,$A240&lt;&gt;0),0,IF($A240=4,OFFSET(F240,-1,0)+1,OFFSET(F240,-1,0)))</f>
        <v>0</v>
      </c>
      <c r="G240">
        <f ca="1">IF(AND($A240&lt;=4,$A240&lt;&gt;0),0,IF($A240="S",OFFSET(G240,-1,0)+1,OFFSET(G240,-1,0)))</f>
        <v>0</v>
      </c>
      <c r="H240">
        <f t="shared" ca="1" si="34"/>
        <v>2</v>
      </c>
      <c r="I240">
        <f t="shared" ca="1" si="35"/>
        <v>324</v>
      </c>
      <c r="J240" s="356" t="s">
        <v>101</v>
      </c>
      <c r="K240" s="138" t="str">
        <f ca="1">IF($A240=0,"-",CONCATENATE(C240&amp;".",IF(AND($A$5&gt;=2,$A240&gt;=2),D240&amp;".",""),IF(AND($A$5&gt;=3,$A240&gt;=3),E240&amp;".",""),IF(AND($A$5&gt;=4,$A240&gt;=4),F240&amp;".",""),IF($A240="S",G240&amp;".","")))</f>
        <v>11.3.1.</v>
      </c>
      <c r="L240" s="357"/>
      <c r="M240" s="357"/>
      <c r="N240" s="358" t="s">
        <v>271</v>
      </c>
      <c r="O240" s="359" t="s">
        <v>106</v>
      </c>
      <c r="P240" s="360"/>
      <c r="Q240" s="195"/>
      <c r="R240" s="198" t="s">
        <v>7</v>
      </c>
      <c r="S240" s="103">
        <f>IF($A240="S",IF($Q$10="Preço Unitário (R$)",PO.CustoUnitario,ROUND(PO.CustoUnitario*(1+$Z240),15-13*$X$6)),0)</f>
        <v>0</v>
      </c>
      <c r="T240" s="83">
        <f ca="1">IF($A240="S",VTOTAL1,IF($A240=0,0,ROUND(SomaAgrup,15-13*$X$7)))</f>
        <v>0</v>
      </c>
      <c r="U240" s="9" t="str">
        <f ca="1">IF($J240="","",IF($N240="","DESCRIÇÃO",IF(AND($J240="Serviço",$O240=""),"UNIDADE",IF($T240&lt;=0,"SEM VALOR",IF(AND($Y240&lt;&gt;"",$Q240&gt;$Y240),"ACIMA REF.","")))))</f>
        <v>SEM VALOR</v>
      </c>
      <c r="V240" s="1" t="str">
        <f ca="1">IF(OR($A240=0,$A240="S",$A240&gt;CFF!$A$9),"",MAX(V$12:OFFSET(V240,-1,0))+1)</f>
        <v/>
      </c>
      <c r="W240" s="4" t="b">
        <f>IF(AND($J240="Serviço",$M240&lt;&gt;""),IF($L240="",$M240,CONCATENATE($L240,"-",$M240)))</f>
        <v>0</v>
      </c>
      <c r="X240" s="1" t="str">
        <f ca="1">IF(AND(Fonte&lt;&gt;"",Código&lt;&gt;""),MATCH(Fonte&amp;" "&amp;IF(Fonte="sinapi",SUBSTITUTE(SUBSTITUTE(Código,"/00","/"),"/0","/"),Código),INDIRECT("'[Referência "&amp;_xlnm.Database&amp;".xls]Banco'!$a:$a"),0),"X")</f>
        <v>X</v>
      </c>
      <c r="Y240" s="103">
        <v>0</v>
      </c>
      <c r="Z240" s="113">
        <f ca="1">ROUND(IF(ISNUMBER(R240),R240,IF(LEFT(R240,3)="BDI",HLOOKUP(R240,DADOS!$T$37:$X$38,2,FALSE),0)),15-11*$X$5)</f>
        <v>0.25</v>
      </c>
      <c r="AA240" s="1"/>
    </row>
    <row r="241" spans="1:27" ht="26.4" x14ac:dyDescent="0.25">
      <c r="A241" t="str">
        <f t="shared" si="0"/>
        <v>S</v>
      </c>
      <c r="B241">
        <f t="shared" si="1"/>
        <v>0</v>
      </c>
      <c r="C241">
        <f t="shared" ca="1" si="2"/>
        <v>11</v>
      </c>
      <c r="D241">
        <f t="shared" ca="1" si="3"/>
        <v>3</v>
      </c>
      <c r="E241">
        <f t="shared" ca="1" si="4"/>
        <v>1</v>
      </c>
      <c r="F241">
        <f t="shared" ca="1" si="5"/>
        <v>0</v>
      </c>
      <c r="G241">
        <f t="shared" ca="1" si="6"/>
        <v>1</v>
      </c>
      <c r="H241">
        <f t="shared" ca="1" si="34"/>
        <v>0</v>
      </c>
      <c r="I241">
        <f t="shared" ca="1" si="35"/>
        <v>0</v>
      </c>
      <c r="J241" s="356" t="s">
        <v>103</v>
      </c>
      <c r="K241" s="138" t="str">
        <f t="shared" ca="1" si="9"/>
        <v>11.3.1.1.</v>
      </c>
      <c r="L241" s="357" t="s">
        <v>233</v>
      </c>
      <c r="M241" s="357" t="s">
        <v>363</v>
      </c>
      <c r="N241" s="358" t="s">
        <v>1001</v>
      </c>
      <c r="O241" s="359" t="s">
        <v>635</v>
      </c>
      <c r="P241" s="360">
        <v>1285.48</v>
      </c>
      <c r="Q241" s="195"/>
      <c r="R241" s="198" t="s">
        <v>7</v>
      </c>
      <c r="S241" s="103">
        <f t="shared" si="10"/>
        <v>0</v>
      </c>
      <c r="T241" s="83">
        <f t="shared" si="11"/>
        <v>0</v>
      </c>
      <c r="U241" s="9" t="str">
        <f t="shared" si="12"/>
        <v>SEM VALOR</v>
      </c>
      <c r="V241" s="1" t="str">
        <f ca="1">IF(OR($A241=0,$A241="S",$A241&gt;CFF!$A$9),"",MAX(V$12:OFFSET(V241,-1,0))+1)</f>
        <v/>
      </c>
      <c r="W241" s="4" t="str">
        <f t="shared" si="13"/>
        <v>SINAPI-100724</v>
      </c>
      <c r="X241" s="1">
        <f t="shared" ca="1" si="14"/>
        <v>6344</v>
      </c>
      <c r="Y241" s="103">
        <v>18.579999999999998</v>
      </c>
      <c r="Z241" s="113">
        <f ca="1">ROUND(IF(ISNUMBER(R241),R241,IF(LEFT(R241,3)="BDI",HLOOKUP(R241,DADOS!$T$37:$X$38,2,FALSE),0)),15-11*$X$5)</f>
        <v>0.25</v>
      </c>
      <c r="AA241" s="1"/>
    </row>
    <row r="242" spans="1:27" x14ac:dyDescent="0.25">
      <c r="A242">
        <f t="shared" si="0"/>
        <v>2</v>
      </c>
      <c r="B242">
        <f t="shared" ca="1" si="1"/>
        <v>3</v>
      </c>
      <c r="C242">
        <f t="shared" ca="1" si="2"/>
        <v>11</v>
      </c>
      <c r="D242">
        <f t="shared" ca="1" si="3"/>
        <v>4</v>
      </c>
      <c r="E242">
        <f t="shared" ca="1" si="4"/>
        <v>0</v>
      </c>
      <c r="F242">
        <f t="shared" ca="1" si="5"/>
        <v>0</v>
      </c>
      <c r="G242">
        <f t="shared" ca="1" si="6"/>
        <v>0</v>
      </c>
      <c r="H242">
        <f t="shared" ca="1" si="34"/>
        <v>3</v>
      </c>
      <c r="I242">
        <f t="shared" ca="1" si="35"/>
        <v>172</v>
      </c>
      <c r="J242" s="356" t="s">
        <v>100</v>
      </c>
      <c r="K242" s="138" t="str">
        <f t="shared" ca="1" si="9"/>
        <v>11.4.</v>
      </c>
      <c r="L242" s="357"/>
      <c r="M242" s="357"/>
      <c r="N242" s="358" t="s">
        <v>658</v>
      </c>
      <c r="O242" s="359" t="s">
        <v>106</v>
      </c>
      <c r="P242" s="360"/>
      <c r="Q242" s="195"/>
      <c r="R242" s="198" t="s">
        <v>7</v>
      </c>
      <c r="S242" s="103">
        <f t="shared" si="10"/>
        <v>0</v>
      </c>
      <c r="T242" s="83">
        <f t="shared" ca="1" si="11"/>
        <v>0</v>
      </c>
      <c r="U242" s="9" t="str">
        <f t="shared" ca="1" si="12"/>
        <v>SEM VALOR</v>
      </c>
      <c r="V242" s="1">
        <f ca="1">IF(OR($A242=0,$A242="S",$A242&gt;CFF!$A$9),"",MAX(V$12:OFFSET(V242,-1,0))+1)</f>
        <v>44</v>
      </c>
      <c r="W242" s="4" t="b">
        <f t="shared" si="13"/>
        <v>0</v>
      </c>
      <c r="X242" s="1" t="str">
        <f t="shared" ca="1" si="14"/>
        <v>X</v>
      </c>
      <c r="Y242" s="103">
        <v>0</v>
      </c>
      <c r="Z242" s="113">
        <f ca="1">ROUND(IF(ISNUMBER(R242),R242,IF(LEFT(R242,3)="BDI",HLOOKUP(R242,DADOS!$T$37:$X$38,2,FALSE),0)),15-11*$X$5)</f>
        <v>0.25</v>
      </c>
      <c r="AA242" s="1"/>
    </row>
    <row r="243" spans="1:27" ht="26.4" x14ac:dyDescent="0.25">
      <c r="A243" t="str">
        <f t="shared" si="0"/>
        <v>S</v>
      </c>
      <c r="B243">
        <f t="shared" si="1"/>
        <v>0</v>
      </c>
      <c r="C243">
        <f t="shared" ca="1" si="2"/>
        <v>11</v>
      </c>
      <c r="D243">
        <f t="shared" ca="1" si="3"/>
        <v>4</v>
      </c>
      <c r="E243">
        <f t="shared" ca="1" si="4"/>
        <v>0</v>
      </c>
      <c r="F243">
        <f t="shared" ca="1" si="5"/>
        <v>0</v>
      </c>
      <c r="G243">
        <f t="shared" ca="1" si="6"/>
        <v>1</v>
      </c>
      <c r="H243">
        <f t="shared" ca="1" si="34"/>
        <v>0</v>
      </c>
      <c r="I243">
        <f t="shared" ca="1" si="35"/>
        <v>0</v>
      </c>
      <c r="J243" s="356" t="s">
        <v>103</v>
      </c>
      <c r="K243" s="138" t="str">
        <f t="shared" ca="1" si="9"/>
        <v>11.4.0.1.</v>
      </c>
      <c r="L243" s="357" t="s">
        <v>233</v>
      </c>
      <c r="M243" s="357" t="s">
        <v>663</v>
      </c>
      <c r="N243" s="358" t="s">
        <v>1002</v>
      </c>
      <c r="O243" s="359" t="s">
        <v>635</v>
      </c>
      <c r="P243" s="360">
        <f>P204</f>
        <v>221.28</v>
      </c>
      <c r="Q243" s="195"/>
      <c r="R243" s="198" t="s">
        <v>7</v>
      </c>
      <c r="S243" s="103">
        <f t="shared" si="10"/>
        <v>0</v>
      </c>
      <c r="T243" s="83">
        <f t="shared" si="11"/>
        <v>0</v>
      </c>
      <c r="U243" s="9" t="str">
        <f t="shared" si="12"/>
        <v>SEM VALOR</v>
      </c>
      <c r="V243" s="1" t="str">
        <f ca="1">IF(OR($A243=0,$A243="S",$A243&gt;CFF!$A$9),"",MAX(V$12:OFFSET(V243,-1,0))+1)</f>
        <v/>
      </c>
      <c r="W243" s="4" t="str">
        <f t="shared" si="13"/>
        <v>SINAPI-96132</v>
      </c>
      <c r="X243" s="1">
        <f t="shared" ca="1" si="14"/>
        <v>6299</v>
      </c>
      <c r="Y243" s="103">
        <v>25.16</v>
      </c>
      <c r="Z243" s="113">
        <f ca="1">ROUND(IF(ISNUMBER(R243),R243,IF(LEFT(R243,3)="BDI",HLOOKUP(R243,DADOS!$T$37:$X$38,2,FALSE),0)),15-11*$X$5)</f>
        <v>0.25</v>
      </c>
      <c r="AA243" s="1"/>
    </row>
    <row r="244" spans="1:27" x14ac:dyDescent="0.25">
      <c r="A244" t="str">
        <f t="shared" si="0"/>
        <v>S</v>
      </c>
      <c r="B244">
        <f t="shared" si="1"/>
        <v>0</v>
      </c>
      <c r="C244">
        <f t="shared" ca="1" si="2"/>
        <v>11</v>
      </c>
      <c r="D244">
        <f t="shared" ca="1" si="3"/>
        <v>4</v>
      </c>
      <c r="E244">
        <f t="shared" ca="1" si="4"/>
        <v>0</v>
      </c>
      <c r="F244">
        <f t="shared" ca="1" si="5"/>
        <v>0</v>
      </c>
      <c r="G244">
        <f t="shared" ca="1" si="6"/>
        <v>2</v>
      </c>
      <c r="H244">
        <f t="shared" ca="1" si="34"/>
        <v>0</v>
      </c>
      <c r="I244">
        <f t="shared" ca="1" si="35"/>
        <v>0</v>
      </c>
      <c r="J244" s="356" t="s">
        <v>103</v>
      </c>
      <c r="K244" s="138" t="str">
        <f t="shared" ca="1" si="9"/>
        <v>11.4.0.2.</v>
      </c>
      <c r="L244" s="357" t="s">
        <v>233</v>
      </c>
      <c r="M244" s="357" t="s">
        <v>358</v>
      </c>
      <c r="N244" s="358" t="s">
        <v>1003</v>
      </c>
      <c r="O244" s="359" t="s">
        <v>635</v>
      </c>
      <c r="P244" s="360">
        <f>P243</f>
        <v>221.28</v>
      </c>
      <c r="Q244" s="195"/>
      <c r="R244" s="198" t="s">
        <v>7</v>
      </c>
      <c r="S244" s="103">
        <f t="shared" si="10"/>
        <v>0</v>
      </c>
      <c r="T244" s="83">
        <f t="shared" si="11"/>
        <v>0</v>
      </c>
      <c r="U244" s="9" t="str">
        <f t="shared" si="12"/>
        <v>SEM VALOR</v>
      </c>
      <c r="V244" s="1" t="str">
        <f ca="1">IF(OR($A244=0,$A244="S",$A244&gt;CFF!$A$9),"",MAX(V$12:OFFSET(V244,-1,0))+1)</f>
        <v/>
      </c>
      <c r="W244" s="4" t="str">
        <f t="shared" si="13"/>
        <v>SINAPI-88489</v>
      </c>
      <c r="X244" s="1">
        <f t="shared" ca="1" si="14"/>
        <v>6281</v>
      </c>
      <c r="Y244" s="103">
        <v>17.29</v>
      </c>
      <c r="Z244" s="113">
        <f ca="1">ROUND(IF(ISNUMBER(R244),R244,IF(LEFT(R244,3)="BDI",HLOOKUP(R244,DADOS!$T$37:$X$38,2,FALSE),0)),15-11*$X$5)</f>
        <v>0.25</v>
      </c>
      <c r="AA244" s="1"/>
    </row>
    <row r="245" spans="1:27" x14ac:dyDescent="0.25">
      <c r="A245">
        <f t="shared" si="0"/>
        <v>1</v>
      </c>
      <c r="B245">
        <f t="shared" ca="1" si="1"/>
        <v>53</v>
      </c>
      <c r="C245">
        <f t="shared" ca="1" si="2"/>
        <v>12</v>
      </c>
      <c r="D245">
        <f t="shared" ca="1" si="3"/>
        <v>0</v>
      </c>
      <c r="E245">
        <f t="shared" ca="1" si="4"/>
        <v>0</v>
      </c>
      <c r="F245">
        <f t="shared" ca="1" si="5"/>
        <v>0</v>
      </c>
      <c r="G245">
        <f t="shared" ca="1" si="6"/>
        <v>0</v>
      </c>
      <c r="H245">
        <f t="shared" ca="1" si="34"/>
        <v>358</v>
      </c>
      <c r="I245">
        <f t="shared" ca="1" si="35"/>
        <v>53</v>
      </c>
      <c r="J245" s="356" t="s">
        <v>99</v>
      </c>
      <c r="K245" s="138" t="str">
        <f t="shared" ca="1" si="9"/>
        <v>12.</v>
      </c>
      <c r="L245" s="357"/>
      <c r="M245" s="357"/>
      <c r="N245" s="358" t="s">
        <v>364</v>
      </c>
      <c r="O245" s="359" t="s">
        <v>106</v>
      </c>
      <c r="P245" s="360"/>
      <c r="Q245" s="195"/>
      <c r="R245" s="198" t="s">
        <v>7</v>
      </c>
      <c r="S245" s="103">
        <f t="shared" si="10"/>
        <v>0</v>
      </c>
      <c r="T245" s="83">
        <f t="shared" ca="1" si="11"/>
        <v>0</v>
      </c>
      <c r="U245" s="9" t="str">
        <f t="shared" ca="1" si="12"/>
        <v>SEM VALOR</v>
      </c>
      <c r="V245" s="1">
        <f ca="1">IF(OR($A245=0,$A245="S",$A245&gt;CFF!$A$9),"",MAX(V$12:OFFSET(V245,-1,0))+1)</f>
        <v>45</v>
      </c>
      <c r="W245" s="4" t="b">
        <f t="shared" si="13"/>
        <v>0</v>
      </c>
      <c r="X245" s="1" t="str">
        <f t="shared" ca="1" si="14"/>
        <v>X</v>
      </c>
      <c r="Y245" s="103">
        <v>0</v>
      </c>
      <c r="Z245" s="113">
        <f ca="1">ROUND(IF(ISNUMBER(R245),R245,IF(LEFT(R245,3)="BDI",HLOOKUP(R245,DADOS!$T$37:$X$38,2,FALSE),0)),15-11*$X$5)</f>
        <v>0.25</v>
      </c>
      <c r="AA245" s="1"/>
    </row>
    <row r="246" spans="1:27" x14ac:dyDescent="0.25">
      <c r="A246">
        <f>CHOOSE(1+LOG(1+2*(J246="Meta")+4*(J246="Nível 2")+8*(J246="Nível 3")+16*(J246="Nível 4")+32*(J246="Serviço"),2),0,1,2,3,4,"S")</f>
        <v>2</v>
      </c>
      <c r="B246">
        <f ca="1">IF(OR(A246="S",A246=0),0,IF(ISERROR(I246),H246,SMALL(H246:I246,1)))</f>
        <v>43</v>
      </c>
      <c r="C246">
        <f ca="1">IF($A246=1,OFFSET(C246,-1,0)+1,OFFSET(C246,-1,0))</f>
        <v>12</v>
      </c>
      <c r="D246">
        <f ca="1">IF($A246=1,0,IF($A246=2,OFFSET(D246,-1,0)+1,OFFSET(D246,-1,0)))</f>
        <v>1</v>
      </c>
      <c r="E246">
        <f ca="1">IF(AND($A246&lt;=2,$A246&lt;&gt;0),0,IF($A246=3,OFFSET(E246,-1,0)+1,OFFSET(E246,-1,0)))</f>
        <v>0</v>
      </c>
      <c r="F246">
        <f ca="1">IF(AND($A246&lt;=3,$A246&lt;&gt;0),0,IF($A246=4,OFFSET(F246,-1,0)+1,OFFSET(F246,-1,0)))</f>
        <v>0</v>
      </c>
      <c r="G246">
        <f ca="1">IF(AND($A246&lt;=4,$A246&lt;&gt;0),0,IF($A246="S",OFFSET(G246,-1,0)+1,OFFSET(G246,-1,0)))</f>
        <v>0</v>
      </c>
      <c r="H246">
        <f t="shared" ca="1" si="34"/>
        <v>52</v>
      </c>
      <c r="I246">
        <f t="shared" ca="1" si="35"/>
        <v>43</v>
      </c>
      <c r="J246" s="356" t="s">
        <v>100</v>
      </c>
      <c r="K246" s="138" t="str">
        <f ca="1">IF($A246=0,"-",CONCATENATE(C246&amp;".",IF(AND($A$5&gt;=2,$A246&gt;=2),D246&amp;".",""),IF(AND($A$5&gt;=3,$A246&gt;=3),E246&amp;".",""),IF(AND($A$5&gt;=4,$A246&gt;=4),F246&amp;".",""),IF($A246="S",G246&amp;".","")))</f>
        <v>12.1.</v>
      </c>
      <c r="L246" s="357"/>
      <c r="M246" s="357"/>
      <c r="N246" s="358" t="s">
        <v>401</v>
      </c>
      <c r="O246" s="359" t="s">
        <v>106</v>
      </c>
      <c r="P246" s="360"/>
      <c r="Q246" s="195"/>
      <c r="R246" s="198" t="s">
        <v>7</v>
      </c>
      <c r="S246" s="103">
        <f>IF($A246="S",IF($Q$10="Preço Unitário (R$)",PO.CustoUnitario,ROUND(PO.CustoUnitario*(1+$Z246),15-13*$X$6)),0)</f>
        <v>0</v>
      </c>
      <c r="T246" s="83">
        <f ca="1">IF($A246="S",VTOTAL1,IF($A246=0,0,ROUND(SomaAgrup,15-13*$X$7)))</f>
        <v>0</v>
      </c>
      <c r="U246" s="9" t="str">
        <f ca="1">IF($J246="","",IF($N246="","DESCRIÇÃO",IF(AND($J246="Serviço",$O246=""),"UNIDADE",IF($T246&lt;=0,"SEM VALOR",IF(AND($Y246&lt;&gt;"",$Q246&gt;$Y246),"ACIMA REF.","")))))</f>
        <v>SEM VALOR</v>
      </c>
      <c r="V246" s="1">
        <f ca="1">IF(OR($A246=0,$A246="S",$A246&gt;CFF!$A$9),"",MAX(V$12:OFFSET(V246,-1,0))+1)</f>
        <v>46</v>
      </c>
      <c r="W246" s="4" t="b">
        <f>IF(AND($J246="Serviço",$M246&lt;&gt;""),IF($L246="",$M246,CONCATENATE($L246,"-",$M246)))</f>
        <v>0</v>
      </c>
      <c r="X246" s="1" t="str">
        <f ca="1">IF(AND(Fonte&lt;&gt;"",Código&lt;&gt;""),MATCH(Fonte&amp;" "&amp;IF(Fonte="sinapi",SUBSTITUTE(SUBSTITUTE(Código,"/00","/"),"/0","/"),Código),INDIRECT("'[Referência "&amp;_xlnm.Database&amp;".xls]Banco'!$a:$a"),0),"X")</f>
        <v>X</v>
      </c>
      <c r="Y246" s="103">
        <v>0</v>
      </c>
      <c r="Z246" s="113">
        <f ca="1">ROUND(IF(ISNUMBER(R246),R246,IF(LEFT(R246,3)="BDI",HLOOKUP(R246,DADOS!$T$37:$X$38,2,FALSE),0)),15-11*$X$5)</f>
        <v>0.25</v>
      </c>
      <c r="AA246" s="1"/>
    </row>
    <row r="247" spans="1:27" ht="26.4" x14ac:dyDescent="0.25">
      <c r="A247" t="str">
        <f t="shared" si="0"/>
        <v>S</v>
      </c>
      <c r="B247">
        <f t="shared" si="1"/>
        <v>0</v>
      </c>
      <c r="C247">
        <f t="shared" ca="1" si="2"/>
        <v>12</v>
      </c>
      <c r="D247">
        <f t="shared" ca="1" si="3"/>
        <v>1</v>
      </c>
      <c r="E247">
        <f t="shared" ca="1" si="4"/>
        <v>0</v>
      </c>
      <c r="F247">
        <f t="shared" ca="1" si="5"/>
        <v>0</v>
      </c>
      <c r="G247">
        <f t="shared" ca="1" si="6"/>
        <v>1</v>
      </c>
      <c r="H247">
        <f t="shared" ca="1" si="34"/>
        <v>0</v>
      </c>
      <c r="I247">
        <f t="shared" ca="1" si="35"/>
        <v>0</v>
      </c>
      <c r="J247" s="356" t="s">
        <v>103</v>
      </c>
      <c r="K247" s="138" t="str">
        <f t="shared" ca="1" si="9"/>
        <v>12.1.0.1.</v>
      </c>
      <c r="L247" s="357" t="s">
        <v>233</v>
      </c>
      <c r="M247" s="357" t="s">
        <v>365</v>
      </c>
      <c r="N247" s="358" t="s">
        <v>1004</v>
      </c>
      <c r="O247" s="359" t="s">
        <v>590</v>
      </c>
      <c r="P247" s="360">
        <v>27.6</v>
      </c>
      <c r="Q247" s="195"/>
      <c r="R247" s="198" t="s">
        <v>7</v>
      </c>
      <c r="S247" s="103">
        <f t="shared" si="10"/>
        <v>0</v>
      </c>
      <c r="T247" s="83">
        <f t="shared" si="11"/>
        <v>0</v>
      </c>
      <c r="U247" s="9" t="str">
        <f t="shared" si="12"/>
        <v>SEM VALOR</v>
      </c>
      <c r="V247" s="1" t="str">
        <f ca="1">IF(OR($A247=0,$A247="S",$A247&gt;CFF!$A$9),"",MAX(V$12:OFFSET(V247,-1,0))+1)</f>
        <v/>
      </c>
      <c r="W247" s="4" t="str">
        <f t="shared" si="13"/>
        <v>SINAPI-89401</v>
      </c>
      <c r="X247" s="1">
        <f t="shared" ca="1" si="14"/>
        <v>3580</v>
      </c>
      <c r="Y247" s="103">
        <v>14.14</v>
      </c>
      <c r="Z247" s="113">
        <f ca="1">ROUND(IF(ISNUMBER(R247),R247,IF(LEFT(R247,3)="BDI",HLOOKUP(R247,DADOS!$T$37:$X$38,2,FALSE),0)),15-11*$X$5)</f>
        <v>0.25</v>
      </c>
      <c r="AA247" s="1"/>
    </row>
    <row r="248" spans="1:27" ht="26.4" x14ac:dyDescent="0.25">
      <c r="A248" t="str">
        <f t="shared" si="0"/>
        <v>S</v>
      </c>
      <c r="B248">
        <f t="shared" si="1"/>
        <v>0</v>
      </c>
      <c r="C248">
        <f t="shared" ca="1" si="2"/>
        <v>12</v>
      </c>
      <c r="D248">
        <f t="shared" ca="1" si="3"/>
        <v>1</v>
      </c>
      <c r="E248">
        <f t="shared" ca="1" si="4"/>
        <v>0</v>
      </c>
      <c r="F248">
        <f t="shared" ca="1" si="5"/>
        <v>0</v>
      </c>
      <c r="G248">
        <f t="shared" ca="1" si="6"/>
        <v>2</v>
      </c>
      <c r="H248">
        <f t="shared" ca="1" si="34"/>
        <v>0</v>
      </c>
      <c r="I248">
        <f t="shared" ca="1" si="35"/>
        <v>0</v>
      </c>
      <c r="J248" s="356" t="s">
        <v>103</v>
      </c>
      <c r="K248" s="138" t="str">
        <f t="shared" ca="1" si="9"/>
        <v>12.1.0.2.</v>
      </c>
      <c r="L248" s="357" t="s">
        <v>233</v>
      </c>
      <c r="M248" s="357" t="s">
        <v>366</v>
      </c>
      <c r="N248" s="358" t="s">
        <v>1005</v>
      </c>
      <c r="O248" s="359" t="s">
        <v>590</v>
      </c>
      <c r="P248" s="360">
        <v>166.9</v>
      </c>
      <c r="Q248" s="195"/>
      <c r="R248" s="198" t="s">
        <v>7</v>
      </c>
      <c r="S248" s="103">
        <f t="shared" si="10"/>
        <v>0</v>
      </c>
      <c r="T248" s="83">
        <f t="shared" si="11"/>
        <v>0</v>
      </c>
      <c r="U248" s="9" t="str">
        <f t="shared" si="12"/>
        <v>SEM VALOR</v>
      </c>
      <c r="V248" s="1" t="str">
        <f ca="1">IF(OR($A248=0,$A248="S",$A248&gt;CFF!$A$9),"",MAX(V$12:OFFSET(V248,-1,0))+1)</f>
        <v/>
      </c>
      <c r="W248" s="4" t="str">
        <f t="shared" si="13"/>
        <v>SINAPI-89356</v>
      </c>
      <c r="X248" s="1">
        <f t="shared" ca="1" si="14"/>
        <v>3578</v>
      </c>
      <c r="Y248" s="103">
        <v>31.08</v>
      </c>
      <c r="Z248" s="113">
        <f ca="1">ROUND(IF(ISNUMBER(R248),R248,IF(LEFT(R248,3)="BDI",HLOOKUP(R248,DADOS!$T$37:$X$38,2,FALSE),0)),15-11*$X$5)</f>
        <v>0.25</v>
      </c>
      <c r="AA248" s="1"/>
    </row>
    <row r="249" spans="1:27" ht="26.4" x14ac:dyDescent="0.25">
      <c r="A249" t="str">
        <f t="shared" si="0"/>
        <v>S</v>
      </c>
      <c r="B249">
        <f t="shared" si="1"/>
        <v>0</v>
      </c>
      <c r="C249">
        <f t="shared" ca="1" si="2"/>
        <v>12</v>
      </c>
      <c r="D249">
        <f t="shared" ca="1" si="3"/>
        <v>1</v>
      </c>
      <c r="E249">
        <f t="shared" ca="1" si="4"/>
        <v>0</v>
      </c>
      <c r="F249">
        <f t="shared" ca="1" si="5"/>
        <v>0</v>
      </c>
      <c r="G249">
        <f t="shared" ca="1" si="6"/>
        <v>3</v>
      </c>
      <c r="H249">
        <f t="shared" ca="1" si="34"/>
        <v>0</v>
      </c>
      <c r="I249">
        <f t="shared" ca="1" si="35"/>
        <v>0</v>
      </c>
      <c r="J249" s="356" t="s">
        <v>103</v>
      </c>
      <c r="K249" s="138" t="str">
        <f t="shared" ca="1" si="9"/>
        <v>12.1.0.3.</v>
      </c>
      <c r="L249" s="357" t="s">
        <v>233</v>
      </c>
      <c r="M249" s="357" t="s">
        <v>367</v>
      </c>
      <c r="N249" s="358" t="s">
        <v>1006</v>
      </c>
      <c r="O249" s="359" t="s">
        <v>590</v>
      </c>
      <c r="P249" s="360">
        <v>81.05</v>
      </c>
      <c r="Q249" s="195"/>
      <c r="R249" s="198" t="s">
        <v>7</v>
      </c>
      <c r="S249" s="103">
        <f t="shared" si="10"/>
        <v>0</v>
      </c>
      <c r="T249" s="83">
        <f t="shared" si="11"/>
        <v>0</v>
      </c>
      <c r="U249" s="9" t="str">
        <f t="shared" si="12"/>
        <v>SEM VALOR</v>
      </c>
      <c r="V249" s="1" t="str">
        <f ca="1">IF(OR($A249=0,$A249="S",$A249&gt;CFF!$A$9),"",MAX(V$12:OFFSET(V249,-1,0))+1)</f>
        <v/>
      </c>
      <c r="W249" s="4" t="str">
        <f t="shared" si="13"/>
        <v>SINAPI-103979</v>
      </c>
      <c r="X249" s="1">
        <f t="shared" ca="1" si="14"/>
        <v>3808</v>
      </c>
      <c r="Y249" s="103">
        <v>38.880000000000003</v>
      </c>
      <c r="Z249" s="113">
        <f ca="1">ROUND(IF(ISNUMBER(R249),R249,IF(LEFT(R249,3)="BDI",HLOOKUP(R249,DADOS!$T$37:$X$38,2,FALSE),0)),15-11*$X$5)</f>
        <v>0.25</v>
      </c>
      <c r="AA249" s="1"/>
    </row>
    <row r="250" spans="1:27" ht="26.4" x14ac:dyDescent="0.25">
      <c r="A250" t="str">
        <f t="shared" si="0"/>
        <v>S</v>
      </c>
      <c r="B250">
        <f t="shared" si="1"/>
        <v>0</v>
      </c>
      <c r="C250">
        <f t="shared" ca="1" si="2"/>
        <v>12</v>
      </c>
      <c r="D250">
        <f t="shared" ca="1" si="3"/>
        <v>1</v>
      </c>
      <c r="E250">
        <f t="shared" ca="1" si="4"/>
        <v>0</v>
      </c>
      <c r="F250">
        <f t="shared" ca="1" si="5"/>
        <v>0</v>
      </c>
      <c r="G250">
        <f t="shared" ca="1" si="6"/>
        <v>4</v>
      </c>
      <c r="H250">
        <f t="shared" ca="1" si="34"/>
        <v>0</v>
      </c>
      <c r="I250">
        <f t="shared" ca="1" si="35"/>
        <v>0</v>
      </c>
      <c r="J250" s="356" t="s">
        <v>103</v>
      </c>
      <c r="K250" s="138" t="str">
        <f t="shared" ca="1" si="9"/>
        <v>12.1.0.4.</v>
      </c>
      <c r="L250" s="357" t="s">
        <v>233</v>
      </c>
      <c r="M250" s="357" t="s">
        <v>368</v>
      </c>
      <c r="N250" s="358" t="s">
        <v>1007</v>
      </c>
      <c r="O250" s="359" t="s">
        <v>590</v>
      </c>
      <c r="P250" s="360">
        <v>11</v>
      </c>
      <c r="Q250" s="195"/>
      <c r="R250" s="198" t="s">
        <v>7</v>
      </c>
      <c r="S250" s="103">
        <f t="shared" si="10"/>
        <v>0</v>
      </c>
      <c r="T250" s="83">
        <f t="shared" si="11"/>
        <v>0</v>
      </c>
      <c r="U250" s="9" t="str">
        <f t="shared" si="12"/>
        <v>SEM VALOR</v>
      </c>
      <c r="V250" s="1" t="str">
        <f ca="1">IF(OR($A250=0,$A250="S",$A250&gt;CFF!$A$9),"",MAX(V$12:OFFSET(V250,-1,0))+1)</f>
        <v/>
      </c>
      <c r="W250" s="4" t="str">
        <f t="shared" si="13"/>
        <v>SINAPI-89450</v>
      </c>
      <c r="X250" s="1">
        <f t="shared" ca="1" si="14"/>
        <v>3587</v>
      </c>
      <c r="Y250" s="103">
        <v>37.39</v>
      </c>
      <c r="Z250" s="113">
        <f ca="1">ROUND(IF(ISNUMBER(R250),R250,IF(LEFT(R250,3)="BDI",HLOOKUP(R250,DADOS!$T$37:$X$38,2,FALSE),0)),15-11*$X$5)</f>
        <v>0.25</v>
      </c>
      <c r="AA250" s="1"/>
    </row>
    <row r="251" spans="1:27" ht="26.4" x14ac:dyDescent="0.25">
      <c r="A251" t="str">
        <f t="shared" si="0"/>
        <v>S</v>
      </c>
      <c r="B251">
        <f t="shared" si="1"/>
        <v>0</v>
      </c>
      <c r="C251">
        <f t="shared" ca="1" si="2"/>
        <v>12</v>
      </c>
      <c r="D251">
        <f t="shared" ca="1" si="3"/>
        <v>1</v>
      </c>
      <c r="E251">
        <f t="shared" ca="1" si="4"/>
        <v>0</v>
      </c>
      <c r="F251">
        <f t="shared" ca="1" si="5"/>
        <v>0</v>
      </c>
      <c r="G251">
        <f t="shared" ca="1" si="6"/>
        <v>5</v>
      </c>
      <c r="H251">
        <f t="shared" ca="1" si="34"/>
        <v>0</v>
      </c>
      <c r="I251">
        <f t="shared" ca="1" si="35"/>
        <v>0</v>
      </c>
      <c r="J251" s="356" t="s">
        <v>103</v>
      </c>
      <c r="K251" s="138" t="str">
        <f t="shared" ca="1" si="9"/>
        <v>12.1.0.5.</v>
      </c>
      <c r="L251" s="357" t="s">
        <v>233</v>
      </c>
      <c r="M251" s="357" t="s">
        <v>369</v>
      </c>
      <c r="N251" s="358" t="s">
        <v>1008</v>
      </c>
      <c r="O251" s="359" t="s">
        <v>590</v>
      </c>
      <c r="P251" s="360">
        <v>134.6</v>
      </c>
      <c r="Q251" s="195"/>
      <c r="R251" s="198" t="s">
        <v>7</v>
      </c>
      <c r="S251" s="103">
        <f t="shared" si="10"/>
        <v>0</v>
      </c>
      <c r="T251" s="83">
        <f t="shared" si="11"/>
        <v>0</v>
      </c>
      <c r="U251" s="9" t="str">
        <f t="shared" si="12"/>
        <v>SEM VALOR</v>
      </c>
      <c r="V251" s="1" t="str">
        <f ca="1">IF(OR($A251=0,$A251="S",$A251&gt;CFF!$A$9),"",MAX(V$12:OFFSET(V251,-1,0))+1)</f>
        <v/>
      </c>
      <c r="W251" s="4" t="str">
        <f t="shared" si="13"/>
        <v>SINAPI-89451</v>
      </c>
      <c r="X251" s="1">
        <f t="shared" ca="1" si="14"/>
        <v>3588</v>
      </c>
      <c r="Y251" s="103">
        <v>60.84</v>
      </c>
      <c r="Z251" s="113">
        <f ca="1">ROUND(IF(ISNUMBER(R251),R251,IF(LEFT(R251,3)="BDI",HLOOKUP(R251,DADOS!$T$37:$X$38,2,FALSE),0)),15-11*$X$5)</f>
        <v>0.25</v>
      </c>
      <c r="AA251" s="1"/>
    </row>
    <row r="252" spans="1:27" ht="26.4" x14ac:dyDescent="0.25">
      <c r="A252" t="str">
        <f t="shared" si="0"/>
        <v>S</v>
      </c>
      <c r="B252">
        <f t="shared" si="1"/>
        <v>0</v>
      </c>
      <c r="C252">
        <f t="shared" ca="1" si="2"/>
        <v>12</v>
      </c>
      <c r="D252">
        <f t="shared" ca="1" si="3"/>
        <v>1</v>
      </c>
      <c r="E252">
        <f t="shared" ca="1" si="4"/>
        <v>0</v>
      </c>
      <c r="F252">
        <f t="shared" ca="1" si="5"/>
        <v>0</v>
      </c>
      <c r="G252">
        <f t="shared" ca="1" si="6"/>
        <v>6</v>
      </c>
      <c r="H252">
        <f t="shared" ca="1" si="34"/>
        <v>0</v>
      </c>
      <c r="I252">
        <f t="shared" ca="1" si="35"/>
        <v>0</v>
      </c>
      <c r="J252" s="356" t="s">
        <v>103</v>
      </c>
      <c r="K252" s="138" t="str">
        <f t="shared" ca="1" si="9"/>
        <v>12.1.0.6.</v>
      </c>
      <c r="L252" s="357" t="s">
        <v>233</v>
      </c>
      <c r="M252" s="357" t="s">
        <v>370</v>
      </c>
      <c r="N252" s="358" t="s">
        <v>1009</v>
      </c>
      <c r="O252" s="359" t="s">
        <v>590</v>
      </c>
      <c r="P252" s="360">
        <v>54.55</v>
      </c>
      <c r="Q252" s="195"/>
      <c r="R252" s="198" t="s">
        <v>7</v>
      </c>
      <c r="S252" s="103">
        <f t="shared" si="10"/>
        <v>0</v>
      </c>
      <c r="T252" s="83">
        <f t="shared" si="11"/>
        <v>0</v>
      </c>
      <c r="U252" s="9" t="str">
        <f t="shared" si="12"/>
        <v>SEM VALOR</v>
      </c>
      <c r="V252" s="1" t="str">
        <f ca="1">IF(OR($A252=0,$A252="S",$A252&gt;CFF!$A$9),"",MAX(V$12:OFFSET(V252,-1,0))+1)</f>
        <v/>
      </c>
      <c r="W252" s="4" t="str">
        <f t="shared" si="13"/>
        <v>SINAPI-89452</v>
      </c>
      <c r="X252" s="1">
        <f t="shared" ca="1" si="14"/>
        <v>3589</v>
      </c>
      <c r="Y252" s="103">
        <v>83.74</v>
      </c>
      <c r="Z252" s="113">
        <f ca="1">ROUND(IF(ISNUMBER(R252),R252,IF(LEFT(R252,3)="BDI",HLOOKUP(R252,DADOS!$T$37:$X$38,2,FALSE),0)),15-11*$X$5)</f>
        <v>0.25</v>
      </c>
      <c r="AA252" s="1"/>
    </row>
    <row r="253" spans="1:27" ht="26.4" x14ac:dyDescent="0.25">
      <c r="A253" t="str">
        <f>CHOOSE(1+LOG(1+2*(J253="Meta")+4*(J253="Nível 2")+8*(J253="Nível 3")+16*(J253="Nível 4")+32*(J253="Serviço"),2),0,1,2,3,4,"S")</f>
        <v>S</v>
      </c>
      <c r="B253">
        <f>IF(OR(A253="S",A253=0),0,IF(ISERROR(I253),H253,SMALL(H253:I253,1)))</f>
        <v>0</v>
      </c>
      <c r="C253">
        <f ca="1">IF($A253=1,OFFSET(C253,-1,0)+1,OFFSET(C253,-1,0))</f>
        <v>12</v>
      </c>
      <c r="D253">
        <f ca="1">IF($A253=1,0,IF($A253=2,OFFSET(D253,-1,0)+1,OFFSET(D253,-1,0)))</f>
        <v>1</v>
      </c>
      <c r="E253">
        <f ca="1">IF(AND($A253&lt;=2,$A253&lt;&gt;0),0,IF($A253=3,OFFSET(E253,-1,0)+1,OFFSET(E253,-1,0)))</f>
        <v>0</v>
      </c>
      <c r="F253">
        <f ca="1">IF(AND($A253&lt;=3,$A253&lt;&gt;0),0,IF($A253=4,OFFSET(F253,-1,0)+1,OFFSET(F253,-1,0)))</f>
        <v>0</v>
      </c>
      <c r="G253">
        <f ca="1">IF(AND($A253&lt;=4,$A253&lt;&gt;0),0,IF($A253="S",OFFSET(G253,-1,0)+1,OFFSET(G253,-1,0)))</f>
        <v>7</v>
      </c>
      <c r="H253">
        <f t="shared" ca="1" si="34"/>
        <v>0</v>
      </c>
      <c r="I253">
        <f t="shared" ca="1" si="35"/>
        <v>0</v>
      </c>
      <c r="J253" s="356" t="s">
        <v>103</v>
      </c>
      <c r="K253" s="138" t="str">
        <f ca="1">IF($A253=0,"-",CONCATENATE(C253&amp;".",IF(AND($A$5&gt;=2,$A253&gt;=2),D253&amp;".",""),IF(AND($A$5&gt;=3,$A253&gt;=3),E253&amp;".",""),IF(AND($A$5&gt;=4,$A253&gt;=4),F253&amp;".",""),IF($A253="S",G253&amp;".","")))</f>
        <v>12.1.0.7.</v>
      </c>
      <c r="L253" s="357" t="s">
        <v>233</v>
      </c>
      <c r="M253" s="357" t="s">
        <v>861</v>
      </c>
      <c r="N253" s="358" t="s">
        <v>867</v>
      </c>
      <c r="O253" s="359" t="s">
        <v>106</v>
      </c>
      <c r="P253" s="360">
        <v>3</v>
      </c>
      <c r="Q253" s="195"/>
      <c r="R253" s="198" t="s">
        <v>7</v>
      </c>
      <c r="S253" s="103">
        <f>IF($A253="S",IF($Q$10="Preço Unitário (R$)",PO.CustoUnitario,ROUND(PO.CustoUnitario*(1+$Z253),15-13*$X$6)),0)</f>
        <v>0</v>
      </c>
      <c r="T253" s="83">
        <f>IF($A253="S",VTOTAL1,IF($A253=0,0,ROUND(SomaAgrup,15-13*$X$7)))</f>
        <v>0</v>
      </c>
      <c r="U253" s="9" t="str">
        <f>IF($J253="","",IF($N253="","DESCRIÇÃO",IF(AND($J253="Serviço",$O253=""),"UNIDADE",IF($T253&lt;=0,"SEM VALOR",IF(AND($Y253&lt;&gt;"",$Q253&gt;$Y253),"ACIMA REF.","")))))</f>
        <v>UNIDADE</v>
      </c>
      <c r="V253" s="1" t="str">
        <f ca="1">IF(OR($A253=0,$A253="S",$A253&gt;CFF!$A$9),"",MAX(V$12:OFFSET(V253,-1,0))+1)</f>
        <v/>
      </c>
      <c r="W253" s="4" t="str">
        <f>IF(AND($J253="Serviço",$M253&lt;&gt;""),IF($L253="",$M253,CONCATENATE($L253,"-",$M253)))</f>
        <v>SINAPI-94771</v>
      </c>
      <c r="X253" s="1" t="e">
        <f ca="1">IF(AND(Fonte&lt;&gt;"",Código&lt;&gt;""),MATCH(Fonte&amp;" "&amp;IF(Fonte="sinapi",SUBSTITUTE(SUBSTITUTE(Código,"/00","/"),"/0","/"),Código),INDIRECT("'[Referência "&amp;_xlnm.Database&amp;".xls]Banco'!$a:$a"),0),"X")</f>
        <v>#N/A</v>
      </c>
      <c r="Y253" s="103">
        <v>56.44</v>
      </c>
      <c r="Z253" s="113">
        <f ca="1">ROUND(IF(ISNUMBER(R253),R253,IF(LEFT(R253,3)="BDI",HLOOKUP(R253,DADOS!$T$37:$X$38,2,FALSE),0)),15-11*$X$5)</f>
        <v>0.25</v>
      </c>
      <c r="AA253" s="1"/>
    </row>
    <row r="254" spans="1:27" ht="26.4" x14ac:dyDescent="0.25">
      <c r="A254" t="str">
        <f t="shared" si="0"/>
        <v>S</v>
      </c>
      <c r="B254">
        <f t="shared" si="1"/>
        <v>0</v>
      </c>
      <c r="C254">
        <f t="shared" ca="1" si="2"/>
        <v>12</v>
      </c>
      <c r="D254">
        <f t="shared" ca="1" si="3"/>
        <v>1</v>
      </c>
      <c r="E254">
        <f t="shared" ca="1" si="4"/>
        <v>0</v>
      </c>
      <c r="F254">
        <f t="shared" ca="1" si="5"/>
        <v>0</v>
      </c>
      <c r="G254">
        <f t="shared" ca="1" si="6"/>
        <v>8</v>
      </c>
      <c r="H254">
        <f t="shared" ca="1" si="34"/>
        <v>0</v>
      </c>
      <c r="I254">
        <f t="shared" ca="1" si="35"/>
        <v>0</v>
      </c>
      <c r="J254" s="356" t="s">
        <v>103</v>
      </c>
      <c r="K254" s="138" t="str">
        <f t="shared" ca="1" si="9"/>
        <v>12.1.0.8.</v>
      </c>
      <c r="L254" s="357" t="s">
        <v>233</v>
      </c>
      <c r="M254" s="357" t="s">
        <v>371</v>
      </c>
      <c r="N254" s="358" t="s">
        <v>1010</v>
      </c>
      <c r="O254" s="359" t="s">
        <v>470</v>
      </c>
      <c r="P254" s="360">
        <v>6</v>
      </c>
      <c r="Q254" s="195"/>
      <c r="R254" s="198" t="s">
        <v>7</v>
      </c>
      <c r="S254" s="103">
        <f t="shared" si="10"/>
        <v>0</v>
      </c>
      <c r="T254" s="83">
        <f t="shared" si="11"/>
        <v>0</v>
      </c>
      <c r="U254" s="9" t="str">
        <f t="shared" si="12"/>
        <v>SEM VALOR</v>
      </c>
      <c r="V254" s="1" t="str">
        <f ca="1">IF(OR($A254=0,$A254="S",$A254&gt;CFF!$A$9),"",MAX(V$12:OFFSET(V254,-1,0))+1)</f>
        <v/>
      </c>
      <c r="W254" s="4" t="str">
        <f t="shared" si="13"/>
        <v>SINAPI-94713</v>
      </c>
      <c r="X254" s="1">
        <f t="shared" ca="1" si="14"/>
        <v>4563</v>
      </c>
      <c r="Y254" s="103">
        <v>300.06</v>
      </c>
      <c r="Z254" s="113">
        <f ca="1">ROUND(IF(ISNUMBER(R254),R254,IF(LEFT(R254,3)="BDI",HLOOKUP(R254,DADOS!$T$37:$X$38,2,FALSE),0)),15-11*$X$5)</f>
        <v>0.25</v>
      </c>
      <c r="AA254" s="1"/>
    </row>
    <row r="255" spans="1:27" ht="26.4" x14ac:dyDescent="0.25">
      <c r="A255" t="str">
        <f t="shared" si="0"/>
        <v>S</v>
      </c>
      <c r="B255">
        <f t="shared" si="1"/>
        <v>0</v>
      </c>
      <c r="C255">
        <f t="shared" ca="1" si="2"/>
        <v>12</v>
      </c>
      <c r="D255">
        <f t="shared" ca="1" si="3"/>
        <v>1</v>
      </c>
      <c r="E255">
        <f t="shared" ca="1" si="4"/>
        <v>0</v>
      </c>
      <c r="F255">
        <f t="shared" ca="1" si="5"/>
        <v>0</v>
      </c>
      <c r="G255">
        <f t="shared" ca="1" si="6"/>
        <v>9</v>
      </c>
      <c r="H255">
        <f t="shared" ca="1" si="34"/>
        <v>0</v>
      </c>
      <c r="I255">
        <f t="shared" ca="1" si="35"/>
        <v>0</v>
      </c>
      <c r="J255" s="356" t="s">
        <v>103</v>
      </c>
      <c r="K255" s="138" t="str">
        <f t="shared" ca="1" si="9"/>
        <v>12.1.0.9.</v>
      </c>
      <c r="L255" s="357" t="s">
        <v>233</v>
      </c>
      <c r="M255" s="357" t="s">
        <v>372</v>
      </c>
      <c r="N255" s="358" t="s">
        <v>1011</v>
      </c>
      <c r="O255" s="359" t="s">
        <v>470</v>
      </c>
      <c r="P255" s="360">
        <v>2</v>
      </c>
      <c r="Q255" s="195"/>
      <c r="R255" s="198" t="s">
        <v>7</v>
      </c>
      <c r="S255" s="103">
        <f t="shared" si="10"/>
        <v>0</v>
      </c>
      <c r="T255" s="83">
        <f t="shared" si="11"/>
        <v>0</v>
      </c>
      <c r="U255" s="9" t="str">
        <f t="shared" si="12"/>
        <v>SEM VALOR</v>
      </c>
      <c r="V255" s="1" t="str">
        <f ca="1">IF(OR($A255=0,$A255="S",$A255&gt;CFF!$A$9),"",MAX(V$12:OFFSET(V255,-1,0))+1)</f>
        <v/>
      </c>
      <c r="W255" s="4" t="str">
        <f t="shared" si="13"/>
        <v>SINAPI-94714</v>
      </c>
      <c r="X255" s="1">
        <f t="shared" ca="1" si="14"/>
        <v>4564</v>
      </c>
      <c r="Y255" s="103">
        <v>421.23</v>
      </c>
      <c r="Z255" s="113">
        <f ca="1">ROUND(IF(ISNUMBER(R255),R255,IF(LEFT(R255,3)="BDI",HLOOKUP(R255,DADOS!$T$37:$X$38,2,FALSE),0)),15-11*$X$5)</f>
        <v>0.25</v>
      </c>
      <c r="AA255" s="1"/>
    </row>
    <row r="256" spans="1:27" ht="26.4" x14ac:dyDescent="0.25">
      <c r="A256" t="str">
        <f t="shared" si="0"/>
        <v>S</v>
      </c>
      <c r="B256">
        <f t="shared" si="1"/>
        <v>0</v>
      </c>
      <c r="C256">
        <f t="shared" ca="1" si="2"/>
        <v>12</v>
      </c>
      <c r="D256">
        <f t="shared" ca="1" si="3"/>
        <v>1</v>
      </c>
      <c r="E256">
        <f t="shared" ca="1" si="4"/>
        <v>0</v>
      </c>
      <c r="F256">
        <f t="shared" ca="1" si="5"/>
        <v>0</v>
      </c>
      <c r="G256">
        <f t="shared" ca="1" si="6"/>
        <v>10</v>
      </c>
      <c r="H256">
        <f t="shared" ca="1" si="34"/>
        <v>0</v>
      </c>
      <c r="I256">
        <f t="shared" ca="1" si="35"/>
        <v>0</v>
      </c>
      <c r="J256" s="356" t="s">
        <v>103</v>
      </c>
      <c r="K256" s="138" t="str">
        <f t="shared" ca="1" si="9"/>
        <v>12.1.0.10.</v>
      </c>
      <c r="L256" s="357" t="s">
        <v>233</v>
      </c>
      <c r="M256" s="357" t="s">
        <v>373</v>
      </c>
      <c r="N256" s="358" t="s">
        <v>1012</v>
      </c>
      <c r="O256" s="359" t="s">
        <v>470</v>
      </c>
      <c r="P256" s="360">
        <v>4</v>
      </c>
      <c r="Q256" s="195"/>
      <c r="R256" s="198" t="s">
        <v>7</v>
      </c>
      <c r="S256" s="103">
        <f t="shared" si="10"/>
        <v>0</v>
      </c>
      <c r="T256" s="83">
        <f t="shared" si="11"/>
        <v>0</v>
      </c>
      <c r="U256" s="9" t="str">
        <f t="shared" si="12"/>
        <v>SEM VALOR</v>
      </c>
      <c r="V256" s="1" t="str">
        <f ca="1">IF(OR($A256=0,$A256="S",$A256&gt;CFF!$A$9),"",MAX(V$12:OFFSET(V256,-1,0))+1)</f>
        <v/>
      </c>
      <c r="W256" s="4" t="str">
        <f t="shared" si="13"/>
        <v>SINAPI-89376</v>
      </c>
      <c r="X256" s="1">
        <f t="shared" ca="1" si="14"/>
        <v>3842</v>
      </c>
      <c r="Y256" s="103">
        <v>7.48</v>
      </c>
      <c r="Z256" s="113">
        <f ca="1">ROUND(IF(ISNUMBER(R256),R256,IF(LEFT(R256,3)="BDI",HLOOKUP(R256,DADOS!$T$37:$X$38,2,FALSE),0)),15-11*$X$5)</f>
        <v>0.25</v>
      </c>
      <c r="AA256" s="1"/>
    </row>
    <row r="257" spans="1:27" ht="26.4" x14ac:dyDescent="0.25">
      <c r="A257" t="str">
        <f t="shared" si="0"/>
        <v>S</v>
      </c>
      <c r="B257">
        <f t="shared" si="1"/>
        <v>0</v>
      </c>
      <c r="C257">
        <f t="shared" ca="1" si="2"/>
        <v>12</v>
      </c>
      <c r="D257">
        <f t="shared" ca="1" si="3"/>
        <v>1</v>
      </c>
      <c r="E257">
        <f t="shared" ca="1" si="4"/>
        <v>0</v>
      </c>
      <c r="F257">
        <f t="shared" ca="1" si="5"/>
        <v>0</v>
      </c>
      <c r="G257">
        <f t="shared" ca="1" si="6"/>
        <v>11</v>
      </c>
      <c r="H257">
        <f t="shared" ca="1" si="34"/>
        <v>0</v>
      </c>
      <c r="I257">
        <f t="shared" ca="1" si="35"/>
        <v>0</v>
      </c>
      <c r="J257" s="356" t="s">
        <v>103</v>
      </c>
      <c r="K257" s="138" t="str">
        <f t="shared" ca="1" si="9"/>
        <v>12.1.0.11.</v>
      </c>
      <c r="L257" s="357" t="s">
        <v>233</v>
      </c>
      <c r="M257" s="357" t="s">
        <v>374</v>
      </c>
      <c r="N257" s="358" t="s">
        <v>1013</v>
      </c>
      <c r="O257" s="359" t="s">
        <v>470</v>
      </c>
      <c r="P257" s="360">
        <v>72</v>
      </c>
      <c r="Q257" s="195"/>
      <c r="R257" s="198" t="s">
        <v>7</v>
      </c>
      <c r="S257" s="103">
        <f t="shared" si="10"/>
        <v>0</v>
      </c>
      <c r="T257" s="83">
        <f t="shared" si="11"/>
        <v>0</v>
      </c>
      <c r="U257" s="9" t="str">
        <f t="shared" si="12"/>
        <v>SEM VALOR</v>
      </c>
      <c r="V257" s="1" t="str">
        <f ca="1">IF(OR($A257=0,$A257="S",$A257&gt;CFF!$A$9),"",MAX(V$12:OFFSET(V257,-1,0))+1)</f>
        <v/>
      </c>
      <c r="W257" s="4" t="str">
        <f t="shared" si="13"/>
        <v>SINAPI-89383</v>
      </c>
      <c r="X257" s="1">
        <f t="shared" ca="1" si="14"/>
        <v>3849</v>
      </c>
      <c r="Y257" s="103">
        <v>8.73</v>
      </c>
      <c r="Z257" s="113">
        <f ca="1">ROUND(IF(ISNUMBER(R257),R257,IF(LEFT(R257,3)="BDI",HLOOKUP(R257,DADOS!$T$37:$X$38,2,FALSE),0)),15-11*$X$5)</f>
        <v>0.25</v>
      </c>
      <c r="AA257" s="1"/>
    </row>
    <row r="258" spans="1:27" ht="26.4" x14ac:dyDescent="0.25">
      <c r="A258" t="str">
        <f t="shared" si="0"/>
        <v>S</v>
      </c>
      <c r="B258">
        <f t="shared" si="1"/>
        <v>0</v>
      </c>
      <c r="C258">
        <f t="shared" ca="1" si="2"/>
        <v>12</v>
      </c>
      <c r="D258">
        <f t="shared" ca="1" si="3"/>
        <v>1</v>
      </c>
      <c r="E258">
        <f t="shared" ca="1" si="4"/>
        <v>0</v>
      </c>
      <c r="F258">
        <f t="shared" ca="1" si="5"/>
        <v>0</v>
      </c>
      <c r="G258">
        <f t="shared" ca="1" si="6"/>
        <v>12</v>
      </c>
      <c r="H258">
        <f t="shared" ca="1" si="34"/>
        <v>0</v>
      </c>
      <c r="I258">
        <f t="shared" ca="1" si="35"/>
        <v>0</v>
      </c>
      <c r="J258" s="356" t="s">
        <v>103</v>
      </c>
      <c r="K258" s="138" t="str">
        <f t="shared" ca="1" si="9"/>
        <v>12.1.0.12.</v>
      </c>
      <c r="L258" s="357" t="s">
        <v>233</v>
      </c>
      <c r="M258" s="357" t="s">
        <v>375</v>
      </c>
      <c r="N258" s="358" t="s">
        <v>1014</v>
      </c>
      <c r="O258" s="359" t="s">
        <v>470</v>
      </c>
      <c r="P258" s="360">
        <v>40</v>
      </c>
      <c r="Q258" s="195"/>
      <c r="R258" s="198" t="s">
        <v>7</v>
      </c>
      <c r="S258" s="103">
        <f t="shared" si="10"/>
        <v>0</v>
      </c>
      <c r="T258" s="83">
        <f t="shared" si="11"/>
        <v>0</v>
      </c>
      <c r="U258" s="9" t="str">
        <f t="shared" si="12"/>
        <v>SEM VALOR</v>
      </c>
      <c r="V258" s="1" t="str">
        <f ca="1">IF(OR($A258=0,$A258="S",$A258&gt;CFF!$A$9),"",MAX(V$12:OFFSET(V258,-1,0))+1)</f>
        <v/>
      </c>
      <c r="W258" s="4" t="str">
        <f t="shared" si="13"/>
        <v>SINAPI-104002</v>
      </c>
      <c r="X258" s="1">
        <f t="shared" ca="1" si="14"/>
        <v>5005</v>
      </c>
      <c r="Y258" s="103">
        <v>22.55</v>
      </c>
      <c r="Z258" s="113">
        <f ca="1">ROUND(IF(ISNUMBER(R258),R258,IF(LEFT(R258,3)="BDI",HLOOKUP(R258,DADOS!$T$37:$X$38,2,FALSE),0)),15-11*$X$5)</f>
        <v>0.25</v>
      </c>
      <c r="AA258" s="1"/>
    </row>
    <row r="259" spans="1:27" ht="26.4" x14ac:dyDescent="0.25">
      <c r="A259" t="str">
        <f t="shared" si="0"/>
        <v>S</v>
      </c>
      <c r="B259">
        <f t="shared" si="1"/>
        <v>0</v>
      </c>
      <c r="C259">
        <f t="shared" ca="1" si="2"/>
        <v>12</v>
      </c>
      <c r="D259">
        <f t="shared" ca="1" si="3"/>
        <v>1</v>
      </c>
      <c r="E259">
        <f t="shared" ca="1" si="4"/>
        <v>0</v>
      </c>
      <c r="F259">
        <f t="shared" ca="1" si="5"/>
        <v>0</v>
      </c>
      <c r="G259">
        <f t="shared" ca="1" si="6"/>
        <v>13</v>
      </c>
      <c r="H259">
        <f t="shared" ca="1" si="34"/>
        <v>0</v>
      </c>
      <c r="I259">
        <f t="shared" ca="1" si="35"/>
        <v>0</v>
      </c>
      <c r="J259" s="356" t="s">
        <v>103</v>
      </c>
      <c r="K259" s="138" t="str">
        <f t="shared" ca="1" si="9"/>
        <v>12.1.0.13.</v>
      </c>
      <c r="L259" s="357" t="s">
        <v>233</v>
      </c>
      <c r="M259" s="357" t="s">
        <v>376</v>
      </c>
      <c r="N259" s="358" t="s">
        <v>1015</v>
      </c>
      <c r="O259" s="359" t="s">
        <v>470</v>
      </c>
      <c r="P259" s="360">
        <v>6</v>
      </c>
      <c r="Q259" s="195"/>
      <c r="R259" s="198" t="s">
        <v>7</v>
      </c>
      <c r="S259" s="103">
        <f t="shared" si="10"/>
        <v>0</v>
      </c>
      <c r="T259" s="83">
        <f t="shared" si="11"/>
        <v>0</v>
      </c>
      <c r="U259" s="9" t="str">
        <f t="shared" si="12"/>
        <v>SEM VALOR</v>
      </c>
      <c r="V259" s="1" t="str">
        <f ca="1">IF(OR($A259=0,$A259="S",$A259&gt;CFF!$A$9),"",MAX(V$12:OFFSET(V259,-1,0))+1)</f>
        <v/>
      </c>
      <c r="W259" s="4" t="str">
        <f t="shared" si="13"/>
        <v>SINAPI-89613</v>
      </c>
      <c r="X259" s="1">
        <f t="shared" ca="1" si="14"/>
        <v>4006</v>
      </c>
      <c r="Y259" s="103">
        <v>38.950000000000003</v>
      </c>
      <c r="Z259" s="113">
        <f ca="1">ROUND(IF(ISNUMBER(R259),R259,IF(LEFT(R259,3)="BDI",HLOOKUP(R259,DADOS!$T$37:$X$38,2,FALSE),0)),15-11*$X$5)</f>
        <v>0.25</v>
      </c>
      <c r="AA259" s="1"/>
    </row>
    <row r="260" spans="1:27" ht="26.4" x14ac:dyDescent="0.25">
      <c r="A260" t="str">
        <f t="shared" si="0"/>
        <v>S</v>
      </c>
      <c r="B260">
        <f t="shared" si="1"/>
        <v>0</v>
      </c>
      <c r="C260">
        <f t="shared" ca="1" si="2"/>
        <v>12</v>
      </c>
      <c r="D260">
        <f t="shared" ca="1" si="3"/>
        <v>1</v>
      </c>
      <c r="E260">
        <f t="shared" ca="1" si="4"/>
        <v>0</v>
      </c>
      <c r="F260">
        <f t="shared" ca="1" si="5"/>
        <v>0</v>
      </c>
      <c r="G260">
        <f t="shared" ca="1" si="6"/>
        <v>14</v>
      </c>
      <c r="H260">
        <f t="shared" ca="1" si="34"/>
        <v>0</v>
      </c>
      <c r="I260">
        <f t="shared" ca="1" si="35"/>
        <v>0</v>
      </c>
      <c r="J260" s="356" t="s">
        <v>103</v>
      </c>
      <c r="K260" s="138" t="str">
        <f t="shared" ca="1" si="9"/>
        <v>12.1.0.14.</v>
      </c>
      <c r="L260" s="357" t="s">
        <v>233</v>
      </c>
      <c r="M260" s="357" t="s">
        <v>377</v>
      </c>
      <c r="N260" s="358" t="s">
        <v>1016</v>
      </c>
      <c r="O260" s="359" t="s">
        <v>470</v>
      </c>
      <c r="P260" s="360">
        <v>2</v>
      </c>
      <c r="Q260" s="195"/>
      <c r="R260" s="198" t="s">
        <v>7</v>
      </c>
      <c r="S260" s="103">
        <f t="shared" si="10"/>
        <v>0</v>
      </c>
      <c r="T260" s="83">
        <f t="shared" si="11"/>
        <v>0</v>
      </c>
      <c r="U260" s="9" t="str">
        <f t="shared" si="12"/>
        <v>SEM VALOR</v>
      </c>
      <c r="V260" s="1" t="str">
        <f ca="1">IF(OR($A260=0,$A260="S",$A260&gt;CFF!$A$9),"",MAX(V$12:OFFSET(V260,-1,0))+1)</f>
        <v/>
      </c>
      <c r="W260" s="4" t="str">
        <f t="shared" si="13"/>
        <v>SINAPI-89616</v>
      </c>
      <c r="X260" s="1">
        <f t="shared" ca="1" si="14"/>
        <v>4009</v>
      </c>
      <c r="Y260" s="103">
        <v>51.95</v>
      </c>
      <c r="Z260" s="113">
        <f ca="1">ROUND(IF(ISNUMBER(R260),R260,IF(LEFT(R260,3)="BDI",HLOOKUP(R260,DADOS!$T$37:$X$38,2,FALSE),0)),15-11*$X$5)</f>
        <v>0.25</v>
      </c>
      <c r="AA260" s="1"/>
    </row>
    <row r="261" spans="1:27" ht="26.4" x14ac:dyDescent="0.25">
      <c r="A261" t="str">
        <f t="shared" si="0"/>
        <v>S</v>
      </c>
      <c r="B261">
        <f t="shared" si="1"/>
        <v>0</v>
      </c>
      <c r="C261">
        <f t="shared" ca="1" si="2"/>
        <v>12</v>
      </c>
      <c r="D261">
        <f t="shared" ca="1" si="3"/>
        <v>1</v>
      </c>
      <c r="E261">
        <f t="shared" ca="1" si="4"/>
        <v>0</v>
      </c>
      <c r="F261">
        <f t="shared" ca="1" si="5"/>
        <v>0</v>
      </c>
      <c r="G261">
        <f t="shared" ca="1" si="6"/>
        <v>15</v>
      </c>
      <c r="H261">
        <f t="shared" ca="1" si="34"/>
        <v>0</v>
      </c>
      <c r="I261">
        <f t="shared" ca="1" si="35"/>
        <v>0</v>
      </c>
      <c r="J261" s="356" t="s">
        <v>103</v>
      </c>
      <c r="K261" s="138" t="str">
        <f t="shared" ca="1" si="9"/>
        <v>12.1.0.15.</v>
      </c>
      <c r="L261" s="357" t="s">
        <v>233</v>
      </c>
      <c r="M261" s="357" t="s">
        <v>378</v>
      </c>
      <c r="N261" s="358" t="s">
        <v>1017</v>
      </c>
      <c r="O261" s="359" t="s">
        <v>470</v>
      </c>
      <c r="P261" s="360">
        <v>6</v>
      </c>
      <c r="Q261" s="195"/>
      <c r="R261" s="198" t="s">
        <v>7</v>
      </c>
      <c r="S261" s="103">
        <f t="shared" si="10"/>
        <v>0</v>
      </c>
      <c r="T261" s="83">
        <f t="shared" si="11"/>
        <v>0</v>
      </c>
      <c r="U261" s="9" t="str">
        <f t="shared" si="12"/>
        <v>SEM VALOR</v>
      </c>
      <c r="V261" s="1" t="str">
        <f ca="1">IF(OR($A261=0,$A261="S",$A261&gt;CFF!$A$9),"",MAX(V$12:OFFSET(V261,-1,0))+1)</f>
        <v/>
      </c>
      <c r="W261" s="4" t="str">
        <f t="shared" si="13"/>
        <v>SINAPI-89605</v>
      </c>
      <c r="X261" s="1">
        <f t="shared" ca="1" si="14"/>
        <v>4001</v>
      </c>
      <c r="Y261" s="103">
        <v>26.43</v>
      </c>
      <c r="Z261" s="113">
        <f ca="1">ROUND(IF(ISNUMBER(R261),R261,IF(LEFT(R261,3)="BDI",HLOOKUP(R261,DADOS!$T$37:$X$38,2,FALSE),0)),15-11*$X$5)</f>
        <v>0.25</v>
      </c>
      <c r="AA261" s="1"/>
    </row>
    <row r="262" spans="1:27" ht="26.4" x14ac:dyDescent="0.25">
      <c r="A262" t="str">
        <f t="shared" si="0"/>
        <v>S</v>
      </c>
      <c r="B262">
        <f t="shared" si="1"/>
        <v>0</v>
      </c>
      <c r="C262">
        <f t="shared" ca="1" si="2"/>
        <v>12</v>
      </c>
      <c r="D262">
        <f t="shared" ca="1" si="3"/>
        <v>1</v>
      </c>
      <c r="E262">
        <f t="shared" ca="1" si="4"/>
        <v>0</v>
      </c>
      <c r="F262">
        <f t="shared" ca="1" si="5"/>
        <v>0</v>
      </c>
      <c r="G262">
        <f t="shared" ca="1" si="6"/>
        <v>16</v>
      </c>
      <c r="H262">
        <f t="shared" ca="1" si="34"/>
        <v>0</v>
      </c>
      <c r="I262">
        <f t="shared" ca="1" si="35"/>
        <v>0</v>
      </c>
      <c r="J262" s="356" t="s">
        <v>103</v>
      </c>
      <c r="K262" s="138" t="str">
        <f t="shared" ca="1" si="9"/>
        <v>12.1.0.16.</v>
      </c>
      <c r="L262" s="357" t="s">
        <v>469</v>
      </c>
      <c r="M262" s="357" t="s">
        <v>776</v>
      </c>
      <c r="N262" s="358" t="s">
        <v>779</v>
      </c>
      <c r="O262" s="359" t="s">
        <v>782</v>
      </c>
      <c r="P262" s="360">
        <v>2</v>
      </c>
      <c r="Q262" s="195"/>
      <c r="R262" s="198" t="s">
        <v>7</v>
      </c>
      <c r="S262" s="103">
        <f t="shared" si="10"/>
        <v>0</v>
      </c>
      <c r="T262" s="83">
        <f t="shared" si="11"/>
        <v>0</v>
      </c>
      <c r="U262" s="9" t="str">
        <f t="shared" si="12"/>
        <v>SEM VALOR</v>
      </c>
      <c r="V262" s="1" t="str">
        <f ca="1">IF(OR($A262=0,$A262="S",$A262&gt;CFF!$A$9),"",MAX(V$12:OFFSET(V262,-1,0))+1)</f>
        <v/>
      </c>
      <c r="W262" s="4" t="str">
        <f t="shared" si="13"/>
        <v>FNDE-FNDE 205</v>
      </c>
      <c r="X262" s="1" t="e">
        <f t="shared" ca="1" si="14"/>
        <v>#N/A</v>
      </c>
      <c r="Y262" s="103">
        <v>18.309999999999999</v>
      </c>
      <c r="Z262" s="113">
        <f ca="1">ROUND(IF(ISNUMBER(R262),R262,IF(LEFT(R262,3)="BDI",HLOOKUP(R262,DADOS!$T$37:$X$38,2,FALSE),0)),15-11*$X$5)</f>
        <v>0.25</v>
      </c>
      <c r="AA262" s="1"/>
    </row>
    <row r="263" spans="1:27" ht="26.4" x14ac:dyDescent="0.25">
      <c r="A263" t="str">
        <f t="shared" si="0"/>
        <v>S</v>
      </c>
      <c r="B263">
        <f t="shared" si="1"/>
        <v>0</v>
      </c>
      <c r="C263">
        <f t="shared" ca="1" si="2"/>
        <v>12</v>
      </c>
      <c r="D263">
        <f t="shared" ca="1" si="3"/>
        <v>1</v>
      </c>
      <c r="E263">
        <f t="shared" ca="1" si="4"/>
        <v>0</v>
      </c>
      <c r="F263">
        <f t="shared" ca="1" si="5"/>
        <v>0</v>
      </c>
      <c r="G263">
        <f t="shared" ca="1" si="6"/>
        <v>17</v>
      </c>
      <c r="H263">
        <f t="shared" ca="1" si="34"/>
        <v>0</v>
      </c>
      <c r="I263">
        <f t="shared" ca="1" si="35"/>
        <v>0</v>
      </c>
      <c r="J263" s="356" t="s">
        <v>103</v>
      </c>
      <c r="K263" s="138" t="str">
        <f t="shared" ca="1" si="9"/>
        <v>12.1.0.17.</v>
      </c>
      <c r="L263" s="357" t="s">
        <v>469</v>
      </c>
      <c r="M263" s="357" t="s">
        <v>777</v>
      </c>
      <c r="N263" s="358" t="s">
        <v>780</v>
      </c>
      <c r="O263" s="359" t="s">
        <v>782</v>
      </c>
      <c r="P263" s="360">
        <v>4</v>
      </c>
      <c r="Q263" s="195"/>
      <c r="R263" s="198" t="s">
        <v>7</v>
      </c>
      <c r="S263" s="103">
        <f t="shared" si="10"/>
        <v>0</v>
      </c>
      <c r="T263" s="83">
        <f t="shared" si="11"/>
        <v>0</v>
      </c>
      <c r="U263" s="9" t="str">
        <f t="shared" si="12"/>
        <v>SEM VALOR</v>
      </c>
      <c r="V263" s="1" t="str">
        <f ca="1">IF(OR($A263=0,$A263="S",$A263&gt;CFF!$A$9),"",MAX(V$12:OFFSET(V263,-1,0))+1)</f>
        <v/>
      </c>
      <c r="W263" s="4" t="str">
        <f t="shared" si="13"/>
        <v>FNDE-FNDE 229</v>
      </c>
      <c r="X263" s="1" t="e">
        <f t="shared" ca="1" si="14"/>
        <v>#N/A</v>
      </c>
      <c r="Y263" s="103">
        <v>18.309999999999999</v>
      </c>
      <c r="Z263" s="113">
        <f ca="1">ROUND(IF(ISNUMBER(R263),R263,IF(LEFT(R263,3)="BDI",HLOOKUP(R263,DADOS!$T$37:$X$38,2,FALSE),0)),15-11*$X$5)</f>
        <v>0.25</v>
      </c>
      <c r="AA263" s="1"/>
    </row>
    <row r="264" spans="1:27" ht="26.4" x14ac:dyDescent="0.25">
      <c r="A264" t="str">
        <f t="shared" si="0"/>
        <v>S</v>
      </c>
      <c r="B264">
        <f t="shared" si="1"/>
        <v>0</v>
      </c>
      <c r="C264">
        <f t="shared" ca="1" si="2"/>
        <v>12</v>
      </c>
      <c r="D264">
        <f t="shared" ca="1" si="3"/>
        <v>1</v>
      </c>
      <c r="E264">
        <f t="shared" ca="1" si="4"/>
        <v>0</v>
      </c>
      <c r="F264">
        <f t="shared" ca="1" si="5"/>
        <v>0</v>
      </c>
      <c r="G264">
        <f t="shared" ca="1" si="6"/>
        <v>18</v>
      </c>
      <c r="H264">
        <f t="shared" ca="1" si="34"/>
        <v>0</v>
      </c>
      <c r="I264">
        <f t="shared" ca="1" si="35"/>
        <v>0</v>
      </c>
      <c r="J264" s="356" t="s">
        <v>103</v>
      </c>
      <c r="K264" s="138" t="str">
        <f t="shared" ca="1" si="9"/>
        <v>12.1.0.18.</v>
      </c>
      <c r="L264" s="357" t="s">
        <v>233</v>
      </c>
      <c r="M264" s="357" t="s">
        <v>379</v>
      </c>
      <c r="N264" s="358" t="s">
        <v>1018</v>
      </c>
      <c r="O264" s="359" t="s">
        <v>470</v>
      </c>
      <c r="P264" s="360">
        <v>30</v>
      </c>
      <c r="Q264" s="195"/>
      <c r="R264" s="198" t="s">
        <v>7</v>
      </c>
      <c r="S264" s="103">
        <f t="shared" si="10"/>
        <v>0</v>
      </c>
      <c r="T264" s="83">
        <f t="shared" si="11"/>
        <v>0</v>
      </c>
      <c r="U264" s="9" t="str">
        <f t="shared" si="12"/>
        <v>SEM VALOR</v>
      </c>
      <c r="V264" s="1" t="str">
        <f ca="1">IF(OR($A264=0,$A264="S",$A264&gt;CFF!$A$9),"",MAX(V$12:OFFSET(V264,-1,0))+1)</f>
        <v/>
      </c>
      <c r="W264" s="4" t="str">
        <f t="shared" si="13"/>
        <v>SINAPI-103998</v>
      </c>
      <c r="X264" s="1">
        <f t="shared" ca="1" si="14"/>
        <v>5001</v>
      </c>
      <c r="Y264" s="103">
        <v>18.86</v>
      </c>
      <c r="Z264" s="113">
        <f ca="1">ROUND(IF(ISNUMBER(R264),R264,IF(LEFT(R264,3)="BDI",HLOOKUP(R264,DADOS!$T$37:$X$38,2,FALSE),0)),15-11*$X$5)</f>
        <v>0.25</v>
      </c>
      <c r="AA264" s="1"/>
    </row>
    <row r="265" spans="1:27" ht="26.4" x14ac:dyDescent="0.25">
      <c r="A265" t="str">
        <f t="shared" si="0"/>
        <v>S</v>
      </c>
      <c r="B265">
        <f t="shared" si="1"/>
        <v>0</v>
      </c>
      <c r="C265">
        <f t="shared" ca="1" si="2"/>
        <v>12</v>
      </c>
      <c r="D265">
        <f t="shared" ca="1" si="3"/>
        <v>1</v>
      </c>
      <c r="E265">
        <f t="shared" ca="1" si="4"/>
        <v>0</v>
      </c>
      <c r="F265">
        <f t="shared" ca="1" si="5"/>
        <v>0</v>
      </c>
      <c r="G265">
        <f t="shared" ca="1" si="6"/>
        <v>19</v>
      </c>
      <c r="H265">
        <f t="shared" ca="1" si="34"/>
        <v>0</v>
      </c>
      <c r="I265">
        <f t="shared" ca="1" si="35"/>
        <v>0</v>
      </c>
      <c r="J265" s="356" t="s">
        <v>103</v>
      </c>
      <c r="K265" s="138" t="str">
        <f t="shared" ca="1" si="9"/>
        <v>12.1.0.19.</v>
      </c>
      <c r="L265" s="357" t="s">
        <v>233</v>
      </c>
      <c r="M265" s="357" t="s">
        <v>380</v>
      </c>
      <c r="N265" s="358" t="s">
        <v>1019</v>
      </c>
      <c r="O265" s="359" t="s">
        <v>470</v>
      </c>
      <c r="P265" s="360">
        <v>1</v>
      </c>
      <c r="Q265" s="195"/>
      <c r="R265" s="198" t="s">
        <v>7</v>
      </c>
      <c r="S265" s="103">
        <f t="shared" si="10"/>
        <v>0</v>
      </c>
      <c r="T265" s="83">
        <f t="shared" si="11"/>
        <v>0</v>
      </c>
      <c r="U265" s="9" t="str">
        <f t="shared" si="12"/>
        <v>SEM VALOR</v>
      </c>
      <c r="V265" s="1" t="str">
        <f ca="1">IF(OR($A265=0,$A265="S",$A265&gt;CFF!$A$9),"",MAX(V$12:OFFSET(V265,-1,0))+1)</f>
        <v/>
      </c>
      <c r="W265" s="4" t="str">
        <f t="shared" si="13"/>
        <v>SINAPI-103969</v>
      </c>
      <c r="X265" s="1">
        <f t="shared" ca="1" si="14"/>
        <v>4978</v>
      </c>
      <c r="Y265" s="103">
        <v>25.19</v>
      </c>
      <c r="Z265" s="113">
        <f ca="1">ROUND(IF(ISNUMBER(R265),R265,IF(LEFT(R265,3)="BDI",HLOOKUP(R265,DADOS!$T$37:$X$38,2,FALSE),0)),15-11*$X$5)</f>
        <v>0.25</v>
      </c>
      <c r="AA265" s="1"/>
    </row>
    <row r="266" spans="1:27" ht="26.4" x14ac:dyDescent="0.25">
      <c r="A266" t="str">
        <f t="shared" si="0"/>
        <v>S</v>
      </c>
      <c r="B266">
        <f t="shared" si="1"/>
        <v>0</v>
      </c>
      <c r="C266">
        <f t="shared" ca="1" si="2"/>
        <v>12</v>
      </c>
      <c r="D266">
        <f t="shared" ca="1" si="3"/>
        <v>1</v>
      </c>
      <c r="E266">
        <f t="shared" ca="1" si="4"/>
        <v>0</v>
      </c>
      <c r="F266">
        <f t="shared" ca="1" si="5"/>
        <v>0</v>
      </c>
      <c r="G266">
        <f t="shared" ca="1" si="6"/>
        <v>20</v>
      </c>
      <c r="H266">
        <f t="shared" ca="1" si="34"/>
        <v>0</v>
      </c>
      <c r="I266">
        <f t="shared" ca="1" si="35"/>
        <v>0</v>
      </c>
      <c r="J266" s="356" t="s">
        <v>103</v>
      </c>
      <c r="K266" s="138" t="str">
        <f t="shared" ca="1" si="9"/>
        <v>12.1.0.20.</v>
      </c>
      <c r="L266" s="357" t="s">
        <v>233</v>
      </c>
      <c r="M266" s="357" t="s">
        <v>381</v>
      </c>
      <c r="N266" s="358" t="s">
        <v>1020</v>
      </c>
      <c r="O266" s="359" t="s">
        <v>470</v>
      </c>
      <c r="P266" s="360">
        <v>5</v>
      </c>
      <c r="Q266" s="195"/>
      <c r="R266" s="198" t="s">
        <v>7</v>
      </c>
      <c r="S266" s="103">
        <f t="shared" si="10"/>
        <v>0</v>
      </c>
      <c r="T266" s="83">
        <f t="shared" si="11"/>
        <v>0</v>
      </c>
      <c r="U266" s="9" t="str">
        <f t="shared" si="12"/>
        <v>SEM VALOR</v>
      </c>
      <c r="V266" s="1" t="str">
        <f ca="1">IF(OR($A266=0,$A266="S",$A266&gt;CFF!$A$9),"",MAX(V$12:OFFSET(V266,-1,0))+1)</f>
        <v/>
      </c>
      <c r="W266" s="4" t="str">
        <f t="shared" si="13"/>
        <v>SINAPI-103972</v>
      </c>
      <c r="X266" s="1">
        <f t="shared" ca="1" si="14"/>
        <v>4980</v>
      </c>
      <c r="Y266" s="103">
        <v>37.049999999999997</v>
      </c>
      <c r="Z266" s="113">
        <f ca="1">ROUND(IF(ISNUMBER(R266),R266,IF(LEFT(R266,3)="BDI",HLOOKUP(R266,DADOS!$T$37:$X$38,2,FALSE),0)),15-11*$X$5)</f>
        <v>0.25</v>
      </c>
      <c r="AA266" s="1"/>
    </row>
    <row r="267" spans="1:27" ht="26.4" x14ac:dyDescent="0.25">
      <c r="A267" t="str">
        <f t="shared" si="0"/>
        <v>S</v>
      </c>
      <c r="B267">
        <f t="shared" si="1"/>
        <v>0</v>
      </c>
      <c r="C267">
        <f t="shared" ca="1" si="2"/>
        <v>12</v>
      </c>
      <c r="D267">
        <f t="shared" ca="1" si="3"/>
        <v>1</v>
      </c>
      <c r="E267">
        <f t="shared" ca="1" si="4"/>
        <v>0</v>
      </c>
      <c r="F267">
        <f t="shared" ca="1" si="5"/>
        <v>0</v>
      </c>
      <c r="G267">
        <f t="shared" ca="1" si="6"/>
        <v>21</v>
      </c>
      <c r="H267">
        <f t="shared" ca="1" si="34"/>
        <v>0</v>
      </c>
      <c r="I267">
        <f t="shared" ca="1" si="35"/>
        <v>0</v>
      </c>
      <c r="J267" s="356" t="s">
        <v>103</v>
      </c>
      <c r="K267" s="138" t="str">
        <f t="shared" ca="1" si="9"/>
        <v>12.1.0.21.</v>
      </c>
      <c r="L267" s="357" t="s">
        <v>233</v>
      </c>
      <c r="M267" s="357" t="s">
        <v>382</v>
      </c>
      <c r="N267" s="358" t="s">
        <v>1021</v>
      </c>
      <c r="O267" s="359" t="s">
        <v>470</v>
      </c>
      <c r="P267" s="360">
        <v>3</v>
      </c>
      <c r="Q267" s="195"/>
      <c r="R267" s="198" t="s">
        <v>7</v>
      </c>
      <c r="S267" s="103">
        <f t="shared" si="10"/>
        <v>0</v>
      </c>
      <c r="T267" s="83">
        <f t="shared" si="11"/>
        <v>0</v>
      </c>
      <c r="U267" s="9" t="str">
        <f t="shared" si="12"/>
        <v>SEM VALOR</v>
      </c>
      <c r="V267" s="1" t="str">
        <f ca="1">IF(OR($A267=0,$A267="S",$A267&gt;CFF!$A$9),"",MAX(V$12:OFFSET(V267,-1,0))+1)</f>
        <v/>
      </c>
      <c r="W267" s="4" t="str">
        <f t="shared" si="13"/>
        <v>SINAPI-89485</v>
      </c>
      <c r="X267" s="1">
        <f t="shared" ca="1" si="14"/>
        <v>3906</v>
      </c>
      <c r="Y267" s="103">
        <v>8.08</v>
      </c>
      <c r="Z267" s="113">
        <f ca="1">ROUND(IF(ISNUMBER(R267),R267,IF(LEFT(R267,3)="BDI",HLOOKUP(R267,DADOS!$T$37:$X$38,2,FALSE),0)),15-11*$X$5)</f>
        <v>0.25</v>
      </c>
      <c r="AA267" s="1"/>
    </row>
    <row r="268" spans="1:27" ht="26.4" x14ac:dyDescent="0.25">
      <c r="A268" t="str">
        <f t="shared" si="0"/>
        <v>S</v>
      </c>
      <c r="B268">
        <f t="shared" si="1"/>
        <v>0</v>
      </c>
      <c r="C268">
        <f t="shared" ca="1" si="2"/>
        <v>12</v>
      </c>
      <c r="D268">
        <f t="shared" ca="1" si="3"/>
        <v>1</v>
      </c>
      <c r="E268">
        <f t="shared" ca="1" si="4"/>
        <v>0</v>
      </c>
      <c r="F268">
        <f t="shared" ca="1" si="5"/>
        <v>0</v>
      </c>
      <c r="G268">
        <f t="shared" ca="1" si="6"/>
        <v>22</v>
      </c>
      <c r="H268">
        <f t="shared" ca="1" si="34"/>
        <v>0</v>
      </c>
      <c r="I268">
        <f t="shared" ca="1" si="35"/>
        <v>0</v>
      </c>
      <c r="J268" s="356" t="s">
        <v>103</v>
      </c>
      <c r="K268" s="138" t="str">
        <f t="shared" ca="1" si="9"/>
        <v>12.1.0.22.</v>
      </c>
      <c r="L268" s="357" t="s">
        <v>233</v>
      </c>
      <c r="M268" s="357" t="s">
        <v>383</v>
      </c>
      <c r="N268" s="358" t="s">
        <v>1022</v>
      </c>
      <c r="O268" s="359" t="s">
        <v>470</v>
      </c>
      <c r="P268" s="360">
        <v>2</v>
      </c>
      <c r="Q268" s="195"/>
      <c r="R268" s="198" t="s">
        <v>7</v>
      </c>
      <c r="S268" s="103">
        <f t="shared" si="10"/>
        <v>0</v>
      </c>
      <c r="T268" s="83">
        <f t="shared" si="11"/>
        <v>0</v>
      </c>
      <c r="U268" s="9" t="str">
        <f t="shared" si="12"/>
        <v>SEM VALOR</v>
      </c>
      <c r="V268" s="1" t="str">
        <f ca="1">IF(OR($A268=0,$A268="S",$A268&gt;CFF!$A$9),"",MAX(V$12:OFFSET(V268,-1,0))+1)</f>
        <v/>
      </c>
      <c r="W268" s="4" t="str">
        <f t="shared" si="13"/>
        <v>SINAPI-89502</v>
      </c>
      <c r="X268" s="1">
        <f t="shared" ca="1" si="14"/>
        <v>3918</v>
      </c>
      <c r="Y268" s="103">
        <v>21.9</v>
      </c>
      <c r="Z268" s="113">
        <f ca="1">ROUND(IF(ISNUMBER(R268),R268,IF(LEFT(R268,3)="BDI",HLOOKUP(R268,DADOS!$T$37:$X$38,2,FALSE),0)),15-11*$X$5)</f>
        <v>0.25</v>
      </c>
      <c r="AA268" s="1"/>
    </row>
    <row r="269" spans="1:27" ht="26.4" x14ac:dyDescent="0.25">
      <c r="A269" t="str">
        <f t="shared" si="0"/>
        <v>S</v>
      </c>
      <c r="B269">
        <f t="shared" si="1"/>
        <v>0</v>
      </c>
      <c r="C269">
        <f t="shared" ca="1" si="2"/>
        <v>12</v>
      </c>
      <c r="D269">
        <f t="shared" ca="1" si="3"/>
        <v>1</v>
      </c>
      <c r="E269">
        <f t="shared" ca="1" si="4"/>
        <v>0</v>
      </c>
      <c r="F269">
        <f t="shared" ca="1" si="5"/>
        <v>0</v>
      </c>
      <c r="G269">
        <f t="shared" ca="1" si="6"/>
        <v>23</v>
      </c>
      <c r="H269">
        <f t="shared" ref="H269:H332" ca="1" si="36">IF(OR($A269="S",$A269=0),0,MATCH(0,OFFSET($B269,1,$A269,ROW($A$603)-ROW($A269)),0))</f>
        <v>0</v>
      </c>
      <c r="I269">
        <f t="shared" ref="I269:I332" ca="1" si="37">IF(OR($A269="S",$A269=0),0,MATCH(OFFSET($B269,0,$A269)+1,OFFSET($B269,1,$A269,ROW($A$603)-ROW($A269)),0))</f>
        <v>0</v>
      </c>
      <c r="J269" s="356" t="s">
        <v>103</v>
      </c>
      <c r="K269" s="138" t="str">
        <f t="shared" ca="1" si="9"/>
        <v>12.1.0.23.</v>
      </c>
      <c r="L269" s="357" t="s">
        <v>233</v>
      </c>
      <c r="M269" s="357" t="s">
        <v>384</v>
      </c>
      <c r="N269" s="358" t="s">
        <v>1023</v>
      </c>
      <c r="O269" s="359" t="s">
        <v>470</v>
      </c>
      <c r="P269" s="360">
        <v>8</v>
      </c>
      <c r="Q269" s="195"/>
      <c r="R269" s="198" t="s">
        <v>7</v>
      </c>
      <c r="S269" s="103">
        <f t="shared" si="10"/>
        <v>0</v>
      </c>
      <c r="T269" s="83">
        <f t="shared" si="11"/>
        <v>0</v>
      </c>
      <c r="U269" s="9" t="str">
        <f t="shared" si="12"/>
        <v>SEM VALOR</v>
      </c>
      <c r="V269" s="1" t="str">
        <f ca="1">IF(OR($A269=0,$A269="S",$A269&gt;CFF!$A$9),"",MAX(V$12:OFFSET(V269,-1,0))+1)</f>
        <v/>
      </c>
      <c r="W269" s="4" t="str">
        <f t="shared" si="13"/>
        <v>SINAPI-89515</v>
      </c>
      <c r="X269" s="1">
        <f t="shared" ca="1" si="14"/>
        <v>3927</v>
      </c>
      <c r="Y269" s="103">
        <v>104.68</v>
      </c>
      <c r="Z269" s="113">
        <f ca="1">ROUND(IF(ISNUMBER(R269),R269,IF(LEFT(R269,3)="BDI",HLOOKUP(R269,DADOS!$T$37:$X$38,2,FALSE),0)),15-11*$X$5)</f>
        <v>0.25</v>
      </c>
      <c r="AA269" s="1"/>
    </row>
    <row r="270" spans="1:27" ht="26.4" x14ac:dyDescent="0.25">
      <c r="A270" t="str">
        <f t="shared" si="0"/>
        <v>S</v>
      </c>
      <c r="B270">
        <f t="shared" si="1"/>
        <v>0</v>
      </c>
      <c r="C270">
        <f t="shared" ca="1" si="2"/>
        <v>12</v>
      </c>
      <c r="D270">
        <f t="shared" ca="1" si="3"/>
        <v>1</v>
      </c>
      <c r="E270">
        <f t="shared" ca="1" si="4"/>
        <v>0</v>
      </c>
      <c r="F270">
        <f t="shared" ca="1" si="5"/>
        <v>0</v>
      </c>
      <c r="G270">
        <f t="shared" ca="1" si="6"/>
        <v>24</v>
      </c>
      <c r="H270">
        <f t="shared" ca="1" si="36"/>
        <v>0</v>
      </c>
      <c r="I270">
        <f t="shared" ca="1" si="37"/>
        <v>0</v>
      </c>
      <c r="J270" s="356" t="s">
        <v>103</v>
      </c>
      <c r="K270" s="138" t="str">
        <f t="shared" ca="1" si="9"/>
        <v>12.1.0.24.</v>
      </c>
      <c r="L270" s="357" t="s">
        <v>233</v>
      </c>
      <c r="M270" s="357" t="s">
        <v>385</v>
      </c>
      <c r="N270" s="358" t="s">
        <v>1024</v>
      </c>
      <c r="O270" s="359" t="s">
        <v>470</v>
      </c>
      <c r="P270" s="360">
        <v>2</v>
      </c>
      <c r="Q270" s="195"/>
      <c r="R270" s="198" t="s">
        <v>7</v>
      </c>
      <c r="S270" s="103">
        <f t="shared" si="10"/>
        <v>0</v>
      </c>
      <c r="T270" s="83">
        <f t="shared" si="11"/>
        <v>0</v>
      </c>
      <c r="U270" s="9" t="str">
        <f t="shared" si="12"/>
        <v>SEM VALOR</v>
      </c>
      <c r="V270" s="1" t="str">
        <f ca="1">IF(OR($A270=0,$A270="S",$A270&gt;CFF!$A$9),"",MAX(V$12:OFFSET(V270,-1,0))+1)</f>
        <v/>
      </c>
      <c r="W270" s="4" t="str">
        <f t="shared" si="13"/>
        <v>SINAPI-89523</v>
      </c>
      <c r="X270" s="1">
        <f t="shared" ca="1" si="14"/>
        <v>3935</v>
      </c>
      <c r="Y270" s="103">
        <v>127.94</v>
      </c>
      <c r="Z270" s="113">
        <f ca="1">ROUND(IF(ISNUMBER(R270),R270,IF(LEFT(R270,3)="BDI",HLOOKUP(R270,DADOS!$T$37:$X$38,2,FALSE),0)),15-11*$X$5)</f>
        <v>0.25</v>
      </c>
      <c r="AA270" s="1"/>
    </row>
    <row r="271" spans="1:27" ht="26.4" x14ac:dyDescent="0.25">
      <c r="A271" t="str">
        <f t="shared" si="0"/>
        <v>S</v>
      </c>
      <c r="B271">
        <f t="shared" si="1"/>
        <v>0</v>
      </c>
      <c r="C271">
        <f t="shared" ca="1" si="2"/>
        <v>12</v>
      </c>
      <c r="D271">
        <f t="shared" ca="1" si="3"/>
        <v>1</v>
      </c>
      <c r="E271">
        <f t="shared" ca="1" si="4"/>
        <v>0</v>
      </c>
      <c r="F271">
        <f t="shared" ca="1" si="5"/>
        <v>0</v>
      </c>
      <c r="G271">
        <f t="shared" ca="1" si="6"/>
        <v>25</v>
      </c>
      <c r="H271">
        <f t="shared" ca="1" si="36"/>
        <v>0</v>
      </c>
      <c r="I271">
        <f t="shared" ca="1" si="37"/>
        <v>0</v>
      </c>
      <c r="J271" s="356" t="s">
        <v>103</v>
      </c>
      <c r="K271" s="138" t="str">
        <f t="shared" ca="1" si="9"/>
        <v>12.1.0.25.</v>
      </c>
      <c r="L271" s="357" t="s">
        <v>233</v>
      </c>
      <c r="M271" s="357" t="s">
        <v>386</v>
      </c>
      <c r="N271" s="358" t="s">
        <v>1025</v>
      </c>
      <c r="O271" s="359" t="s">
        <v>470</v>
      </c>
      <c r="P271" s="360">
        <v>4</v>
      </c>
      <c r="Q271" s="195"/>
      <c r="R271" s="198" t="s">
        <v>7</v>
      </c>
      <c r="S271" s="103">
        <f t="shared" si="10"/>
        <v>0</v>
      </c>
      <c r="T271" s="83">
        <f t="shared" si="11"/>
        <v>0</v>
      </c>
      <c r="U271" s="9" t="str">
        <f t="shared" si="12"/>
        <v>SEM VALOR</v>
      </c>
      <c r="V271" s="1" t="str">
        <f ca="1">IF(OR($A271=0,$A271="S",$A271&gt;CFF!$A$9),"",MAX(V$12:OFFSET(V271,-1,0))+1)</f>
        <v/>
      </c>
      <c r="W271" s="4" t="str">
        <f t="shared" si="13"/>
        <v>SINAPI-89358</v>
      </c>
      <c r="X271" s="1">
        <f t="shared" ca="1" si="14"/>
        <v>3824</v>
      </c>
      <c r="Y271" s="103">
        <v>10.54</v>
      </c>
      <c r="Z271" s="113">
        <f ca="1">ROUND(IF(ISNUMBER(R271),R271,IF(LEFT(R271,3)="BDI",HLOOKUP(R271,DADOS!$T$37:$X$38,2,FALSE),0)),15-11*$X$5)</f>
        <v>0.25</v>
      </c>
      <c r="AA271" s="1"/>
    </row>
    <row r="272" spans="1:27" ht="26.4" x14ac:dyDescent="0.25">
      <c r="A272" t="str">
        <f t="shared" si="0"/>
        <v>S</v>
      </c>
      <c r="B272">
        <f t="shared" si="1"/>
        <v>0</v>
      </c>
      <c r="C272">
        <f t="shared" ca="1" si="2"/>
        <v>12</v>
      </c>
      <c r="D272">
        <f t="shared" ca="1" si="3"/>
        <v>1</v>
      </c>
      <c r="E272">
        <f t="shared" ca="1" si="4"/>
        <v>0</v>
      </c>
      <c r="F272">
        <f t="shared" ca="1" si="5"/>
        <v>0</v>
      </c>
      <c r="G272">
        <f t="shared" ca="1" si="6"/>
        <v>26</v>
      </c>
      <c r="H272">
        <f t="shared" ca="1" si="36"/>
        <v>0</v>
      </c>
      <c r="I272">
        <f t="shared" ca="1" si="37"/>
        <v>0</v>
      </c>
      <c r="J272" s="356" t="s">
        <v>103</v>
      </c>
      <c r="K272" s="138" t="str">
        <f t="shared" ca="1" si="9"/>
        <v>12.1.0.26.</v>
      </c>
      <c r="L272" s="357" t="s">
        <v>233</v>
      </c>
      <c r="M272" s="357" t="s">
        <v>386</v>
      </c>
      <c r="N272" s="358" t="s">
        <v>1025</v>
      </c>
      <c r="O272" s="359" t="s">
        <v>470</v>
      </c>
      <c r="P272" s="360">
        <v>4</v>
      </c>
      <c r="Q272" s="195"/>
      <c r="R272" s="198" t="s">
        <v>7</v>
      </c>
      <c r="S272" s="103">
        <f t="shared" si="10"/>
        <v>0</v>
      </c>
      <c r="T272" s="83">
        <f t="shared" si="11"/>
        <v>0</v>
      </c>
      <c r="U272" s="9" t="str">
        <f t="shared" si="12"/>
        <v>SEM VALOR</v>
      </c>
      <c r="V272" s="1" t="str">
        <f ca="1">IF(OR($A272=0,$A272="S",$A272&gt;CFF!$A$9),"",MAX(V$12:OFFSET(V272,-1,0))+1)</f>
        <v/>
      </c>
      <c r="W272" s="4" t="str">
        <f t="shared" si="13"/>
        <v>SINAPI-89358</v>
      </c>
      <c r="X272" s="1">
        <f t="shared" ca="1" si="14"/>
        <v>3824</v>
      </c>
      <c r="Y272" s="103">
        <v>10.54</v>
      </c>
      <c r="Z272" s="113">
        <f ca="1">ROUND(IF(ISNUMBER(R272),R272,IF(LEFT(R272,3)="BDI",HLOOKUP(R272,DADOS!$T$37:$X$38,2,FALSE),0)),15-11*$X$5)</f>
        <v>0.25</v>
      </c>
      <c r="AA272" s="1"/>
    </row>
    <row r="273" spans="1:27" ht="26.4" x14ac:dyDescent="0.25">
      <c r="A273" t="str">
        <f t="shared" si="0"/>
        <v>S</v>
      </c>
      <c r="B273">
        <f t="shared" si="1"/>
        <v>0</v>
      </c>
      <c r="C273">
        <f t="shared" ca="1" si="2"/>
        <v>12</v>
      </c>
      <c r="D273">
        <f t="shared" ca="1" si="3"/>
        <v>1</v>
      </c>
      <c r="E273">
        <f t="shared" ca="1" si="4"/>
        <v>0</v>
      </c>
      <c r="F273">
        <f t="shared" ca="1" si="5"/>
        <v>0</v>
      </c>
      <c r="G273">
        <f t="shared" ca="1" si="6"/>
        <v>27</v>
      </c>
      <c r="H273">
        <f t="shared" ca="1" si="36"/>
        <v>0</v>
      </c>
      <c r="I273">
        <f t="shared" ca="1" si="37"/>
        <v>0</v>
      </c>
      <c r="J273" s="356" t="s">
        <v>103</v>
      </c>
      <c r="K273" s="138" t="str">
        <f t="shared" ca="1" si="9"/>
        <v>12.1.0.27.</v>
      </c>
      <c r="L273" s="357" t="s">
        <v>233</v>
      </c>
      <c r="M273" s="357" t="s">
        <v>387</v>
      </c>
      <c r="N273" s="358" t="s">
        <v>1026</v>
      </c>
      <c r="O273" s="359" t="s">
        <v>470</v>
      </c>
      <c r="P273" s="360">
        <v>28</v>
      </c>
      <c r="Q273" s="195"/>
      <c r="R273" s="198" t="s">
        <v>7</v>
      </c>
      <c r="S273" s="103">
        <f t="shared" si="10"/>
        <v>0</v>
      </c>
      <c r="T273" s="83">
        <f t="shared" si="11"/>
        <v>0</v>
      </c>
      <c r="U273" s="9" t="str">
        <f t="shared" si="12"/>
        <v>SEM VALOR</v>
      </c>
      <c r="V273" s="1" t="str">
        <f ca="1">IF(OR($A273=0,$A273="S",$A273&gt;CFF!$A$9),"",MAX(V$12:OFFSET(V273,-1,0))+1)</f>
        <v/>
      </c>
      <c r="W273" s="4" t="str">
        <f t="shared" si="13"/>
        <v>SINAPI-89501</v>
      </c>
      <c r="X273" s="1">
        <f t="shared" ca="1" si="14"/>
        <v>3917</v>
      </c>
      <c r="Y273" s="103">
        <v>18.66</v>
      </c>
      <c r="Z273" s="113">
        <f ca="1">ROUND(IF(ISNUMBER(R273),R273,IF(LEFT(R273,3)="BDI",HLOOKUP(R273,DADOS!$T$37:$X$38,2,FALSE),0)),15-11*$X$5)</f>
        <v>0.25</v>
      </c>
      <c r="AA273" s="1"/>
    </row>
    <row r="274" spans="1:27" ht="26.4" x14ac:dyDescent="0.25">
      <c r="A274" t="str">
        <f t="shared" si="0"/>
        <v>S</v>
      </c>
      <c r="B274">
        <f t="shared" si="1"/>
        <v>0</v>
      </c>
      <c r="C274">
        <f t="shared" ca="1" si="2"/>
        <v>12</v>
      </c>
      <c r="D274">
        <f t="shared" ca="1" si="3"/>
        <v>1</v>
      </c>
      <c r="E274">
        <f t="shared" ca="1" si="4"/>
        <v>0</v>
      </c>
      <c r="F274">
        <f t="shared" ca="1" si="5"/>
        <v>0</v>
      </c>
      <c r="G274">
        <f t="shared" ca="1" si="6"/>
        <v>28</v>
      </c>
      <c r="H274">
        <f t="shared" ca="1" si="36"/>
        <v>0</v>
      </c>
      <c r="I274">
        <f t="shared" ca="1" si="37"/>
        <v>0</v>
      </c>
      <c r="J274" s="356" t="s">
        <v>103</v>
      </c>
      <c r="K274" s="138" t="str">
        <f t="shared" ca="1" si="9"/>
        <v>12.1.0.28.</v>
      </c>
      <c r="L274" s="357" t="s">
        <v>233</v>
      </c>
      <c r="M274" s="357" t="s">
        <v>388</v>
      </c>
      <c r="N274" s="358" t="s">
        <v>1027</v>
      </c>
      <c r="O274" s="359" t="s">
        <v>470</v>
      </c>
      <c r="P274" s="360">
        <v>4</v>
      </c>
      <c r="Q274" s="195"/>
      <c r="R274" s="198" t="s">
        <v>7</v>
      </c>
      <c r="S274" s="103">
        <f t="shared" si="10"/>
        <v>0</v>
      </c>
      <c r="T274" s="83">
        <f t="shared" si="11"/>
        <v>0</v>
      </c>
      <c r="U274" s="9" t="str">
        <f t="shared" si="12"/>
        <v>SEM VALOR</v>
      </c>
      <c r="V274" s="1" t="str">
        <f ca="1">IF(OR($A274=0,$A274="S",$A274&gt;CFF!$A$9),"",MAX(V$12:OFFSET(V274,-1,0))+1)</f>
        <v/>
      </c>
      <c r="W274" s="4" t="str">
        <f t="shared" si="13"/>
        <v>SINAPI-89505</v>
      </c>
      <c r="X274" s="1">
        <f t="shared" ca="1" si="14"/>
        <v>3921</v>
      </c>
      <c r="Y274" s="103">
        <v>52.69</v>
      </c>
      <c r="Z274" s="113">
        <f ca="1">ROUND(IF(ISNUMBER(R274),R274,IF(LEFT(R274,3)="BDI",HLOOKUP(R274,DADOS!$T$37:$X$38,2,FALSE),0)),15-11*$X$5)</f>
        <v>0.25</v>
      </c>
      <c r="AA274" s="1"/>
    </row>
    <row r="275" spans="1:27" ht="26.4" x14ac:dyDescent="0.25">
      <c r="A275" t="str">
        <f t="shared" si="0"/>
        <v>S</v>
      </c>
      <c r="B275">
        <f t="shared" si="1"/>
        <v>0</v>
      </c>
      <c r="C275">
        <f t="shared" ca="1" si="2"/>
        <v>12</v>
      </c>
      <c r="D275">
        <f t="shared" ca="1" si="3"/>
        <v>1</v>
      </c>
      <c r="E275">
        <f t="shared" ca="1" si="4"/>
        <v>0</v>
      </c>
      <c r="F275">
        <f t="shared" ca="1" si="5"/>
        <v>0</v>
      </c>
      <c r="G275">
        <f t="shared" ca="1" si="6"/>
        <v>29</v>
      </c>
      <c r="H275">
        <f t="shared" ca="1" si="36"/>
        <v>0</v>
      </c>
      <c r="I275">
        <f t="shared" ca="1" si="37"/>
        <v>0</v>
      </c>
      <c r="J275" s="356" t="s">
        <v>103</v>
      </c>
      <c r="K275" s="138" t="str">
        <f t="shared" ca="1" si="9"/>
        <v>12.1.0.29.</v>
      </c>
      <c r="L275" s="357" t="s">
        <v>233</v>
      </c>
      <c r="M275" s="357" t="s">
        <v>389</v>
      </c>
      <c r="N275" s="358" t="s">
        <v>1028</v>
      </c>
      <c r="O275" s="359" t="s">
        <v>470</v>
      </c>
      <c r="P275" s="360">
        <v>26</v>
      </c>
      <c r="Q275" s="195"/>
      <c r="R275" s="198" t="s">
        <v>7</v>
      </c>
      <c r="S275" s="103">
        <f t="shared" si="10"/>
        <v>0</v>
      </c>
      <c r="T275" s="83">
        <f t="shared" si="11"/>
        <v>0</v>
      </c>
      <c r="U275" s="9" t="str">
        <f t="shared" si="12"/>
        <v>SEM VALOR</v>
      </c>
      <c r="V275" s="1" t="str">
        <f ca="1">IF(OR($A275=0,$A275="S",$A275&gt;CFF!$A$9),"",MAX(V$12:OFFSET(V275,-1,0))+1)</f>
        <v/>
      </c>
      <c r="W275" s="4" t="str">
        <f t="shared" si="13"/>
        <v>SINAPI-94682</v>
      </c>
      <c r="X275" s="1">
        <f t="shared" ca="1" si="14"/>
        <v>4537</v>
      </c>
      <c r="Y275" s="103">
        <v>137.11000000000001</v>
      </c>
      <c r="Z275" s="113">
        <f ca="1">ROUND(IF(ISNUMBER(R275),R275,IF(LEFT(R275,3)="BDI",HLOOKUP(R275,DADOS!$T$37:$X$38,2,FALSE),0)),15-11*$X$5)</f>
        <v>0.25</v>
      </c>
      <c r="AA275" s="1"/>
    </row>
    <row r="276" spans="1:27" ht="26.4" x14ac:dyDescent="0.25">
      <c r="A276" t="str">
        <f t="shared" si="0"/>
        <v>S</v>
      </c>
      <c r="B276">
        <f t="shared" si="1"/>
        <v>0</v>
      </c>
      <c r="C276">
        <f t="shared" ca="1" si="2"/>
        <v>12</v>
      </c>
      <c r="D276">
        <f t="shared" ca="1" si="3"/>
        <v>1</v>
      </c>
      <c r="E276">
        <f t="shared" ca="1" si="4"/>
        <v>0</v>
      </c>
      <c r="F276">
        <f t="shared" ca="1" si="5"/>
        <v>0</v>
      </c>
      <c r="G276">
        <f t="shared" ca="1" si="6"/>
        <v>30</v>
      </c>
      <c r="H276">
        <f t="shared" ca="1" si="36"/>
        <v>0</v>
      </c>
      <c r="I276">
        <f t="shared" ca="1" si="37"/>
        <v>0</v>
      </c>
      <c r="J276" s="356" t="s">
        <v>103</v>
      </c>
      <c r="K276" s="138" t="str">
        <f t="shared" ca="1" si="9"/>
        <v>12.1.0.30.</v>
      </c>
      <c r="L276" s="357" t="s">
        <v>233</v>
      </c>
      <c r="M276" s="357" t="s">
        <v>390</v>
      </c>
      <c r="N276" s="358" t="s">
        <v>1029</v>
      </c>
      <c r="O276" s="359" t="s">
        <v>470</v>
      </c>
      <c r="P276" s="360">
        <v>6</v>
      </c>
      <c r="Q276" s="195"/>
      <c r="R276" s="198" t="s">
        <v>7</v>
      </c>
      <c r="S276" s="103">
        <f t="shared" si="10"/>
        <v>0</v>
      </c>
      <c r="T276" s="83">
        <f t="shared" si="11"/>
        <v>0</v>
      </c>
      <c r="U276" s="9" t="str">
        <f t="shared" si="12"/>
        <v>SEM VALOR</v>
      </c>
      <c r="V276" s="1" t="str">
        <f ca="1">IF(OR($A276=0,$A276="S",$A276&gt;CFF!$A$9),"",MAX(V$12:OFFSET(V276,-1,0))+1)</f>
        <v/>
      </c>
      <c r="W276" s="4" t="str">
        <f t="shared" si="13"/>
        <v>SINAPI-94684</v>
      </c>
      <c r="X276" s="1">
        <f t="shared" ca="1" si="14"/>
        <v>4539</v>
      </c>
      <c r="Y276" s="103">
        <v>165.41</v>
      </c>
      <c r="Z276" s="113">
        <f ca="1">ROUND(IF(ISNUMBER(R276),R276,IF(LEFT(R276,3)="BDI",HLOOKUP(R276,DADOS!$T$37:$X$38,2,FALSE),0)),15-11*$X$5)</f>
        <v>0.25</v>
      </c>
      <c r="AA276" s="1"/>
    </row>
    <row r="277" spans="1:27" ht="26.4" x14ac:dyDescent="0.25">
      <c r="A277" t="str">
        <f t="shared" si="0"/>
        <v>S</v>
      </c>
      <c r="B277">
        <f t="shared" si="1"/>
        <v>0</v>
      </c>
      <c r="C277">
        <f t="shared" ca="1" si="2"/>
        <v>12</v>
      </c>
      <c r="D277">
        <f t="shared" ca="1" si="3"/>
        <v>1</v>
      </c>
      <c r="E277">
        <f t="shared" ca="1" si="4"/>
        <v>0</v>
      </c>
      <c r="F277">
        <f t="shared" ca="1" si="5"/>
        <v>0</v>
      </c>
      <c r="G277">
        <f t="shared" ca="1" si="6"/>
        <v>31</v>
      </c>
      <c r="H277">
        <f t="shared" ca="1" si="36"/>
        <v>0</v>
      </c>
      <c r="I277">
        <f t="shared" ca="1" si="37"/>
        <v>0</v>
      </c>
      <c r="J277" s="356" t="s">
        <v>103</v>
      </c>
      <c r="K277" s="138" t="str">
        <f t="shared" ca="1" si="9"/>
        <v>12.1.0.31.</v>
      </c>
      <c r="L277" s="357" t="s">
        <v>233</v>
      </c>
      <c r="M277" s="357" t="s">
        <v>391</v>
      </c>
      <c r="N277" s="358" t="s">
        <v>1030</v>
      </c>
      <c r="O277" s="359" t="s">
        <v>470</v>
      </c>
      <c r="P277" s="360">
        <v>47</v>
      </c>
      <c r="Q277" s="195"/>
      <c r="R277" s="198" t="s">
        <v>7</v>
      </c>
      <c r="S277" s="103">
        <f t="shared" si="10"/>
        <v>0</v>
      </c>
      <c r="T277" s="83">
        <f t="shared" si="11"/>
        <v>0</v>
      </c>
      <c r="U277" s="9" t="str">
        <f t="shared" si="12"/>
        <v>SEM VALOR</v>
      </c>
      <c r="V277" s="1" t="str">
        <f ca="1">IF(OR($A277=0,$A277="S",$A277&gt;CFF!$A$9),"",MAX(V$12:OFFSET(V277,-1,0))+1)</f>
        <v/>
      </c>
      <c r="W277" s="4" t="str">
        <f t="shared" si="13"/>
        <v>SINAPI-90373</v>
      </c>
      <c r="X277" s="1">
        <f t="shared" ca="1" si="14"/>
        <v>4224</v>
      </c>
      <c r="Y277" s="103">
        <v>16.96</v>
      </c>
      <c r="Z277" s="113">
        <f ca="1">ROUND(IF(ISNUMBER(R277),R277,IF(LEFT(R277,3)="BDI",HLOOKUP(R277,DADOS!$T$37:$X$38,2,FALSE),0)),15-11*$X$5)</f>
        <v>0.25</v>
      </c>
      <c r="AA277" s="1"/>
    </row>
    <row r="278" spans="1:27" ht="26.4" x14ac:dyDescent="0.25">
      <c r="A278" t="str">
        <f t="shared" si="0"/>
        <v>S</v>
      </c>
      <c r="B278">
        <f t="shared" si="1"/>
        <v>0</v>
      </c>
      <c r="C278">
        <f t="shared" ca="1" si="2"/>
        <v>12</v>
      </c>
      <c r="D278">
        <f t="shared" ca="1" si="3"/>
        <v>1</v>
      </c>
      <c r="E278">
        <f t="shared" ca="1" si="4"/>
        <v>0</v>
      </c>
      <c r="F278">
        <f t="shared" ca="1" si="5"/>
        <v>0</v>
      </c>
      <c r="G278">
        <f t="shared" ca="1" si="6"/>
        <v>32</v>
      </c>
      <c r="H278">
        <f t="shared" ca="1" si="36"/>
        <v>0</v>
      </c>
      <c r="I278">
        <f t="shared" ca="1" si="37"/>
        <v>0</v>
      </c>
      <c r="J278" s="356" t="s">
        <v>103</v>
      </c>
      <c r="K278" s="138" t="str">
        <f t="shared" ca="1" si="9"/>
        <v>12.1.0.32.</v>
      </c>
      <c r="L278" s="357" t="s">
        <v>233</v>
      </c>
      <c r="M278" s="357" t="s">
        <v>391</v>
      </c>
      <c r="N278" s="358" t="s">
        <v>1030</v>
      </c>
      <c r="O278" s="359" t="s">
        <v>470</v>
      </c>
      <c r="P278" s="360">
        <v>12</v>
      </c>
      <c r="Q278" s="195"/>
      <c r="R278" s="198" t="s">
        <v>7</v>
      </c>
      <c r="S278" s="103">
        <f t="shared" si="10"/>
        <v>0</v>
      </c>
      <c r="T278" s="83">
        <f t="shared" si="11"/>
        <v>0</v>
      </c>
      <c r="U278" s="9" t="str">
        <f t="shared" si="12"/>
        <v>SEM VALOR</v>
      </c>
      <c r="V278" s="1" t="str">
        <f ca="1">IF(OR($A278=0,$A278="S",$A278&gt;CFF!$A$9),"",MAX(V$12:OFFSET(V278,-1,0))+1)</f>
        <v/>
      </c>
      <c r="W278" s="4" t="str">
        <f t="shared" si="13"/>
        <v>SINAPI-90373</v>
      </c>
      <c r="X278" s="1">
        <f t="shared" ca="1" si="14"/>
        <v>4224</v>
      </c>
      <c r="Y278" s="103">
        <v>16.96</v>
      </c>
      <c r="Z278" s="113">
        <f ca="1">ROUND(IF(ISNUMBER(R278),R278,IF(LEFT(R278,3)="BDI",HLOOKUP(R278,DADOS!$T$37:$X$38,2,FALSE),0)),15-11*$X$5)</f>
        <v>0.25</v>
      </c>
      <c r="AA278" s="1"/>
    </row>
    <row r="279" spans="1:27" ht="26.4" x14ac:dyDescent="0.25">
      <c r="A279" t="str">
        <f t="shared" si="0"/>
        <v>S</v>
      </c>
      <c r="B279">
        <f t="shared" si="1"/>
        <v>0</v>
      </c>
      <c r="C279">
        <f t="shared" ca="1" si="2"/>
        <v>12</v>
      </c>
      <c r="D279">
        <f t="shared" ca="1" si="3"/>
        <v>1</v>
      </c>
      <c r="E279">
        <f t="shared" ca="1" si="4"/>
        <v>0</v>
      </c>
      <c r="F279">
        <f t="shared" ca="1" si="5"/>
        <v>0</v>
      </c>
      <c r="G279">
        <f t="shared" ca="1" si="6"/>
        <v>33</v>
      </c>
      <c r="H279">
        <f t="shared" ca="1" si="36"/>
        <v>0</v>
      </c>
      <c r="I279">
        <f t="shared" ca="1" si="37"/>
        <v>0</v>
      </c>
      <c r="J279" s="356" t="s">
        <v>103</v>
      </c>
      <c r="K279" s="138" t="str">
        <f t="shared" ca="1" si="9"/>
        <v>12.1.0.33.</v>
      </c>
      <c r="L279" s="357" t="s">
        <v>233</v>
      </c>
      <c r="M279" s="357" t="s">
        <v>392</v>
      </c>
      <c r="N279" s="358" t="s">
        <v>1031</v>
      </c>
      <c r="O279" s="359" t="s">
        <v>470</v>
      </c>
      <c r="P279" s="360">
        <v>17</v>
      </c>
      <c r="Q279" s="195"/>
      <c r="R279" s="198" t="s">
        <v>7</v>
      </c>
      <c r="S279" s="103">
        <f t="shared" si="10"/>
        <v>0</v>
      </c>
      <c r="T279" s="83">
        <f t="shared" si="11"/>
        <v>0</v>
      </c>
      <c r="U279" s="9" t="str">
        <f t="shared" si="12"/>
        <v>SEM VALOR</v>
      </c>
      <c r="V279" s="1" t="str">
        <f ca="1">IF(OR($A279=0,$A279="S",$A279&gt;CFF!$A$9),"",MAX(V$12:OFFSET(V279,-1,0))+1)</f>
        <v/>
      </c>
      <c r="W279" s="4" t="str">
        <f t="shared" si="13"/>
        <v>SINAPI-89395</v>
      </c>
      <c r="X279" s="1">
        <f t="shared" ca="1" si="14"/>
        <v>3860</v>
      </c>
      <c r="Y279" s="103">
        <v>17.260000000000002</v>
      </c>
      <c r="Z279" s="113">
        <f ca="1">ROUND(IF(ISNUMBER(R279),R279,IF(LEFT(R279,3)="BDI",HLOOKUP(R279,DADOS!$T$37:$X$38,2,FALSE),0)),15-11*$X$5)</f>
        <v>0.25</v>
      </c>
      <c r="AA279" s="1"/>
    </row>
    <row r="280" spans="1:27" x14ac:dyDescent="0.25">
      <c r="A280" t="str">
        <f t="shared" si="0"/>
        <v>S</v>
      </c>
      <c r="B280">
        <f t="shared" si="1"/>
        <v>0</v>
      </c>
      <c r="C280">
        <f t="shared" ca="1" si="2"/>
        <v>12</v>
      </c>
      <c r="D280">
        <f t="shared" ca="1" si="3"/>
        <v>1</v>
      </c>
      <c r="E280">
        <f t="shared" ca="1" si="4"/>
        <v>0</v>
      </c>
      <c r="F280">
        <f t="shared" ca="1" si="5"/>
        <v>0</v>
      </c>
      <c r="G280">
        <f t="shared" ca="1" si="6"/>
        <v>34</v>
      </c>
      <c r="H280">
        <f t="shared" ca="1" si="36"/>
        <v>0</v>
      </c>
      <c r="I280">
        <f t="shared" ca="1" si="37"/>
        <v>0</v>
      </c>
      <c r="J280" s="356" t="s">
        <v>103</v>
      </c>
      <c r="K280" s="138" t="str">
        <f t="shared" ca="1" si="9"/>
        <v>12.1.0.34.</v>
      </c>
      <c r="L280" s="357" t="s">
        <v>233</v>
      </c>
      <c r="M280" s="357" t="s">
        <v>393</v>
      </c>
      <c r="N280" s="358" t="s">
        <v>1032</v>
      </c>
      <c r="O280" s="359" t="s">
        <v>470</v>
      </c>
      <c r="P280" s="360">
        <v>14</v>
      </c>
      <c r="Q280" s="195"/>
      <c r="R280" s="198" t="s">
        <v>7</v>
      </c>
      <c r="S280" s="103">
        <f t="shared" si="10"/>
        <v>0</v>
      </c>
      <c r="T280" s="83">
        <f t="shared" si="11"/>
        <v>0</v>
      </c>
      <c r="U280" s="9" t="str">
        <f t="shared" si="12"/>
        <v>SEM VALOR</v>
      </c>
      <c r="V280" s="1" t="str">
        <f ca="1">IF(OR($A280=0,$A280="S",$A280&gt;CFF!$A$9),"",MAX(V$12:OFFSET(V280,-1,0))+1)</f>
        <v/>
      </c>
      <c r="W280" s="4" t="str">
        <f t="shared" si="13"/>
        <v>SINAPI-89625</v>
      </c>
      <c r="X280" s="1">
        <f t="shared" ca="1" si="14"/>
        <v>4015</v>
      </c>
      <c r="Y280" s="103">
        <v>29.4</v>
      </c>
      <c r="Z280" s="113">
        <f ca="1">ROUND(IF(ISNUMBER(R280),R280,IF(LEFT(R280,3)="BDI",HLOOKUP(R280,DADOS!$T$37:$X$38,2,FALSE),0)),15-11*$X$5)</f>
        <v>0.25</v>
      </c>
      <c r="AA280" s="1"/>
    </row>
    <row r="281" spans="1:27" x14ac:dyDescent="0.25">
      <c r="A281" t="str">
        <f t="shared" si="0"/>
        <v>S</v>
      </c>
      <c r="B281">
        <f t="shared" si="1"/>
        <v>0</v>
      </c>
      <c r="C281">
        <f t="shared" ca="1" si="2"/>
        <v>12</v>
      </c>
      <c r="D281">
        <f t="shared" ca="1" si="3"/>
        <v>1</v>
      </c>
      <c r="E281">
        <f t="shared" ca="1" si="4"/>
        <v>0</v>
      </c>
      <c r="F281">
        <f t="shared" ca="1" si="5"/>
        <v>0</v>
      </c>
      <c r="G281">
        <f t="shared" ca="1" si="6"/>
        <v>35</v>
      </c>
      <c r="H281">
        <f t="shared" ca="1" si="36"/>
        <v>0</v>
      </c>
      <c r="I281">
        <f t="shared" ca="1" si="37"/>
        <v>0</v>
      </c>
      <c r="J281" s="356" t="s">
        <v>103</v>
      </c>
      <c r="K281" s="138" t="str">
        <f t="shared" ca="1" si="9"/>
        <v>12.1.0.35.</v>
      </c>
      <c r="L281" s="357" t="s">
        <v>233</v>
      </c>
      <c r="M281" s="357" t="s">
        <v>394</v>
      </c>
      <c r="N281" s="358" t="s">
        <v>1033</v>
      </c>
      <c r="O281" s="359" t="s">
        <v>470</v>
      </c>
      <c r="P281" s="360">
        <v>7</v>
      </c>
      <c r="Q281" s="195"/>
      <c r="R281" s="198" t="s">
        <v>7</v>
      </c>
      <c r="S281" s="103">
        <f t="shared" si="10"/>
        <v>0</v>
      </c>
      <c r="T281" s="83">
        <f t="shared" si="11"/>
        <v>0</v>
      </c>
      <c r="U281" s="9" t="str">
        <f t="shared" si="12"/>
        <v>SEM VALOR</v>
      </c>
      <c r="V281" s="1" t="str">
        <f ca="1">IF(OR($A281=0,$A281="S",$A281&gt;CFF!$A$9),"",MAX(V$12:OFFSET(V281,-1,0))+1)</f>
        <v/>
      </c>
      <c r="W281" s="4" t="str">
        <f t="shared" si="13"/>
        <v>SINAPI-89629</v>
      </c>
      <c r="X281" s="1">
        <f t="shared" ca="1" si="14"/>
        <v>4019</v>
      </c>
      <c r="Y281" s="103">
        <v>102.35</v>
      </c>
      <c r="Z281" s="113">
        <f ca="1">ROUND(IF(ISNUMBER(R281),R281,IF(LEFT(R281,3)="BDI",HLOOKUP(R281,DADOS!$T$37:$X$38,2,FALSE),0)),15-11*$X$5)</f>
        <v>0.25</v>
      </c>
      <c r="AA281" s="1"/>
    </row>
    <row r="282" spans="1:27" x14ac:dyDescent="0.25">
      <c r="A282" t="str">
        <f t="shared" si="0"/>
        <v>S</v>
      </c>
      <c r="B282">
        <f t="shared" si="1"/>
        <v>0</v>
      </c>
      <c r="C282">
        <f t="shared" ca="1" si="2"/>
        <v>12</v>
      </c>
      <c r="D282">
        <f t="shared" ca="1" si="3"/>
        <v>1</v>
      </c>
      <c r="E282">
        <f t="shared" ca="1" si="4"/>
        <v>0</v>
      </c>
      <c r="F282">
        <f t="shared" ca="1" si="5"/>
        <v>0</v>
      </c>
      <c r="G282">
        <f t="shared" ca="1" si="6"/>
        <v>36</v>
      </c>
      <c r="H282">
        <f t="shared" ca="1" si="36"/>
        <v>0</v>
      </c>
      <c r="I282">
        <f t="shared" ca="1" si="37"/>
        <v>0</v>
      </c>
      <c r="J282" s="356" t="s">
        <v>103</v>
      </c>
      <c r="K282" s="138" t="str">
        <f t="shared" ca="1" si="9"/>
        <v>12.1.0.36.</v>
      </c>
      <c r="L282" s="357" t="s">
        <v>233</v>
      </c>
      <c r="M282" s="357" t="s">
        <v>395</v>
      </c>
      <c r="N282" s="358" t="s">
        <v>1034</v>
      </c>
      <c r="O282" s="359" t="s">
        <v>470</v>
      </c>
      <c r="P282" s="360">
        <v>4</v>
      </c>
      <c r="Q282" s="195"/>
      <c r="R282" s="198" t="s">
        <v>7</v>
      </c>
      <c r="S282" s="103">
        <f t="shared" si="10"/>
        <v>0</v>
      </c>
      <c r="T282" s="83">
        <f t="shared" si="11"/>
        <v>0</v>
      </c>
      <c r="U282" s="9" t="str">
        <f t="shared" si="12"/>
        <v>SEM VALOR</v>
      </c>
      <c r="V282" s="1" t="str">
        <f ca="1">IF(OR($A282=0,$A282="S",$A282&gt;CFF!$A$9),"",MAX(V$12:OFFSET(V282,-1,0))+1)</f>
        <v/>
      </c>
      <c r="W282" s="4" t="str">
        <f t="shared" si="13"/>
        <v>SINAPI-89631</v>
      </c>
      <c r="X282" s="1">
        <f t="shared" ca="1" si="14"/>
        <v>4021</v>
      </c>
      <c r="Y282" s="103">
        <v>134.09</v>
      </c>
      <c r="Z282" s="113">
        <f ca="1">ROUND(IF(ISNUMBER(R282),R282,IF(LEFT(R282,3)="BDI",HLOOKUP(R282,DADOS!$T$37:$X$38,2,FALSE),0)),15-11*$X$5)</f>
        <v>0.25</v>
      </c>
      <c r="AA282" s="1"/>
    </row>
    <row r="283" spans="1:27" ht="26.4" x14ac:dyDescent="0.25">
      <c r="A283" t="str">
        <f t="shared" si="0"/>
        <v>S</v>
      </c>
      <c r="B283">
        <f t="shared" si="1"/>
        <v>0</v>
      </c>
      <c r="C283">
        <f t="shared" ca="1" si="2"/>
        <v>12</v>
      </c>
      <c r="D283">
        <f t="shared" ca="1" si="3"/>
        <v>1</v>
      </c>
      <c r="E283">
        <f t="shared" ca="1" si="4"/>
        <v>0</v>
      </c>
      <c r="F283">
        <f t="shared" ca="1" si="5"/>
        <v>0</v>
      </c>
      <c r="G283">
        <f t="shared" ca="1" si="6"/>
        <v>37</v>
      </c>
      <c r="H283">
        <f t="shared" ca="1" si="36"/>
        <v>0</v>
      </c>
      <c r="I283">
        <f t="shared" ca="1" si="37"/>
        <v>0</v>
      </c>
      <c r="J283" s="356" t="s">
        <v>103</v>
      </c>
      <c r="K283" s="138" t="str">
        <f t="shared" ca="1" si="9"/>
        <v>12.1.0.37.</v>
      </c>
      <c r="L283" s="357" t="s">
        <v>233</v>
      </c>
      <c r="M283" s="357" t="s">
        <v>396</v>
      </c>
      <c r="N283" s="358" t="s">
        <v>1035</v>
      </c>
      <c r="O283" s="359" t="s">
        <v>470</v>
      </c>
      <c r="P283" s="360">
        <v>10</v>
      </c>
      <c r="Q283" s="195"/>
      <c r="R283" s="198" t="s">
        <v>7</v>
      </c>
      <c r="S283" s="103">
        <f t="shared" si="10"/>
        <v>0</v>
      </c>
      <c r="T283" s="83">
        <f t="shared" si="11"/>
        <v>0</v>
      </c>
      <c r="U283" s="9" t="str">
        <f t="shared" si="12"/>
        <v>SEM VALOR</v>
      </c>
      <c r="V283" s="1" t="str">
        <f ca="1">IF(OR($A283=0,$A283="S",$A283&gt;CFF!$A$9),"",MAX(V$12:OFFSET(V283,-1,0))+1)</f>
        <v/>
      </c>
      <c r="W283" s="4" t="str">
        <f t="shared" si="13"/>
        <v>SINAPI-89627</v>
      </c>
      <c r="X283" s="1">
        <f t="shared" ca="1" si="14"/>
        <v>4017</v>
      </c>
      <c r="Y283" s="103">
        <v>25.91</v>
      </c>
      <c r="Z283" s="113">
        <f ca="1">ROUND(IF(ISNUMBER(R283),R283,IF(LEFT(R283,3)="BDI",HLOOKUP(R283,DADOS!$T$37:$X$38,2,FALSE),0)),15-11*$X$5)</f>
        <v>0.25</v>
      </c>
      <c r="AA283" s="1"/>
    </row>
    <row r="284" spans="1:27" ht="26.4" x14ac:dyDescent="0.25">
      <c r="A284" t="str">
        <f t="shared" si="0"/>
        <v>S</v>
      </c>
      <c r="B284">
        <f t="shared" si="1"/>
        <v>0</v>
      </c>
      <c r="C284">
        <f t="shared" ca="1" si="2"/>
        <v>12</v>
      </c>
      <c r="D284">
        <f t="shared" ca="1" si="3"/>
        <v>1</v>
      </c>
      <c r="E284">
        <f t="shared" ca="1" si="4"/>
        <v>0</v>
      </c>
      <c r="F284">
        <f t="shared" ca="1" si="5"/>
        <v>0</v>
      </c>
      <c r="G284">
        <f t="shared" ca="1" si="6"/>
        <v>38</v>
      </c>
      <c r="H284">
        <f t="shared" ca="1" si="36"/>
        <v>0</v>
      </c>
      <c r="I284">
        <f t="shared" ca="1" si="37"/>
        <v>0</v>
      </c>
      <c r="J284" s="356" t="s">
        <v>103</v>
      </c>
      <c r="K284" s="138" t="str">
        <f t="shared" ca="1" si="9"/>
        <v>12.1.0.38.</v>
      </c>
      <c r="L284" s="357" t="s">
        <v>233</v>
      </c>
      <c r="M284" s="357" t="s">
        <v>397</v>
      </c>
      <c r="N284" s="358" t="s">
        <v>1036</v>
      </c>
      <c r="O284" s="359" t="s">
        <v>470</v>
      </c>
      <c r="P284" s="360">
        <v>2</v>
      </c>
      <c r="Q284" s="195"/>
      <c r="R284" s="198" t="s">
        <v>7</v>
      </c>
      <c r="S284" s="103">
        <f t="shared" si="10"/>
        <v>0</v>
      </c>
      <c r="T284" s="83">
        <f t="shared" si="11"/>
        <v>0</v>
      </c>
      <c r="U284" s="9" t="str">
        <f t="shared" si="12"/>
        <v>SEM VALOR</v>
      </c>
      <c r="V284" s="1" t="str">
        <f ca="1">IF(OR($A284=0,$A284="S",$A284&gt;CFF!$A$9),"",MAX(V$12:OFFSET(V284,-1,0))+1)</f>
        <v/>
      </c>
      <c r="W284" s="4" t="str">
        <f t="shared" si="13"/>
        <v>SINAPI-89630</v>
      </c>
      <c r="X284" s="1">
        <f t="shared" ca="1" si="14"/>
        <v>4020</v>
      </c>
      <c r="Y284" s="103">
        <v>77.7</v>
      </c>
      <c r="Z284" s="113">
        <f ca="1">ROUND(IF(ISNUMBER(R284),R284,IF(LEFT(R284,3)="BDI",HLOOKUP(R284,DADOS!$T$37:$X$38,2,FALSE),0)),15-11*$X$5)</f>
        <v>0.25</v>
      </c>
      <c r="AA284" s="1"/>
    </row>
    <row r="285" spans="1:27" ht="26.4" x14ac:dyDescent="0.25">
      <c r="A285" t="str">
        <f t="shared" ref="A285:A600" si="38">CHOOSE(1+LOG(1+2*(J285="Meta")+4*(J285="Nível 2")+8*(J285="Nível 3")+16*(J285="Nível 4")+32*(J285="Serviço"),2),0,1,2,3,4,"S")</f>
        <v>S</v>
      </c>
      <c r="B285">
        <f t="shared" ref="B285:B600" si="39">IF(OR(A285="S",A285=0),0,IF(ISERROR(I285),H285,SMALL(H285:I285,1)))</f>
        <v>0</v>
      </c>
      <c r="C285">
        <f t="shared" ref="C285:C600" ca="1" si="40">IF($A285=1,OFFSET(C285,-1,0)+1,OFFSET(C285,-1,0))</f>
        <v>12</v>
      </c>
      <c r="D285">
        <f t="shared" ref="D285:D600" ca="1" si="41">IF($A285=1,0,IF($A285=2,OFFSET(D285,-1,0)+1,OFFSET(D285,-1,0)))</f>
        <v>1</v>
      </c>
      <c r="E285">
        <f t="shared" ref="E285:E600" ca="1" si="42">IF(AND($A285&lt;=2,$A285&lt;&gt;0),0,IF($A285=3,OFFSET(E285,-1,0)+1,OFFSET(E285,-1,0)))</f>
        <v>0</v>
      </c>
      <c r="F285">
        <f t="shared" ref="F285:F600" ca="1" si="43">IF(AND($A285&lt;=3,$A285&lt;&gt;0),0,IF($A285=4,OFFSET(F285,-1,0)+1,OFFSET(F285,-1,0)))</f>
        <v>0</v>
      </c>
      <c r="G285">
        <f t="shared" ref="G285:G600" ca="1" si="44">IF(AND($A285&lt;=4,$A285&lt;&gt;0),0,IF($A285="S",OFFSET(G285,-1,0)+1,OFFSET(G285,-1,0)))</f>
        <v>39</v>
      </c>
      <c r="H285">
        <f t="shared" ca="1" si="36"/>
        <v>0</v>
      </c>
      <c r="I285">
        <f t="shared" ca="1" si="37"/>
        <v>0</v>
      </c>
      <c r="J285" s="356" t="s">
        <v>103</v>
      </c>
      <c r="K285" s="138" t="str">
        <f t="shared" ref="K285:K600" ca="1" si="45">IF($A285=0,"-",CONCATENATE(C285&amp;".",IF(AND($A$5&gt;=2,$A285&gt;=2),D285&amp;".",""),IF(AND($A$5&gt;=3,$A285&gt;=3),E285&amp;".",""),IF(AND($A$5&gt;=4,$A285&gt;=4),F285&amp;".",""),IF($A285="S",G285&amp;".","")))</f>
        <v>12.1.0.39.</v>
      </c>
      <c r="L285" s="357" t="s">
        <v>233</v>
      </c>
      <c r="M285" s="357" t="s">
        <v>397</v>
      </c>
      <c r="N285" s="358" t="s">
        <v>1036</v>
      </c>
      <c r="O285" s="359" t="s">
        <v>470</v>
      </c>
      <c r="P285" s="360">
        <v>13</v>
      </c>
      <c r="Q285" s="195"/>
      <c r="R285" s="198" t="s">
        <v>7</v>
      </c>
      <c r="S285" s="103">
        <f t="shared" ref="S285:S600" si="46">IF($A285="S",IF($Q$10="Preço Unitário (R$)",PO.CustoUnitario,ROUND(PO.CustoUnitario*(1+$Z285),15-13*$X$6)),0)</f>
        <v>0</v>
      </c>
      <c r="T285" s="83">
        <f t="shared" ref="T285:T600" si="47">IF($A285="S",VTOTAL1,IF($A285=0,0,ROUND(SomaAgrup,15-13*$X$7)))</f>
        <v>0</v>
      </c>
      <c r="U285" s="9" t="str">
        <f t="shared" ref="U285:U600" si="48">IF($J285="","",IF($N285="","DESCRIÇÃO",IF(AND($J285="Serviço",$O285=""),"UNIDADE",IF($T285&lt;=0,"SEM VALOR",IF(AND($Y285&lt;&gt;"",$Q285&gt;$Y285),"ACIMA REF.","")))))</f>
        <v>SEM VALOR</v>
      </c>
      <c r="V285" s="1" t="str">
        <f ca="1">IF(OR($A285=0,$A285="S",$A285&gt;CFF!$A$9),"",MAX(V$12:OFFSET(V285,-1,0))+1)</f>
        <v/>
      </c>
      <c r="W285" s="4" t="str">
        <f t="shared" ref="W285:W600" si="49">IF(AND($J285="Serviço",$M285&lt;&gt;""),IF($L285="",$M285,CONCATENATE($L285,"-",$M285)))</f>
        <v>SINAPI-89630</v>
      </c>
      <c r="X285" s="1">
        <f t="shared" ref="X285:X600" ca="1" si="50">IF(AND(Fonte&lt;&gt;"",Código&lt;&gt;""),MATCH(Fonte&amp;" "&amp;IF(Fonte="sinapi",SUBSTITUTE(SUBSTITUTE(Código,"/00","/"),"/0","/"),Código),INDIRECT("'[Referência "&amp;_xlnm.Database&amp;".xls]Banco'!$a:$a"),0),"X")</f>
        <v>4020</v>
      </c>
      <c r="Y285" s="103">
        <v>77.7</v>
      </c>
      <c r="Z285" s="113">
        <f ca="1">ROUND(IF(ISNUMBER(R285),R285,IF(LEFT(R285,3)="BDI",HLOOKUP(R285,DADOS!$T$37:$X$38,2,FALSE),0)),15-11*$X$5)</f>
        <v>0.25</v>
      </c>
      <c r="AA285" s="1"/>
    </row>
    <row r="286" spans="1:27" ht="26.4" x14ac:dyDescent="0.25">
      <c r="A286" t="str">
        <f t="shared" si="38"/>
        <v>S</v>
      </c>
      <c r="B286">
        <f t="shared" si="39"/>
        <v>0</v>
      </c>
      <c r="C286">
        <f t="shared" ca="1" si="40"/>
        <v>12</v>
      </c>
      <c r="D286">
        <f t="shared" ca="1" si="41"/>
        <v>1</v>
      </c>
      <c r="E286">
        <f t="shared" ca="1" si="42"/>
        <v>0</v>
      </c>
      <c r="F286">
        <f t="shared" ca="1" si="43"/>
        <v>0</v>
      </c>
      <c r="G286">
        <f t="shared" ca="1" si="44"/>
        <v>40</v>
      </c>
      <c r="H286">
        <f t="shared" ca="1" si="36"/>
        <v>0</v>
      </c>
      <c r="I286">
        <f t="shared" ca="1" si="37"/>
        <v>0</v>
      </c>
      <c r="J286" s="356" t="s">
        <v>103</v>
      </c>
      <c r="K286" s="138" t="str">
        <f t="shared" ca="1" si="45"/>
        <v>12.1.0.40.</v>
      </c>
      <c r="L286" s="357" t="s">
        <v>469</v>
      </c>
      <c r="M286" s="357" t="s">
        <v>778</v>
      </c>
      <c r="N286" s="358" t="s">
        <v>781</v>
      </c>
      <c r="O286" s="359" t="s">
        <v>782</v>
      </c>
      <c r="P286" s="360">
        <v>3</v>
      </c>
      <c r="Q286" s="195"/>
      <c r="R286" s="198" t="s">
        <v>7</v>
      </c>
      <c r="S286" s="103">
        <f t="shared" si="46"/>
        <v>0</v>
      </c>
      <c r="T286" s="83">
        <f t="shared" si="47"/>
        <v>0</v>
      </c>
      <c r="U286" s="9" t="str">
        <f t="shared" si="48"/>
        <v>SEM VALOR</v>
      </c>
      <c r="V286" s="1" t="str">
        <f ca="1">IF(OR($A286=0,$A286="S",$A286&gt;CFF!$A$9),"",MAX(V$12:OFFSET(V286,-1,0))+1)</f>
        <v/>
      </c>
      <c r="W286" s="4" t="str">
        <f t="shared" si="49"/>
        <v>FNDE-FNDE 208</v>
      </c>
      <c r="X286" s="1" t="e">
        <f t="shared" ca="1" si="50"/>
        <v>#N/A</v>
      </c>
      <c r="Y286" s="103">
        <v>36.08</v>
      </c>
      <c r="Z286" s="113">
        <f ca="1">ROUND(IF(ISNUMBER(R286),R286,IF(LEFT(R286,3)="BDI",HLOOKUP(R286,DADOS!$T$37:$X$38,2,FALSE),0)),15-11*$X$5)</f>
        <v>0.25</v>
      </c>
      <c r="AA286" s="1"/>
    </row>
    <row r="287" spans="1:27" ht="26.4" x14ac:dyDescent="0.25">
      <c r="A287" t="str">
        <f t="shared" si="38"/>
        <v>S</v>
      </c>
      <c r="B287">
        <f t="shared" si="39"/>
        <v>0</v>
      </c>
      <c r="C287">
        <f t="shared" ca="1" si="40"/>
        <v>12</v>
      </c>
      <c r="D287">
        <f t="shared" ca="1" si="41"/>
        <v>1</v>
      </c>
      <c r="E287">
        <f t="shared" ca="1" si="42"/>
        <v>0</v>
      </c>
      <c r="F287">
        <f t="shared" ca="1" si="43"/>
        <v>0</v>
      </c>
      <c r="G287">
        <f t="shared" ca="1" si="44"/>
        <v>41</v>
      </c>
      <c r="H287">
        <f t="shared" ca="1" si="36"/>
        <v>0</v>
      </c>
      <c r="I287">
        <f t="shared" ca="1" si="37"/>
        <v>0</v>
      </c>
      <c r="J287" s="356" t="s">
        <v>103</v>
      </c>
      <c r="K287" s="138" t="str">
        <f t="shared" ca="1" si="45"/>
        <v>12.1.0.41.</v>
      </c>
      <c r="L287" s="357" t="s">
        <v>233</v>
      </c>
      <c r="M287" s="357" t="s">
        <v>398</v>
      </c>
      <c r="N287" s="358" t="s">
        <v>1037</v>
      </c>
      <c r="O287" s="359" t="s">
        <v>470</v>
      </c>
      <c r="P287" s="360">
        <v>8</v>
      </c>
      <c r="Q287" s="195"/>
      <c r="R287" s="198" t="s">
        <v>7</v>
      </c>
      <c r="S287" s="103">
        <f t="shared" si="46"/>
        <v>0</v>
      </c>
      <c r="T287" s="83">
        <f t="shared" si="47"/>
        <v>0</v>
      </c>
      <c r="U287" s="9" t="str">
        <f t="shared" si="48"/>
        <v>SEM VALOR</v>
      </c>
      <c r="V287" s="1" t="str">
        <f ca="1">IF(OR($A287=0,$A287="S",$A287&gt;CFF!$A$9),"",MAX(V$12:OFFSET(V287,-1,0))+1)</f>
        <v/>
      </c>
      <c r="W287" s="4" t="str">
        <f t="shared" si="49"/>
        <v>SINAPI-90374</v>
      </c>
      <c r="X287" s="1">
        <f t="shared" ca="1" si="50"/>
        <v>4225</v>
      </c>
      <c r="Y287" s="103">
        <v>28.83</v>
      </c>
      <c r="Z287" s="113">
        <f ca="1">ROUND(IF(ISNUMBER(R287),R287,IF(LEFT(R287,3)="BDI",HLOOKUP(R287,DADOS!$T$37:$X$38,2,FALSE),0)),15-11*$X$5)</f>
        <v>0.25</v>
      </c>
      <c r="AA287" s="1"/>
    </row>
    <row r="288" spans="1:27" ht="26.4" x14ac:dyDescent="0.25">
      <c r="A288" t="str">
        <f t="shared" si="38"/>
        <v>S</v>
      </c>
      <c r="B288">
        <f t="shared" si="39"/>
        <v>0</v>
      </c>
      <c r="C288">
        <f t="shared" ca="1" si="40"/>
        <v>12</v>
      </c>
      <c r="D288">
        <f t="shared" ca="1" si="41"/>
        <v>1</v>
      </c>
      <c r="E288">
        <f t="shared" ca="1" si="42"/>
        <v>0</v>
      </c>
      <c r="F288">
        <f t="shared" ca="1" si="43"/>
        <v>0</v>
      </c>
      <c r="G288">
        <f t="shared" ca="1" si="44"/>
        <v>42</v>
      </c>
      <c r="H288">
        <f t="shared" ca="1" si="36"/>
        <v>0</v>
      </c>
      <c r="I288">
        <f t="shared" ca="1" si="37"/>
        <v>0</v>
      </c>
      <c r="J288" s="356" t="s">
        <v>103</v>
      </c>
      <c r="K288" s="138" t="str">
        <f t="shared" ca="1" si="45"/>
        <v>12.1.0.42.</v>
      </c>
      <c r="L288" s="357" t="s">
        <v>233</v>
      </c>
      <c r="M288" s="357" t="s">
        <v>399</v>
      </c>
      <c r="N288" s="358" t="s">
        <v>1038</v>
      </c>
      <c r="O288" s="359" t="s">
        <v>470</v>
      </c>
      <c r="P288" s="360">
        <v>9</v>
      </c>
      <c r="Q288" s="195"/>
      <c r="R288" s="198" t="s">
        <v>7</v>
      </c>
      <c r="S288" s="103">
        <f t="shared" si="46"/>
        <v>0</v>
      </c>
      <c r="T288" s="83">
        <f t="shared" si="47"/>
        <v>0</v>
      </c>
      <c r="U288" s="9" t="str">
        <f t="shared" si="48"/>
        <v>SEM VALOR</v>
      </c>
      <c r="V288" s="1" t="str">
        <f ca="1">IF(OR($A288=0,$A288="S",$A288&gt;CFF!$A$9),"",MAX(V$12:OFFSET(V288,-1,0))+1)</f>
        <v/>
      </c>
      <c r="W288" s="4" t="str">
        <f t="shared" si="49"/>
        <v>SINAPI-89396</v>
      </c>
      <c r="X288" s="1">
        <f t="shared" ca="1" si="50"/>
        <v>3861</v>
      </c>
      <c r="Y288" s="103">
        <v>26.59</v>
      </c>
      <c r="Z288" s="113">
        <f ca="1">ROUND(IF(ISNUMBER(R288),R288,IF(LEFT(R288,3)="BDI",HLOOKUP(R288,DADOS!$T$37:$X$38,2,FALSE),0)),15-11*$X$5)</f>
        <v>0.25</v>
      </c>
      <c r="AA288" s="1"/>
    </row>
    <row r="289" spans="1:27" x14ac:dyDescent="0.25">
      <c r="A289">
        <f t="shared" si="38"/>
        <v>2</v>
      </c>
      <c r="B289">
        <f t="shared" ca="1" si="39"/>
        <v>7</v>
      </c>
      <c r="C289">
        <f t="shared" ca="1" si="40"/>
        <v>12</v>
      </c>
      <c r="D289">
        <f t="shared" ca="1" si="41"/>
        <v>2</v>
      </c>
      <c r="E289">
        <f t="shared" ca="1" si="42"/>
        <v>0</v>
      </c>
      <c r="F289">
        <f t="shared" ca="1" si="43"/>
        <v>0</v>
      </c>
      <c r="G289">
        <f t="shared" ca="1" si="44"/>
        <v>0</v>
      </c>
      <c r="H289">
        <f t="shared" ca="1" si="36"/>
        <v>9</v>
      </c>
      <c r="I289">
        <f t="shared" ca="1" si="37"/>
        <v>7</v>
      </c>
      <c r="J289" s="356" t="s">
        <v>100</v>
      </c>
      <c r="K289" s="138" t="str">
        <f t="shared" ca="1" si="45"/>
        <v>12.2.</v>
      </c>
      <c r="L289" s="357"/>
      <c r="M289" s="357"/>
      <c r="N289" s="358" t="s">
        <v>400</v>
      </c>
      <c r="O289" s="359" t="s">
        <v>106</v>
      </c>
      <c r="P289" s="360"/>
      <c r="Q289" s="195"/>
      <c r="R289" s="198" t="s">
        <v>7</v>
      </c>
      <c r="S289" s="103">
        <f t="shared" si="46"/>
        <v>0</v>
      </c>
      <c r="T289" s="83">
        <f t="shared" ca="1" si="47"/>
        <v>0</v>
      </c>
      <c r="U289" s="9" t="str">
        <f t="shared" ca="1" si="48"/>
        <v>SEM VALOR</v>
      </c>
      <c r="V289" s="1">
        <f ca="1">IF(OR($A289=0,$A289="S",$A289&gt;CFF!$A$9),"",MAX(V$12:OFFSET(V289,-1,0))+1)</f>
        <v>47</v>
      </c>
      <c r="W289" s="4" t="b">
        <f t="shared" si="49"/>
        <v>0</v>
      </c>
      <c r="X289" s="1" t="str">
        <f t="shared" ca="1" si="50"/>
        <v>X</v>
      </c>
      <c r="Y289" s="103">
        <v>0</v>
      </c>
      <c r="Z289" s="113">
        <f ca="1">ROUND(IF(ISNUMBER(R289),R289,IF(LEFT(R289,3)="BDI",HLOOKUP(R289,DADOS!$T$37:$X$38,2,FALSE),0)),15-11*$X$5)</f>
        <v>0.25</v>
      </c>
      <c r="AA289" s="1"/>
    </row>
    <row r="290" spans="1:27" x14ac:dyDescent="0.25">
      <c r="A290" t="str">
        <f t="shared" si="38"/>
        <v>S</v>
      </c>
      <c r="B290">
        <f t="shared" si="39"/>
        <v>0</v>
      </c>
      <c r="C290">
        <f t="shared" ca="1" si="40"/>
        <v>12</v>
      </c>
      <c r="D290">
        <f t="shared" ca="1" si="41"/>
        <v>2</v>
      </c>
      <c r="E290">
        <f t="shared" ca="1" si="42"/>
        <v>0</v>
      </c>
      <c r="F290">
        <f t="shared" ca="1" si="43"/>
        <v>0</v>
      </c>
      <c r="G290">
        <f t="shared" ca="1" si="44"/>
        <v>1</v>
      </c>
      <c r="H290">
        <f t="shared" ca="1" si="36"/>
        <v>0</v>
      </c>
      <c r="I290">
        <f t="shared" ca="1" si="37"/>
        <v>0</v>
      </c>
      <c r="J290" s="356" t="s">
        <v>103</v>
      </c>
      <c r="K290" s="138" t="str">
        <f t="shared" ca="1" si="45"/>
        <v>12.2.0.1.</v>
      </c>
      <c r="L290" s="357" t="s">
        <v>233</v>
      </c>
      <c r="M290" s="357" t="s">
        <v>402</v>
      </c>
      <c r="N290" s="358" t="s">
        <v>1039</v>
      </c>
      <c r="O290" s="359" t="s">
        <v>470</v>
      </c>
      <c r="P290" s="360">
        <v>3</v>
      </c>
      <c r="Q290" s="195"/>
      <c r="R290" s="198" t="s">
        <v>7</v>
      </c>
      <c r="S290" s="103">
        <f t="shared" si="46"/>
        <v>0</v>
      </c>
      <c r="T290" s="83">
        <f t="shared" si="47"/>
        <v>0</v>
      </c>
      <c r="U290" s="9" t="str">
        <f t="shared" si="48"/>
        <v>SEM VALOR</v>
      </c>
      <c r="V290" s="1" t="str">
        <f ca="1">IF(OR($A290=0,$A290="S",$A290&gt;CFF!$A$9),"",MAX(V$12:OFFSET(V290,-1,0))+1)</f>
        <v/>
      </c>
      <c r="W290" s="4" t="str">
        <f t="shared" si="49"/>
        <v>SINAPI-94499</v>
      </c>
      <c r="X290" s="1">
        <f t="shared" ca="1" si="50"/>
        <v>5415</v>
      </c>
      <c r="Y290" s="103">
        <v>449.48</v>
      </c>
      <c r="Z290" s="113">
        <f ca="1">ROUND(IF(ISNUMBER(R290),R290,IF(LEFT(R290,3)="BDI",HLOOKUP(R290,DADOS!$T$37:$X$38,2,FALSE),0)),15-11*$X$5)</f>
        <v>0.25</v>
      </c>
      <c r="AA290" s="1"/>
    </row>
    <row r="291" spans="1:27" x14ac:dyDescent="0.25">
      <c r="A291" t="str">
        <f t="shared" si="38"/>
        <v>S</v>
      </c>
      <c r="B291">
        <f t="shared" si="39"/>
        <v>0</v>
      </c>
      <c r="C291">
        <f t="shared" ca="1" si="40"/>
        <v>12</v>
      </c>
      <c r="D291">
        <f t="shared" ca="1" si="41"/>
        <v>2</v>
      </c>
      <c r="E291">
        <f t="shared" ca="1" si="42"/>
        <v>0</v>
      </c>
      <c r="F291">
        <f t="shared" ca="1" si="43"/>
        <v>0</v>
      </c>
      <c r="G291">
        <f t="shared" ca="1" si="44"/>
        <v>2</v>
      </c>
      <c r="H291">
        <f t="shared" ca="1" si="36"/>
        <v>0</v>
      </c>
      <c r="I291">
        <f t="shared" ca="1" si="37"/>
        <v>0</v>
      </c>
      <c r="J291" s="356" t="s">
        <v>103</v>
      </c>
      <c r="K291" s="138" t="str">
        <f t="shared" ca="1" si="45"/>
        <v>12.2.0.2.</v>
      </c>
      <c r="L291" s="357" t="s">
        <v>233</v>
      </c>
      <c r="M291" s="357" t="s">
        <v>403</v>
      </c>
      <c r="N291" s="358" t="s">
        <v>1040</v>
      </c>
      <c r="O291" s="359" t="s">
        <v>470</v>
      </c>
      <c r="P291" s="360">
        <v>1</v>
      </c>
      <c r="Q291" s="195"/>
      <c r="R291" s="198" t="s">
        <v>7</v>
      </c>
      <c r="S291" s="103">
        <f t="shared" si="46"/>
        <v>0</v>
      </c>
      <c r="T291" s="83">
        <f t="shared" si="47"/>
        <v>0</v>
      </c>
      <c r="U291" s="9" t="str">
        <f t="shared" si="48"/>
        <v>SEM VALOR</v>
      </c>
      <c r="V291" s="1" t="str">
        <f ca="1">IF(OR($A291=0,$A291="S",$A291&gt;CFF!$A$9),"",MAX(V$12:OFFSET(V291,-1,0))+1)</f>
        <v/>
      </c>
      <c r="W291" s="4" t="str">
        <f t="shared" si="49"/>
        <v>SINAPI-94500</v>
      </c>
      <c r="X291" s="1">
        <f t="shared" ca="1" si="50"/>
        <v>5416</v>
      </c>
      <c r="Y291" s="103">
        <v>545.42999999999995</v>
      </c>
      <c r="Z291" s="113">
        <f ca="1">ROUND(IF(ISNUMBER(R291),R291,IF(LEFT(R291,3)="BDI",HLOOKUP(R291,DADOS!$T$37:$X$38,2,FALSE),0)),15-11*$X$5)</f>
        <v>0.25</v>
      </c>
      <c r="AA291" s="1"/>
    </row>
    <row r="292" spans="1:27" ht="26.4" x14ac:dyDescent="0.25">
      <c r="A292" t="str">
        <f t="shared" si="38"/>
        <v>S</v>
      </c>
      <c r="B292">
        <f t="shared" si="39"/>
        <v>0</v>
      </c>
      <c r="C292">
        <f t="shared" ca="1" si="40"/>
        <v>12</v>
      </c>
      <c r="D292">
        <f t="shared" ca="1" si="41"/>
        <v>2</v>
      </c>
      <c r="E292">
        <f t="shared" ca="1" si="42"/>
        <v>0</v>
      </c>
      <c r="F292">
        <f t="shared" ca="1" si="43"/>
        <v>0</v>
      </c>
      <c r="G292">
        <f t="shared" ca="1" si="44"/>
        <v>3</v>
      </c>
      <c r="H292">
        <f t="shared" ca="1" si="36"/>
        <v>0</v>
      </c>
      <c r="I292">
        <f t="shared" ca="1" si="37"/>
        <v>0</v>
      </c>
      <c r="J292" s="356" t="s">
        <v>103</v>
      </c>
      <c r="K292" s="138" t="str">
        <f t="shared" ca="1" si="45"/>
        <v>12.2.0.3.</v>
      </c>
      <c r="L292" s="357" t="s">
        <v>233</v>
      </c>
      <c r="M292" s="357" t="s">
        <v>404</v>
      </c>
      <c r="N292" s="358" t="s">
        <v>1041</v>
      </c>
      <c r="O292" s="359" t="s">
        <v>470</v>
      </c>
      <c r="P292" s="360">
        <v>2</v>
      </c>
      <c r="Q292" s="195"/>
      <c r="R292" s="198" t="s">
        <v>7</v>
      </c>
      <c r="S292" s="103">
        <f t="shared" si="46"/>
        <v>0</v>
      </c>
      <c r="T292" s="83">
        <f t="shared" si="47"/>
        <v>0</v>
      </c>
      <c r="U292" s="9" t="str">
        <f t="shared" si="48"/>
        <v>SEM VALOR</v>
      </c>
      <c r="V292" s="1" t="str">
        <f ca="1">IF(OR($A292=0,$A292="S",$A292&gt;CFF!$A$9),"",MAX(V$12:OFFSET(V292,-1,0))+1)</f>
        <v/>
      </c>
      <c r="W292" s="4" t="str">
        <f t="shared" si="49"/>
        <v>SINAPI-89986</v>
      </c>
      <c r="X292" s="1">
        <f t="shared" ca="1" si="50"/>
        <v>5403</v>
      </c>
      <c r="Y292" s="103">
        <v>127.7</v>
      </c>
      <c r="Z292" s="113">
        <f ca="1">ROUND(IF(ISNUMBER(R292),R292,IF(LEFT(R292,3)="BDI",HLOOKUP(R292,DADOS!$T$37:$X$38,2,FALSE),0)),15-11*$X$5)</f>
        <v>0.25</v>
      </c>
      <c r="AA292" s="1"/>
    </row>
    <row r="293" spans="1:27" ht="26.4" x14ac:dyDescent="0.25">
      <c r="A293" t="str">
        <f t="shared" si="38"/>
        <v>S</v>
      </c>
      <c r="B293">
        <f t="shared" si="39"/>
        <v>0</v>
      </c>
      <c r="C293">
        <f t="shared" ca="1" si="40"/>
        <v>12</v>
      </c>
      <c r="D293">
        <f t="shared" ca="1" si="41"/>
        <v>2</v>
      </c>
      <c r="E293">
        <f t="shared" ca="1" si="42"/>
        <v>0</v>
      </c>
      <c r="F293">
        <f t="shared" ca="1" si="43"/>
        <v>0</v>
      </c>
      <c r="G293">
        <f t="shared" ca="1" si="44"/>
        <v>4</v>
      </c>
      <c r="H293">
        <f t="shared" ca="1" si="36"/>
        <v>0</v>
      </c>
      <c r="I293">
        <f t="shared" ca="1" si="37"/>
        <v>0</v>
      </c>
      <c r="J293" s="356" t="s">
        <v>103</v>
      </c>
      <c r="K293" s="138" t="str">
        <f t="shared" ca="1" si="45"/>
        <v>12.2.0.4.</v>
      </c>
      <c r="L293" s="357" t="s">
        <v>233</v>
      </c>
      <c r="M293" s="357" t="s">
        <v>405</v>
      </c>
      <c r="N293" s="358" t="s">
        <v>1042</v>
      </c>
      <c r="O293" s="359" t="s">
        <v>470</v>
      </c>
      <c r="P293" s="360">
        <v>8</v>
      </c>
      <c r="Q293" s="195"/>
      <c r="R293" s="198" t="s">
        <v>7</v>
      </c>
      <c r="S293" s="103">
        <f t="shared" si="46"/>
        <v>0</v>
      </c>
      <c r="T293" s="83">
        <f t="shared" si="47"/>
        <v>0</v>
      </c>
      <c r="U293" s="9" t="str">
        <f t="shared" si="48"/>
        <v>SEM VALOR</v>
      </c>
      <c r="V293" s="1" t="str">
        <f ca="1">IF(OR($A293=0,$A293="S",$A293&gt;CFF!$A$9),"",MAX(V$12:OFFSET(V293,-1,0))+1)</f>
        <v/>
      </c>
      <c r="W293" s="4" t="str">
        <f t="shared" si="49"/>
        <v>SINAPI-94794</v>
      </c>
      <c r="X293" s="1">
        <f t="shared" ca="1" si="50"/>
        <v>5420</v>
      </c>
      <c r="Y293" s="103">
        <v>256.95</v>
      </c>
      <c r="Z293" s="113">
        <f ca="1">ROUND(IF(ISNUMBER(R293),R293,IF(LEFT(R293,3)="BDI",HLOOKUP(R293,DADOS!$T$37:$X$38,2,FALSE),0)),15-11*$X$5)</f>
        <v>0.25</v>
      </c>
      <c r="AA293" s="1"/>
    </row>
    <row r="294" spans="1:27" ht="26.4" x14ac:dyDescent="0.25">
      <c r="A294" t="str">
        <f t="shared" si="38"/>
        <v>S</v>
      </c>
      <c r="B294">
        <f t="shared" si="39"/>
        <v>0</v>
      </c>
      <c r="C294">
        <f t="shared" ca="1" si="40"/>
        <v>12</v>
      </c>
      <c r="D294">
        <f t="shared" ca="1" si="41"/>
        <v>2</v>
      </c>
      <c r="E294">
        <f t="shared" ca="1" si="42"/>
        <v>0</v>
      </c>
      <c r="F294">
        <f t="shared" ca="1" si="43"/>
        <v>0</v>
      </c>
      <c r="G294">
        <f t="shared" ca="1" si="44"/>
        <v>5</v>
      </c>
      <c r="H294">
        <f t="shared" ca="1" si="36"/>
        <v>0</v>
      </c>
      <c r="I294">
        <f t="shared" ca="1" si="37"/>
        <v>0</v>
      </c>
      <c r="J294" s="356" t="s">
        <v>103</v>
      </c>
      <c r="K294" s="138" t="str">
        <f t="shared" ca="1" si="45"/>
        <v>12.2.0.5.</v>
      </c>
      <c r="L294" s="357" t="s">
        <v>233</v>
      </c>
      <c r="M294" s="357" t="s">
        <v>406</v>
      </c>
      <c r="N294" s="358" t="s">
        <v>1043</v>
      </c>
      <c r="O294" s="359" t="s">
        <v>470</v>
      </c>
      <c r="P294" s="360">
        <v>30</v>
      </c>
      <c r="Q294" s="195"/>
      <c r="R294" s="198" t="s">
        <v>7</v>
      </c>
      <c r="S294" s="103">
        <f t="shared" si="46"/>
        <v>0</v>
      </c>
      <c r="T294" s="83">
        <f t="shared" si="47"/>
        <v>0</v>
      </c>
      <c r="U294" s="9" t="str">
        <f t="shared" si="48"/>
        <v>SEM VALOR</v>
      </c>
      <c r="V294" s="1" t="str">
        <f ca="1">IF(OR($A294=0,$A294="S",$A294&gt;CFF!$A$9),"",MAX(V$12:OFFSET(V294,-1,0))+1)</f>
        <v/>
      </c>
      <c r="W294" s="4" t="str">
        <f t="shared" si="49"/>
        <v>SINAPI-89987</v>
      </c>
      <c r="X294" s="1">
        <f t="shared" ca="1" si="50"/>
        <v>5404</v>
      </c>
      <c r="Y294" s="103">
        <v>145.06</v>
      </c>
      <c r="Z294" s="113">
        <f ca="1">ROUND(IF(ISNUMBER(R294),R294,IF(LEFT(R294,3)="BDI",HLOOKUP(R294,DADOS!$T$37:$X$38,2,FALSE),0)),15-11*$X$5)</f>
        <v>0.25</v>
      </c>
      <c r="AA294" s="1"/>
    </row>
    <row r="295" spans="1:27" ht="26.4" x14ac:dyDescent="0.25">
      <c r="A295" t="str">
        <f t="shared" si="38"/>
        <v>S</v>
      </c>
      <c r="B295">
        <f t="shared" si="39"/>
        <v>0</v>
      </c>
      <c r="C295">
        <f t="shared" ca="1" si="40"/>
        <v>12</v>
      </c>
      <c r="D295">
        <f t="shared" ca="1" si="41"/>
        <v>2</v>
      </c>
      <c r="E295">
        <f t="shared" ca="1" si="42"/>
        <v>0</v>
      </c>
      <c r="F295">
        <f t="shared" ca="1" si="43"/>
        <v>0</v>
      </c>
      <c r="G295">
        <f t="shared" ca="1" si="44"/>
        <v>6</v>
      </c>
      <c r="H295">
        <f t="shared" ca="1" si="36"/>
        <v>0</v>
      </c>
      <c r="I295">
        <f t="shared" ca="1" si="37"/>
        <v>0</v>
      </c>
      <c r="J295" s="356" t="s">
        <v>103</v>
      </c>
      <c r="K295" s="138" t="str">
        <f t="shared" ca="1" si="45"/>
        <v>12.2.0.6.</v>
      </c>
      <c r="L295" s="357" t="s">
        <v>233</v>
      </c>
      <c r="M295" s="357" t="s">
        <v>407</v>
      </c>
      <c r="N295" s="358" t="s">
        <v>1044</v>
      </c>
      <c r="O295" s="359" t="s">
        <v>470</v>
      </c>
      <c r="P295" s="360">
        <v>6</v>
      </c>
      <c r="Q295" s="195"/>
      <c r="R295" s="198" t="s">
        <v>7</v>
      </c>
      <c r="S295" s="103">
        <f t="shared" si="46"/>
        <v>0</v>
      </c>
      <c r="T295" s="83">
        <f t="shared" si="47"/>
        <v>0</v>
      </c>
      <c r="U295" s="9" t="str">
        <f t="shared" si="48"/>
        <v>SEM VALOR</v>
      </c>
      <c r="V295" s="1" t="str">
        <f ca="1">IF(OR($A295=0,$A295="S",$A295&gt;CFF!$A$9),"",MAX(V$12:OFFSET(V295,-1,0))+1)</f>
        <v/>
      </c>
      <c r="W295" s="4" t="str">
        <f t="shared" si="49"/>
        <v>SINAPI-89985</v>
      </c>
      <c r="X295" s="1">
        <f t="shared" ca="1" si="50"/>
        <v>5402</v>
      </c>
      <c r="Y295" s="103">
        <v>137.66</v>
      </c>
      <c r="Z295" s="113">
        <f ca="1">ROUND(IF(ISNUMBER(R295),R295,IF(LEFT(R295,3)="BDI",HLOOKUP(R295,DADOS!$T$37:$X$38,2,FALSE),0)),15-11*$X$5)</f>
        <v>0.25</v>
      </c>
      <c r="AA295" s="1"/>
    </row>
    <row r="296" spans="1:27" x14ac:dyDescent="0.25">
      <c r="A296">
        <f t="shared" si="38"/>
        <v>2</v>
      </c>
      <c r="B296">
        <f t="shared" ca="1" si="39"/>
        <v>2</v>
      </c>
      <c r="C296">
        <f t="shared" ca="1" si="40"/>
        <v>12</v>
      </c>
      <c r="D296">
        <f t="shared" ca="1" si="41"/>
        <v>3</v>
      </c>
      <c r="E296">
        <f t="shared" ca="1" si="42"/>
        <v>0</v>
      </c>
      <c r="F296">
        <f t="shared" ca="1" si="43"/>
        <v>0</v>
      </c>
      <c r="G296">
        <f t="shared" ca="1" si="44"/>
        <v>0</v>
      </c>
      <c r="H296">
        <f t="shared" ca="1" si="36"/>
        <v>2</v>
      </c>
      <c r="I296">
        <f t="shared" ca="1" si="37"/>
        <v>112</v>
      </c>
      <c r="J296" s="356" t="s">
        <v>100</v>
      </c>
      <c r="K296" s="138" t="str">
        <f t="shared" ca="1" si="45"/>
        <v>12.3.</v>
      </c>
      <c r="L296" s="357"/>
      <c r="M296" s="357"/>
      <c r="N296" s="358" t="s">
        <v>408</v>
      </c>
      <c r="O296" s="359" t="s">
        <v>106</v>
      </c>
      <c r="P296" s="360"/>
      <c r="Q296" s="195"/>
      <c r="R296" s="198" t="s">
        <v>7</v>
      </c>
      <c r="S296" s="103">
        <f t="shared" si="46"/>
        <v>0</v>
      </c>
      <c r="T296" s="83">
        <f t="shared" ca="1" si="47"/>
        <v>0</v>
      </c>
      <c r="U296" s="9" t="str">
        <f t="shared" ca="1" si="48"/>
        <v>SEM VALOR</v>
      </c>
      <c r="V296" s="1">
        <f ca="1">IF(OR($A296=0,$A296="S",$A296&gt;CFF!$A$9),"",MAX(V$12:OFFSET(V296,-1,0))+1)</f>
        <v>48</v>
      </c>
      <c r="W296" s="4" t="b">
        <f t="shared" si="49"/>
        <v>0</v>
      </c>
      <c r="X296" s="1" t="str">
        <f t="shared" ca="1" si="50"/>
        <v>X</v>
      </c>
      <c r="Y296" s="103">
        <v>0</v>
      </c>
      <c r="Z296" s="113">
        <f ca="1">ROUND(IF(ISNUMBER(R296),R296,IF(LEFT(R296,3)="BDI",HLOOKUP(R296,DADOS!$T$37:$X$38,2,FALSE),0)),15-11*$X$5)</f>
        <v>0.25</v>
      </c>
      <c r="AA296" s="1"/>
    </row>
    <row r="297" spans="1:27" x14ac:dyDescent="0.25">
      <c r="A297" t="str">
        <f t="shared" si="38"/>
        <v>S</v>
      </c>
      <c r="B297">
        <f t="shared" si="39"/>
        <v>0</v>
      </c>
      <c r="C297">
        <f t="shared" ca="1" si="40"/>
        <v>12</v>
      </c>
      <c r="D297">
        <f t="shared" ca="1" si="41"/>
        <v>3</v>
      </c>
      <c r="E297">
        <f t="shared" ca="1" si="42"/>
        <v>0</v>
      </c>
      <c r="F297">
        <f t="shared" ca="1" si="43"/>
        <v>0</v>
      </c>
      <c r="G297">
        <f t="shared" ca="1" si="44"/>
        <v>1</v>
      </c>
      <c r="H297">
        <f t="shared" ca="1" si="36"/>
        <v>0</v>
      </c>
      <c r="I297">
        <f t="shared" ca="1" si="37"/>
        <v>0</v>
      </c>
      <c r="J297" s="356" t="s">
        <v>103</v>
      </c>
      <c r="K297" s="138" t="str">
        <f t="shared" ca="1" si="45"/>
        <v>12.3.0.1.</v>
      </c>
      <c r="L297" s="357" t="s">
        <v>469</v>
      </c>
      <c r="M297" s="357" t="s">
        <v>783</v>
      </c>
      <c r="N297" s="358" t="s">
        <v>664</v>
      </c>
      <c r="O297" s="359" t="s">
        <v>470</v>
      </c>
      <c r="P297" s="360">
        <v>1</v>
      </c>
      <c r="Q297" s="195"/>
      <c r="R297" s="198" t="s">
        <v>7</v>
      </c>
      <c r="S297" s="103">
        <f t="shared" si="46"/>
        <v>0</v>
      </c>
      <c r="T297" s="83">
        <f t="shared" si="47"/>
        <v>0</v>
      </c>
      <c r="U297" s="9" t="str">
        <f t="shared" si="48"/>
        <v>SEM VALOR</v>
      </c>
      <c r="V297" s="1" t="str">
        <f ca="1">IF(OR($A297=0,$A297="S",$A297&gt;CFF!$A$9),"",MAX(V$12:OFFSET(V297,-1,0))+1)</f>
        <v/>
      </c>
      <c r="W297" s="4" t="str">
        <f t="shared" si="49"/>
        <v>FNDE-FNDE 391</v>
      </c>
      <c r="X297" s="1" t="e">
        <f t="shared" ca="1" si="50"/>
        <v>#N/A</v>
      </c>
      <c r="Y297" s="103">
        <v>52310.93</v>
      </c>
      <c r="Z297" s="113">
        <f ca="1">ROUND(IF(ISNUMBER(R297),R297,IF(LEFT(R297,3)="BDI",HLOOKUP(R297,DADOS!$T$37:$X$38,2,FALSE),0)),15-11*$X$5)</f>
        <v>0.25</v>
      </c>
      <c r="AA297" s="1"/>
    </row>
    <row r="298" spans="1:27" x14ac:dyDescent="0.25">
      <c r="A298">
        <f t="shared" si="38"/>
        <v>1</v>
      </c>
      <c r="B298">
        <f t="shared" ca="1" si="39"/>
        <v>11</v>
      </c>
      <c r="C298">
        <f t="shared" ca="1" si="40"/>
        <v>13</v>
      </c>
      <c r="D298">
        <f t="shared" ca="1" si="41"/>
        <v>0</v>
      </c>
      <c r="E298">
        <f t="shared" ca="1" si="42"/>
        <v>0</v>
      </c>
      <c r="F298">
        <f t="shared" ca="1" si="43"/>
        <v>0</v>
      </c>
      <c r="G298">
        <f t="shared" ca="1" si="44"/>
        <v>0</v>
      </c>
      <c r="H298">
        <f t="shared" ca="1" si="36"/>
        <v>305</v>
      </c>
      <c r="I298">
        <f t="shared" ca="1" si="37"/>
        <v>11</v>
      </c>
      <c r="J298" s="356" t="s">
        <v>99</v>
      </c>
      <c r="K298" s="138" t="str">
        <f t="shared" ca="1" si="45"/>
        <v>13.</v>
      </c>
      <c r="L298" s="357"/>
      <c r="M298" s="357"/>
      <c r="N298" s="358" t="s">
        <v>410</v>
      </c>
      <c r="O298" s="359" t="s">
        <v>106</v>
      </c>
      <c r="P298" s="360"/>
      <c r="Q298" s="195"/>
      <c r="R298" s="198" t="s">
        <v>7</v>
      </c>
      <c r="S298" s="103">
        <f t="shared" si="46"/>
        <v>0</v>
      </c>
      <c r="T298" s="83">
        <f t="shared" ca="1" si="47"/>
        <v>0</v>
      </c>
      <c r="U298" s="9" t="str">
        <f t="shared" ca="1" si="48"/>
        <v>SEM VALOR</v>
      </c>
      <c r="V298" s="1">
        <f ca="1">IF(OR($A298=0,$A298="S",$A298&gt;CFF!$A$9),"",MAX(V$12:OFFSET(V298,-1,0))+1)</f>
        <v>49</v>
      </c>
      <c r="W298" s="4" t="b">
        <f t="shared" si="49"/>
        <v>0</v>
      </c>
      <c r="X298" s="1" t="str">
        <f t="shared" ca="1" si="50"/>
        <v>X</v>
      </c>
      <c r="Y298" s="103">
        <v>0</v>
      </c>
      <c r="Z298" s="113">
        <f ca="1">ROUND(IF(ISNUMBER(R298),R298,IF(LEFT(R298,3)="BDI",HLOOKUP(R298,DADOS!$T$37:$X$38,2,FALSE),0)),15-11*$X$5)</f>
        <v>0.25</v>
      </c>
      <c r="AA298" s="1"/>
    </row>
    <row r="299" spans="1:27" x14ac:dyDescent="0.25">
      <c r="A299">
        <f t="shared" si="38"/>
        <v>2</v>
      </c>
      <c r="B299">
        <f t="shared" ca="1" si="39"/>
        <v>7</v>
      </c>
      <c r="C299">
        <f t="shared" ca="1" si="40"/>
        <v>13</v>
      </c>
      <c r="D299">
        <f t="shared" ca="1" si="41"/>
        <v>1</v>
      </c>
      <c r="E299">
        <f t="shared" ca="1" si="42"/>
        <v>0</v>
      </c>
      <c r="F299">
        <f t="shared" ca="1" si="43"/>
        <v>0</v>
      </c>
      <c r="G299">
        <f t="shared" ca="1" si="44"/>
        <v>0</v>
      </c>
      <c r="H299">
        <f t="shared" ca="1" si="36"/>
        <v>10</v>
      </c>
      <c r="I299">
        <f t="shared" ca="1" si="37"/>
        <v>7</v>
      </c>
      <c r="J299" s="356" t="s">
        <v>100</v>
      </c>
      <c r="K299" s="138" t="str">
        <f t="shared" ca="1" si="45"/>
        <v>13.1.</v>
      </c>
      <c r="L299" s="357"/>
      <c r="M299" s="357"/>
      <c r="N299" s="358" t="s">
        <v>411</v>
      </c>
      <c r="O299" s="359" t="s">
        <v>106</v>
      </c>
      <c r="P299" s="360"/>
      <c r="Q299" s="195"/>
      <c r="R299" s="198" t="s">
        <v>7</v>
      </c>
      <c r="S299" s="103">
        <f t="shared" si="46"/>
        <v>0</v>
      </c>
      <c r="T299" s="83">
        <f t="shared" ca="1" si="47"/>
        <v>0</v>
      </c>
      <c r="U299" s="9" t="str">
        <f t="shared" ca="1" si="48"/>
        <v>SEM VALOR</v>
      </c>
      <c r="V299" s="1">
        <f ca="1">IF(OR($A299=0,$A299="S",$A299&gt;CFF!$A$9),"",MAX(V$12:OFFSET(V299,-1,0))+1)</f>
        <v>50</v>
      </c>
      <c r="W299" s="4" t="b">
        <f t="shared" si="49"/>
        <v>0</v>
      </c>
      <c r="X299" s="1" t="str">
        <f t="shared" ca="1" si="50"/>
        <v>X</v>
      </c>
      <c r="Y299" s="103">
        <v>0</v>
      </c>
      <c r="Z299" s="113">
        <f ca="1">ROUND(IF(ISNUMBER(R299),R299,IF(LEFT(R299,3)="BDI",HLOOKUP(R299,DADOS!$T$37:$X$38,2,FALSE),0)),15-11*$X$5)</f>
        <v>0.25</v>
      </c>
      <c r="AA299" s="1"/>
    </row>
    <row r="300" spans="1:27" ht="26.4" x14ac:dyDescent="0.25">
      <c r="A300" t="str">
        <f t="shared" si="38"/>
        <v>S</v>
      </c>
      <c r="B300">
        <f t="shared" si="39"/>
        <v>0</v>
      </c>
      <c r="C300">
        <f t="shared" ca="1" si="40"/>
        <v>13</v>
      </c>
      <c r="D300">
        <f t="shared" ca="1" si="41"/>
        <v>1</v>
      </c>
      <c r="E300">
        <f t="shared" ca="1" si="42"/>
        <v>0</v>
      </c>
      <c r="F300">
        <f t="shared" ca="1" si="43"/>
        <v>0</v>
      </c>
      <c r="G300">
        <f t="shared" ca="1" si="44"/>
        <v>1</v>
      </c>
      <c r="H300">
        <f t="shared" ca="1" si="36"/>
        <v>0</v>
      </c>
      <c r="I300">
        <f t="shared" ca="1" si="37"/>
        <v>0</v>
      </c>
      <c r="J300" s="356" t="s">
        <v>103</v>
      </c>
      <c r="K300" s="138" t="str">
        <f t="shared" ca="1" si="45"/>
        <v>13.1.0.1.</v>
      </c>
      <c r="L300" s="357" t="s">
        <v>233</v>
      </c>
      <c r="M300" s="357" t="s">
        <v>412</v>
      </c>
      <c r="N300" s="358" t="s">
        <v>1045</v>
      </c>
      <c r="O300" s="359" t="s">
        <v>590</v>
      </c>
      <c r="P300" s="360">
        <v>246.6</v>
      </c>
      <c r="Q300" s="195"/>
      <c r="R300" s="198" t="s">
        <v>7</v>
      </c>
      <c r="S300" s="103">
        <f t="shared" si="46"/>
        <v>0</v>
      </c>
      <c r="T300" s="83">
        <f t="shared" si="47"/>
        <v>0</v>
      </c>
      <c r="U300" s="9" t="str">
        <f t="shared" si="48"/>
        <v>SEM VALOR</v>
      </c>
      <c r="V300" s="1" t="str">
        <f ca="1">IF(OR($A300=0,$A300="S",$A300&gt;CFF!$A$9),"",MAX(V$12:OFFSET(V300,-1,0))+1)</f>
        <v/>
      </c>
      <c r="W300" s="4" t="str">
        <f t="shared" si="49"/>
        <v>SINAPI-89578</v>
      </c>
      <c r="X300" s="1">
        <f t="shared" ca="1" si="50"/>
        <v>3595</v>
      </c>
      <c r="Y300" s="103">
        <v>41.45</v>
      </c>
      <c r="Z300" s="113">
        <f ca="1">ROUND(IF(ISNUMBER(R300),R300,IF(LEFT(R300,3)="BDI",HLOOKUP(R300,DADOS!$T$37:$X$38,2,FALSE),0)),15-11*$X$5)</f>
        <v>0.25</v>
      </c>
      <c r="AA300" s="1"/>
    </row>
    <row r="301" spans="1:27" ht="26.4" x14ac:dyDescent="0.25">
      <c r="A301" t="str">
        <f t="shared" si="38"/>
        <v>S</v>
      </c>
      <c r="B301">
        <f t="shared" si="39"/>
        <v>0</v>
      </c>
      <c r="C301">
        <f t="shared" ca="1" si="40"/>
        <v>13</v>
      </c>
      <c r="D301">
        <f t="shared" ca="1" si="41"/>
        <v>1</v>
      </c>
      <c r="E301">
        <f t="shared" ca="1" si="42"/>
        <v>0</v>
      </c>
      <c r="F301">
        <f t="shared" ca="1" si="43"/>
        <v>0</v>
      </c>
      <c r="G301">
        <f t="shared" ca="1" si="44"/>
        <v>2</v>
      </c>
      <c r="H301">
        <f t="shared" ca="1" si="36"/>
        <v>0</v>
      </c>
      <c r="I301">
        <f t="shared" ca="1" si="37"/>
        <v>0</v>
      </c>
      <c r="J301" s="356" t="s">
        <v>103</v>
      </c>
      <c r="K301" s="138" t="str">
        <f t="shared" ca="1" si="45"/>
        <v>13.1.0.2.</v>
      </c>
      <c r="L301" s="357" t="s">
        <v>233</v>
      </c>
      <c r="M301" s="357" t="s">
        <v>413</v>
      </c>
      <c r="N301" s="358" t="s">
        <v>1046</v>
      </c>
      <c r="O301" s="359" t="s">
        <v>590</v>
      </c>
      <c r="P301" s="360">
        <v>3</v>
      </c>
      <c r="Q301" s="195"/>
      <c r="R301" s="198" t="s">
        <v>7</v>
      </c>
      <c r="S301" s="103">
        <f t="shared" si="46"/>
        <v>0</v>
      </c>
      <c r="T301" s="83">
        <f t="shared" si="47"/>
        <v>0</v>
      </c>
      <c r="U301" s="9" t="str">
        <f t="shared" si="48"/>
        <v>SEM VALOR</v>
      </c>
      <c r="V301" s="1" t="str">
        <f ca="1">IF(OR($A301=0,$A301="S",$A301&gt;CFF!$A$9),"",MAX(V$12:OFFSET(V301,-1,0))+1)</f>
        <v/>
      </c>
      <c r="W301" s="4" t="str">
        <f t="shared" si="49"/>
        <v>SINAPI-89580</v>
      </c>
      <c r="X301" s="1">
        <f t="shared" ca="1" si="50"/>
        <v>3596</v>
      </c>
      <c r="Y301" s="103">
        <v>85.56</v>
      </c>
      <c r="Z301" s="113">
        <f ca="1">ROUND(IF(ISNUMBER(R301),R301,IF(LEFT(R301,3)="BDI",HLOOKUP(R301,DADOS!$T$37:$X$38,2,FALSE),0)),15-11*$X$5)</f>
        <v>0.25</v>
      </c>
      <c r="AA301" s="1"/>
    </row>
    <row r="302" spans="1:27" ht="26.4" x14ac:dyDescent="0.25">
      <c r="A302" t="str">
        <f t="shared" si="38"/>
        <v>S</v>
      </c>
      <c r="B302">
        <f t="shared" si="39"/>
        <v>0</v>
      </c>
      <c r="C302">
        <f t="shared" ca="1" si="40"/>
        <v>13</v>
      </c>
      <c r="D302">
        <f t="shared" ca="1" si="41"/>
        <v>1</v>
      </c>
      <c r="E302">
        <f t="shared" ca="1" si="42"/>
        <v>0</v>
      </c>
      <c r="F302">
        <f t="shared" ca="1" si="43"/>
        <v>0</v>
      </c>
      <c r="G302">
        <f t="shared" ca="1" si="44"/>
        <v>3</v>
      </c>
      <c r="H302">
        <f t="shared" ca="1" si="36"/>
        <v>0</v>
      </c>
      <c r="I302">
        <f t="shared" ca="1" si="37"/>
        <v>0</v>
      </c>
      <c r="J302" s="356" t="s">
        <v>103</v>
      </c>
      <c r="K302" s="138" t="str">
        <f t="shared" ca="1" si="45"/>
        <v>13.1.0.3.</v>
      </c>
      <c r="L302" s="357" t="s">
        <v>233</v>
      </c>
      <c r="M302" s="357" t="s">
        <v>414</v>
      </c>
      <c r="N302" s="358" t="s">
        <v>1047</v>
      </c>
      <c r="O302" s="359" t="s">
        <v>470</v>
      </c>
      <c r="P302" s="360">
        <v>11</v>
      </c>
      <c r="Q302" s="195"/>
      <c r="R302" s="198" t="s">
        <v>7</v>
      </c>
      <c r="S302" s="103">
        <f t="shared" si="46"/>
        <v>0</v>
      </c>
      <c r="T302" s="83">
        <f t="shared" si="47"/>
        <v>0</v>
      </c>
      <c r="U302" s="9" t="str">
        <f t="shared" si="48"/>
        <v>SEM VALOR</v>
      </c>
      <c r="V302" s="1" t="str">
        <f ca="1">IF(OR($A302=0,$A302="S",$A302&gt;CFF!$A$9),"",MAX(V$12:OFFSET(V302,-1,0))+1)</f>
        <v/>
      </c>
      <c r="W302" s="4" t="str">
        <f t="shared" si="49"/>
        <v>SINAPI-89585</v>
      </c>
      <c r="X302" s="1">
        <f t="shared" ca="1" si="50"/>
        <v>3988</v>
      </c>
      <c r="Y302" s="103">
        <v>56.84</v>
      </c>
      <c r="Z302" s="113">
        <f ca="1">ROUND(IF(ISNUMBER(R302),R302,IF(LEFT(R302,3)="BDI",HLOOKUP(R302,DADOS!$T$37:$X$38,2,FALSE),0)),15-11*$X$5)</f>
        <v>0.25</v>
      </c>
      <c r="AA302" s="1"/>
    </row>
    <row r="303" spans="1:27" ht="26.4" x14ac:dyDescent="0.25">
      <c r="A303" t="str">
        <f t="shared" si="38"/>
        <v>S</v>
      </c>
      <c r="B303">
        <f t="shared" si="39"/>
        <v>0</v>
      </c>
      <c r="C303">
        <f t="shared" ca="1" si="40"/>
        <v>13</v>
      </c>
      <c r="D303">
        <f t="shared" ca="1" si="41"/>
        <v>1</v>
      </c>
      <c r="E303">
        <f t="shared" ca="1" si="42"/>
        <v>0</v>
      </c>
      <c r="F303">
        <f t="shared" ca="1" si="43"/>
        <v>0</v>
      </c>
      <c r="G303">
        <f t="shared" ca="1" si="44"/>
        <v>4</v>
      </c>
      <c r="H303">
        <f t="shared" ca="1" si="36"/>
        <v>0</v>
      </c>
      <c r="I303">
        <f t="shared" ca="1" si="37"/>
        <v>0</v>
      </c>
      <c r="J303" s="356" t="s">
        <v>103</v>
      </c>
      <c r="K303" s="138" t="str">
        <f t="shared" ca="1" si="45"/>
        <v>13.1.0.4.</v>
      </c>
      <c r="L303" s="357" t="s">
        <v>233</v>
      </c>
      <c r="M303" s="357" t="s">
        <v>415</v>
      </c>
      <c r="N303" s="358" t="s">
        <v>1048</v>
      </c>
      <c r="O303" s="359" t="s">
        <v>470</v>
      </c>
      <c r="P303" s="360">
        <v>47</v>
      </c>
      <c r="Q303" s="195"/>
      <c r="R303" s="198" t="s">
        <v>7</v>
      </c>
      <c r="S303" s="103">
        <f t="shared" si="46"/>
        <v>0</v>
      </c>
      <c r="T303" s="83">
        <f t="shared" si="47"/>
        <v>0</v>
      </c>
      <c r="U303" s="9" t="str">
        <f t="shared" si="48"/>
        <v>SEM VALOR</v>
      </c>
      <c r="V303" s="1" t="str">
        <f ca="1">IF(OR($A303=0,$A303="S",$A303&gt;CFF!$A$9),"",MAX(V$12:OFFSET(V303,-1,0))+1)</f>
        <v/>
      </c>
      <c r="W303" s="4" t="str">
        <f t="shared" si="49"/>
        <v>SINAPI-89584</v>
      </c>
      <c r="X303" s="1">
        <f t="shared" ca="1" si="50"/>
        <v>3987</v>
      </c>
      <c r="Y303" s="103">
        <v>55.55</v>
      </c>
      <c r="Z303" s="113">
        <f ca="1">ROUND(IF(ISNUMBER(R303),R303,IF(LEFT(R303,3)="BDI",HLOOKUP(R303,DADOS!$T$37:$X$38,2,FALSE),0)),15-11*$X$5)</f>
        <v>0.25</v>
      </c>
      <c r="AA303" s="1"/>
    </row>
    <row r="304" spans="1:27" ht="26.4" x14ac:dyDescent="0.25">
      <c r="A304" t="str">
        <f t="shared" si="38"/>
        <v>S</v>
      </c>
      <c r="B304">
        <f t="shared" si="39"/>
        <v>0</v>
      </c>
      <c r="C304">
        <f t="shared" ca="1" si="40"/>
        <v>13</v>
      </c>
      <c r="D304">
        <f t="shared" ca="1" si="41"/>
        <v>1</v>
      </c>
      <c r="E304">
        <f t="shared" ca="1" si="42"/>
        <v>0</v>
      </c>
      <c r="F304">
        <f t="shared" ca="1" si="43"/>
        <v>0</v>
      </c>
      <c r="G304">
        <f t="shared" ca="1" si="44"/>
        <v>5</v>
      </c>
      <c r="H304">
        <f t="shared" ca="1" si="36"/>
        <v>0</v>
      </c>
      <c r="I304">
        <f t="shared" ca="1" si="37"/>
        <v>0</v>
      </c>
      <c r="J304" s="356" t="s">
        <v>103</v>
      </c>
      <c r="K304" s="138" t="str">
        <f t="shared" ca="1" si="45"/>
        <v>13.1.0.5.</v>
      </c>
      <c r="L304" s="357" t="s">
        <v>233</v>
      </c>
      <c r="M304" s="357" t="s">
        <v>416</v>
      </c>
      <c r="N304" s="358" t="s">
        <v>1049</v>
      </c>
      <c r="O304" s="359" t="s">
        <v>470</v>
      </c>
      <c r="P304" s="360">
        <v>4</v>
      </c>
      <c r="Q304" s="195"/>
      <c r="R304" s="198" t="s">
        <v>7</v>
      </c>
      <c r="S304" s="103">
        <f t="shared" si="46"/>
        <v>0</v>
      </c>
      <c r="T304" s="83">
        <f t="shared" si="47"/>
        <v>0</v>
      </c>
      <c r="U304" s="9" t="str">
        <f t="shared" si="48"/>
        <v>SEM VALOR</v>
      </c>
      <c r="V304" s="1" t="str">
        <f ca="1">IF(OR($A304=0,$A304="S",$A304&gt;CFF!$A$9),"",MAX(V$12:OFFSET(V304,-1,0))+1)</f>
        <v/>
      </c>
      <c r="W304" s="4" t="str">
        <f t="shared" si="49"/>
        <v>SINAPI-89567</v>
      </c>
      <c r="X304" s="1">
        <f t="shared" ca="1" si="50"/>
        <v>3973</v>
      </c>
      <c r="Y304" s="103">
        <v>98.94</v>
      </c>
      <c r="Z304" s="113">
        <f ca="1">ROUND(IF(ISNUMBER(R304),R304,IF(LEFT(R304,3)="BDI",HLOOKUP(R304,DADOS!$T$37:$X$38,2,FALSE),0)),15-11*$X$5)</f>
        <v>0.25</v>
      </c>
      <c r="AA304" s="1"/>
    </row>
    <row r="305" spans="1:27" ht="26.4" x14ac:dyDescent="0.25">
      <c r="A305" t="str">
        <f t="shared" si="38"/>
        <v>S</v>
      </c>
      <c r="B305">
        <f t="shared" si="39"/>
        <v>0</v>
      </c>
      <c r="C305">
        <f t="shared" ca="1" si="40"/>
        <v>13</v>
      </c>
      <c r="D305">
        <f t="shared" ca="1" si="41"/>
        <v>1</v>
      </c>
      <c r="E305">
        <f t="shared" ca="1" si="42"/>
        <v>0</v>
      </c>
      <c r="F305">
        <f t="shared" ca="1" si="43"/>
        <v>0</v>
      </c>
      <c r="G305">
        <f t="shared" ca="1" si="44"/>
        <v>6</v>
      </c>
      <c r="H305">
        <f t="shared" ca="1" si="36"/>
        <v>0</v>
      </c>
      <c r="I305">
        <f t="shared" ca="1" si="37"/>
        <v>0</v>
      </c>
      <c r="J305" s="356" t="s">
        <v>103</v>
      </c>
      <c r="K305" s="138" t="str">
        <f t="shared" ca="1" si="45"/>
        <v>13.1.0.6.</v>
      </c>
      <c r="L305" s="357" t="s">
        <v>233</v>
      </c>
      <c r="M305" s="357" t="s">
        <v>417</v>
      </c>
      <c r="N305" s="358" t="s">
        <v>1050</v>
      </c>
      <c r="O305" s="359" t="s">
        <v>470</v>
      </c>
      <c r="P305" s="360">
        <v>1</v>
      </c>
      <c r="Q305" s="195"/>
      <c r="R305" s="198" t="s">
        <v>7</v>
      </c>
      <c r="S305" s="103">
        <f t="shared" si="46"/>
        <v>0</v>
      </c>
      <c r="T305" s="83">
        <f t="shared" si="47"/>
        <v>0</v>
      </c>
      <c r="U305" s="9" t="str">
        <f t="shared" si="48"/>
        <v>SEM VALOR</v>
      </c>
      <c r="V305" s="1" t="str">
        <f ca="1">IF(OR($A305=0,$A305="S",$A305&gt;CFF!$A$9),"",MAX(V$12:OFFSET(V305,-1,0))+1)</f>
        <v/>
      </c>
      <c r="W305" s="4" t="str">
        <f t="shared" si="49"/>
        <v>SINAPI-89675</v>
      </c>
      <c r="X305" s="1">
        <f t="shared" ca="1" si="50"/>
        <v>4060</v>
      </c>
      <c r="Y305" s="103">
        <v>88.48</v>
      </c>
      <c r="Z305" s="113">
        <f ca="1">ROUND(IF(ISNUMBER(R305),R305,IF(LEFT(R305,3)="BDI",HLOOKUP(R305,DADOS!$T$37:$X$38,2,FALSE),0)),15-11*$X$5)</f>
        <v>0.25</v>
      </c>
      <c r="AA305" s="1"/>
    </row>
    <row r="306" spans="1:27" x14ac:dyDescent="0.25">
      <c r="A306">
        <f t="shared" si="38"/>
        <v>2</v>
      </c>
      <c r="B306">
        <f t="shared" ca="1" si="39"/>
        <v>3</v>
      </c>
      <c r="C306">
        <f t="shared" ca="1" si="40"/>
        <v>13</v>
      </c>
      <c r="D306">
        <f t="shared" ca="1" si="41"/>
        <v>2</v>
      </c>
      <c r="E306">
        <f t="shared" ca="1" si="42"/>
        <v>0</v>
      </c>
      <c r="F306">
        <f t="shared" ca="1" si="43"/>
        <v>0</v>
      </c>
      <c r="G306">
        <f t="shared" ca="1" si="44"/>
        <v>0</v>
      </c>
      <c r="H306">
        <f t="shared" ca="1" si="36"/>
        <v>3</v>
      </c>
      <c r="I306">
        <f t="shared" ca="1" si="37"/>
        <v>93</v>
      </c>
      <c r="J306" s="356" t="s">
        <v>100</v>
      </c>
      <c r="K306" s="138" t="str">
        <f t="shared" ca="1" si="45"/>
        <v>13.2.</v>
      </c>
      <c r="L306" s="357"/>
      <c r="M306" s="357"/>
      <c r="N306" s="358" t="s">
        <v>418</v>
      </c>
      <c r="O306" s="359" t="s">
        <v>106</v>
      </c>
      <c r="P306" s="360"/>
      <c r="Q306" s="195"/>
      <c r="R306" s="198" t="s">
        <v>7</v>
      </c>
      <c r="S306" s="103">
        <f t="shared" si="46"/>
        <v>0</v>
      </c>
      <c r="T306" s="83">
        <f t="shared" ca="1" si="47"/>
        <v>0</v>
      </c>
      <c r="U306" s="9" t="str">
        <f t="shared" ca="1" si="48"/>
        <v>SEM VALOR</v>
      </c>
      <c r="V306" s="1">
        <f ca="1">IF(OR($A306=0,$A306="S",$A306&gt;CFF!$A$9),"",MAX(V$12:OFFSET(V306,-1,0))+1)</f>
        <v>51</v>
      </c>
      <c r="W306" s="4" t="b">
        <f t="shared" si="49"/>
        <v>0</v>
      </c>
      <c r="X306" s="1" t="str">
        <f t="shared" ca="1" si="50"/>
        <v>X</v>
      </c>
      <c r="Y306" s="103">
        <v>0</v>
      </c>
      <c r="Z306" s="113">
        <f ca="1">ROUND(IF(ISNUMBER(R306),R306,IF(LEFT(R306,3)="BDI",HLOOKUP(R306,DADOS!$T$37:$X$38,2,FALSE),0)),15-11*$X$5)</f>
        <v>0.25</v>
      </c>
      <c r="AA306" s="1"/>
    </row>
    <row r="307" spans="1:27" ht="26.4" x14ac:dyDescent="0.25">
      <c r="A307" t="str">
        <f t="shared" si="38"/>
        <v>S</v>
      </c>
      <c r="B307">
        <f t="shared" si="39"/>
        <v>0</v>
      </c>
      <c r="C307">
        <f t="shared" ca="1" si="40"/>
        <v>13</v>
      </c>
      <c r="D307">
        <f t="shared" ca="1" si="41"/>
        <v>2</v>
      </c>
      <c r="E307">
        <f t="shared" ca="1" si="42"/>
        <v>0</v>
      </c>
      <c r="F307">
        <f t="shared" ca="1" si="43"/>
        <v>0</v>
      </c>
      <c r="G307">
        <f t="shared" ca="1" si="44"/>
        <v>1</v>
      </c>
      <c r="H307">
        <f t="shared" ca="1" si="36"/>
        <v>0</v>
      </c>
      <c r="I307">
        <f t="shared" ca="1" si="37"/>
        <v>0</v>
      </c>
      <c r="J307" s="356" t="s">
        <v>103</v>
      </c>
      <c r="K307" s="138" t="str">
        <f t="shared" ca="1" si="45"/>
        <v>13.2.0.1.</v>
      </c>
      <c r="L307" s="357" t="s">
        <v>233</v>
      </c>
      <c r="M307" s="357" t="s">
        <v>419</v>
      </c>
      <c r="N307" s="358" t="s">
        <v>1051</v>
      </c>
      <c r="O307" s="359" t="s">
        <v>470</v>
      </c>
      <c r="P307" s="360">
        <v>9</v>
      </c>
      <c r="Q307" s="195"/>
      <c r="R307" s="198" t="s">
        <v>7</v>
      </c>
      <c r="S307" s="103">
        <f t="shared" si="46"/>
        <v>0</v>
      </c>
      <c r="T307" s="83">
        <f t="shared" si="47"/>
        <v>0</v>
      </c>
      <c r="U307" s="9" t="str">
        <f t="shared" si="48"/>
        <v>SEM VALOR</v>
      </c>
      <c r="V307" s="1" t="str">
        <f ca="1">IF(OR($A307=0,$A307="S",$A307&gt;CFF!$A$9),"",MAX(V$12:OFFSET(V307,-1,0))+1)</f>
        <v/>
      </c>
      <c r="W307" s="4" t="str">
        <f t="shared" si="49"/>
        <v>SINAPI-99253</v>
      </c>
      <c r="X307" s="1">
        <f t="shared" ca="1" si="50"/>
        <v>5187</v>
      </c>
      <c r="Y307" s="103">
        <v>710.78</v>
      </c>
      <c r="Z307" s="113">
        <f ca="1">ROUND(IF(ISNUMBER(R307),R307,IF(LEFT(R307,3)="BDI",HLOOKUP(R307,DADOS!$T$37:$X$38,2,FALSE),0)),15-11*$X$5)</f>
        <v>0.25</v>
      </c>
      <c r="AA307" s="1"/>
    </row>
    <row r="308" spans="1:27" ht="26.4" x14ac:dyDescent="0.25">
      <c r="A308" t="str">
        <f t="shared" si="38"/>
        <v>S</v>
      </c>
      <c r="B308">
        <f t="shared" si="39"/>
        <v>0</v>
      </c>
      <c r="C308">
        <f t="shared" ca="1" si="40"/>
        <v>13</v>
      </c>
      <c r="D308">
        <f t="shared" ca="1" si="41"/>
        <v>2</v>
      </c>
      <c r="E308">
        <f t="shared" ca="1" si="42"/>
        <v>0</v>
      </c>
      <c r="F308">
        <f t="shared" ca="1" si="43"/>
        <v>0</v>
      </c>
      <c r="G308">
        <f t="shared" ca="1" si="44"/>
        <v>2</v>
      </c>
      <c r="H308">
        <f t="shared" ca="1" si="36"/>
        <v>0</v>
      </c>
      <c r="I308">
        <f t="shared" ca="1" si="37"/>
        <v>0</v>
      </c>
      <c r="J308" s="356" t="s">
        <v>103</v>
      </c>
      <c r="K308" s="138" t="str">
        <f t="shared" ca="1" si="45"/>
        <v>13.2.0.2.</v>
      </c>
      <c r="L308" s="357" t="s">
        <v>233</v>
      </c>
      <c r="M308" s="357" t="s">
        <v>420</v>
      </c>
      <c r="N308" s="358" t="s">
        <v>1052</v>
      </c>
      <c r="O308" s="359" t="s">
        <v>470</v>
      </c>
      <c r="P308" s="360">
        <v>11</v>
      </c>
      <c r="Q308" s="195"/>
      <c r="R308" s="198" t="s">
        <v>7</v>
      </c>
      <c r="S308" s="103">
        <f t="shared" si="46"/>
        <v>0</v>
      </c>
      <c r="T308" s="83">
        <f t="shared" si="47"/>
        <v>0</v>
      </c>
      <c r="U308" s="9" t="str">
        <f t="shared" si="48"/>
        <v>SEM VALOR</v>
      </c>
      <c r="V308" s="1" t="str">
        <f ca="1">IF(OR($A308=0,$A308="S",$A308&gt;CFF!$A$9),"",MAX(V$12:OFFSET(V308,-1,0))+1)</f>
        <v/>
      </c>
      <c r="W308" s="4" t="str">
        <f t="shared" si="49"/>
        <v>SINAPI-89482</v>
      </c>
      <c r="X308" s="1">
        <f t="shared" ca="1" si="50"/>
        <v>5231</v>
      </c>
      <c r="Y308" s="103">
        <v>50.14</v>
      </c>
      <c r="Z308" s="113">
        <f ca="1">ROUND(IF(ISNUMBER(R308),R308,IF(LEFT(R308,3)="BDI",HLOOKUP(R308,DADOS!$T$37:$X$38,2,FALSE),0)),15-11*$X$5)</f>
        <v>0.25</v>
      </c>
      <c r="AA308" s="1"/>
    </row>
    <row r="309" spans="1:27" x14ac:dyDescent="0.25">
      <c r="A309">
        <f t="shared" si="38"/>
        <v>1</v>
      </c>
      <c r="B309">
        <f t="shared" ca="1" si="39"/>
        <v>34</v>
      </c>
      <c r="C309">
        <f t="shared" ca="1" si="40"/>
        <v>14</v>
      </c>
      <c r="D309">
        <f t="shared" ca="1" si="41"/>
        <v>0</v>
      </c>
      <c r="E309">
        <f t="shared" ca="1" si="42"/>
        <v>0</v>
      </c>
      <c r="F309">
        <f t="shared" ca="1" si="43"/>
        <v>0</v>
      </c>
      <c r="G309">
        <f t="shared" ca="1" si="44"/>
        <v>0</v>
      </c>
      <c r="H309">
        <f t="shared" ca="1" si="36"/>
        <v>294</v>
      </c>
      <c r="I309">
        <f t="shared" ca="1" si="37"/>
        <v>34</v>
      </c>
      <c r="J309" s="356" t="s">
        <v>99</v>
      </c>
      <c r="K309" s="138" t="str">
        <f t="shared" ca="1" si="45"/>
        <v>14.</v>
      </c>
      <c r="L309" s="357"/>
      <c r="M309" s="357"/>
      <c r="N309" s="358" t="s">
        <v>421</v>
      </c>
      <c r="O309" s="359" t="s">
        <v>106</v>
      </c>
      <c r="P309" s="360"/>
      <c r="Q309" s="195"/>
      <c r="R309" s="198" t="s">
        <v>7</v>
      </c>
      <c r="S309" s="103">
        <f t="shared" si="46"/>
        <v>0</v>
      </c>
      <c r="T309" s="83">
        <f t="shared" ca="1" si="47"/>
        <v>0</v>
      </c>
      <c r="U309" s="9" t="str">
        <f t="shared" ca="1" si="48"/>
        <v>SEM VALOR</v>
      </c>
      <c r="V309" s="1">
        <f ca="1">IF(OR($A309=0,$A309="S",$A309&gt;CFF!$A$9),"",MAX(V$12:OFFSET(V309,-1,0))+1)</f>
        <v>52</v>
      </c>
      <c r="W309" s="4" t="b">
        <f t="shared" si="49"/>
        <v>0</v>
      </c>
      <c r="X309" s="1" t="str">
        <f t="shared" ca="1" si="50"/>
        <v>X</v>
      </c>
      <c r="Y309" s="103">
        <v>0</v>
      </c>
      <c r="Z309" s="113">
        <f ca="1">ROUND(IF(ISNUMBER(R309),R309,IF(LEFT(R309,3)="BDI",HLOOKUP(R309,DADOS!$T$37:$X$38,2,FALSE),0)),15-11*$X$5)</f>
        <v>0.25</v>
      </c>
      <c r="AA309" s="1"/>
    </row>
    <row r="310" spans="1:27" x14ac:dyDescent="0.25">
      <c r="A310">
        <f t="shared" si="38"/>
        <v>2</v>
      </c>
      <c r="B310">
        <f t="shared" ca="1" si="39"/>
        <v>30</v>
      </c>
      <c r="C310">
        <f t="shared" ca="1" si="40"/>
        <v>14</v>
      </c>
      <c r="D310">
        <f t="shared" ca="1" si="41"/>
        <v>1</v>
      </c>
      <c r="E310">
        <f t="shared" ca="1" si="42"/>
        <v>0</v>
      </c>
      <c r="F310">
        <f t="shared" ca="1" si="43"/>
        <v>0</v>
      </c>
      <c r="G310">
        <f t="shared" ca="1" si="44"/>
        <v>0</v>
      </c>
      <c r="H310">
        <f t="shared" ca="1" si="36"/>
        <v>33</v>
      </c>
      <c r="I310">
        <f t="shared" ca="1" si="37"/>
        <v>30</v>
      </c>
      <c r="J310" s="356" t="s">
        <v>100</v>
      </c>
      <c r="K310" s="138" t="str">
        <f t="shared" ca="1" si="45"/>
        <v>14.1.</v>
      </c>
      <c r="L310" s="357"/>
      <c r="M310" s="357"/>
      <c r="N310" s="358" t="s">
        <v>446</v>
      </c>
      <c r="O310" s="359" t="s">
        <v>106</v>
      </c>
      <c r="P310" s="360"/>
      <c r="Q310" s="195"/>
      <c r="R310" s="198" t="s">
        <v>7</v>
      </c>
      <c r="S310" s="103">
        <f t="shared" si="46"/>
        <v>0</v>
      </c>
      <c r="T310" s="83">
        <f t="shared" ca="1" si="47"/>
        <v>0</v>
      </c>
      <c r="U310" s="9" t="str">
        <f t="shared" ca="1" si="48"/>
        <v>SEM VALOR</v>
      </c>
      <c r="V310" s="1">
        <f ca="1">IF(OR($A310=0,$A310="S",$A310&gt;CFF!$A$9),"",MAX(V$12:OFFSET(V310,-1,0))+1)</f>
        <v>53</v>
      </c>
      <c r="W310" s="4" t="b">
        <f t="shared" si="49"/>
        <v>0</v>
      </c>
      <c r="X310" s="1" t="str">
        <f t="shared" ca="1" si="50"/>
        <v>X</v>
      </c>
      <c r="Y310" s="103">
        <v>0</v>
      </c>
      <c r="Z310" s="113">
        <f ca="1">ROUND(IF(ISNUMBER(R310),R310,IF(LEFT(R310,3)="BDI",HLOOKUP(R310,DADOS!$T$37:$X$38,2,FALSE),0)),15-11*$X$5)</f>
        <v>0.25</v>
      </c>
      <c r="AA310" s="1"/>
    </row>
    <row r="311" spans="1:27" ht="26.4" x14ac:dyDescent="0.25">
      <c r="A311" t="str">
        <f t="shared" si="38"/>
        <v>S</v>
      </c>
      <c r="B311">
        <f t="shared" si="39"/>
        <v>0</v>
      </c>
      <c r="C311">
        <f t="shared" ca="1" si="40"/>
        <v>14</v>
      </c>
      <c r="D311">
        <f t="shared" ca="1" si="41"/>
        <v>1</v>
      </c>
      <c r="E311">
        <f t="shared" ca="1" si="42"/>
        <v>0</v>
      </c>
      <c r="F311">
        <f t="shared" ca="1" si="43"/>
        <v>0</v>
      </c>
      <c r="G311">
        <f t="shared" ca="1" si="44"/>
        <v>1</v>
      </c>
      <c r="H311">
        <f t="shared" ca="1" si="36"/>
        <v>0</v>
      </c>
      <c r="I311">
        <f t="shared" ca="1" si="37"/>
        <v>0</v>
      </c>
      <c r="J311" s="356" t="s">
        <v>103</v>
      </c>
      <c r="K311" s="138" t="str">
        <f t="shared" ca="1" si="45"/>
        <v>14.1.0.1.</v>
      </c>
      <c r="L311" s="357" t="s">
        <v>233</v>
      </c>
      <c r="M311" s="357" t="s">
        <v>422</v>
      </c>
      <c r="N311" s="358" t="s">
        <v>1053</v>
      </c>
      <c r="O311" s="359" t="s">
        <v>590</v>
      </c>
      <c r="P311" s="360">
        <v>149.30000000000001</v>
      </c>
      <c r="Q311" s="195"/>
      <c r="R311" s="198" t="s">
        <v>7</v>
      </c>
      <c r="S311" s="103">
        <f t="shared" si="46"/>
        <v>0</v>
      </c>
      <c r="T311" s="83">
        <f t="shared" si="47"/>
        <v>0</v>
      </c>
      <c r="U311" s="9" t="str">
        <f t="shared" si="48"/>
        <v>SEM VALOR</v>
      </c>
      <c r="V311" s="1" t="str">
        <f ca="1">IF(OR($A311=0,$A311="S",$A311&gt;CFF!$A$9),"",MAX(V$12:OFFSET(V311,-1,0))+1)</f>
        <v/>
      </c>
      <c r="W311" s="4" t="str">
        <f t="shared" si="49"/>
        <v>SINAPI-89714</v>
      </c>
      <c r="X311" s="1">
        <f t="shared" ca="1" si="50"/>
        <v>3604</v>
      </c>
      <c r="Y311" s="103">
        <v>49.09</v>
      </c>
      <c r="Z311" s="113">
        <f ca="1">ROUND(IF(ISNUMBER(R311),R311,IF(LEFT(R311,3)="BDI",HLOOKUP(R311,DADOS!$T$37:$X$38,2,FALSE),0)),15-11*$X$5)</f>
        <v>0.25</v>
      </c>
      <c r="AA311" s="1"/>
    </row>
    <row r="312" spans="1:27" ht="26.4" x14ac:dyDescent="0.25">
      <c r="A312" t="str">
        <f t="shared" si="38"/>
        <v>S</v>
      </c>
      <c r="B312">
        <f t="shared" si="39"/>
        <v>0</v>
      </c>
      <c r="C312">
        <f t="shared" ca="1" si="40"/>
        <v>14</v>
      </c>
      <c r="D312">
        <f t="shared" ca="1" si="41"/>
        <v>1</v>
      </c>
      <c r="E312">
        <f t="shared" ca="1" si="42"/>
        <v>0</v>
      </c>
      <c r="F312">
        <f t="shared" ca="1" si="43"/>
        <v>0</v>
      </c>
      <c r="G312">
        <f t="shared" ca="1" si="44"/>
        <v>2</v>
      </c>
      <c r="H312">
        <f t="shared" ca="1" si="36"/>
        <v>0</v>
      </c>
      <c r="I312">
        <f t="shared" ca="1" si="37"/>
        <v>0</v>
      </c>
      <c r="J312" s="356" t="s">
        <v>103</v>
      </c>
      <c r="K312" s="138" t="str">
        <f t="shared" ca="1" si="45"/>
        <v>14.1.0.2.</v>
      </c>
      <c r="L312" s="357" t="s">
        <v>233</v>
      </c>
      <c r="M312" s="357" t="s">
        <v>423</v>
      </c>
      <c r="N312" s="358" t="s">
        <v>1054</v>
      </c>
      <c r="O312" s="359" t="s">
        <v>590</v>
      </c>
      <c r="P312" s="360">
        <v>115.3</v>
      </c>
      <c r="Q312" s="195"/>
      <c r="R312" s="198" t="s">
        <v>7</v>
      </c>
      <c r="S312" s="103">
        <f t="shared" si="46"/>
        <v>0</v>
      </c>
      <c r="T312" s="83">
        <f t="shared" si="47"/>
        <v>0</v>
      </c>
      <c r="U312" s="9" t="str">
        <f t="shared" si="48"/>
        <v>SEM VALOR</v>
      </c>
      <c r="V312" s="1" t="str">
        <f ca="1">IF(OR($A312=0,$A312="S",$A312&gt;CFF!$A$9),"",MAX(V$12:OFFSET(V312,-1,0))+1)</f>
        <v/>
      </c>
      <c r="W312" s="4" t="str">
        <f t="shared" si="49"/>
        <v>SINAPI-89711</v>
      </c>
      <c r="X312" s="1">
        <f t="shared" ca="1" si="50"/>
        <v>3601</v>
      </c>
      <c r="Y312" s="103">
        <v>27.99</v>
      </c>
      <c r="Z312" s="113">
        <f ca="1">ROUND(IF(ISNUMBER(R312),R312,IF(LEFT(R312,3)="BDI",HLOOKUP(R312,DADOS!$T$37:$X$38,2,FALSE),0)),15-11*$X$5)</f>
        <v>0.25</v>
      </c>
      <c r="AA312" s="1"/>
    </row>
    <row r="313" spans="1:27" ht="26.4" x14ac:dyDescent="0.25">
      <c r="A313" t="str">
        <f t="shared" si="38"/>
        <v>S</v>
      </c>
      <c r="B313">
        <f t="shared" si="39"/>
        <v>0</v>
      </c>
      <c r="C313">
        <f t="shared" ca="1" si="40"/>
        <v>14</v>
      </c>
      <c r="D313">
        <f t="shared" ca="1" si="41"/>
        <v>1</v>
      </c>
      <c r="E313">
        <f t="shared" ca="1" si="42"/>
        <v>0</v>
      </c>
      <c r="F313">
        <f t="shared" ca="1" si="43"/>
        <v>0</v>
      </c>
      <c r="G313">
        <f t="shared" ca="1" si="44"/>
        <v>3</v>
      </c>
      <c r="H313">
        <f t="shared" ca="1" si="36"/>
        <v>0</v>
      </c>
      <c r="I313">
        <f t="shared" ca="1" si="37"/>
        <v>0</v>
      </c>
      <c r="J313" s="356" t="s">
        <v>103</v>
      </c>
      <c r="K313" s="138" t="str">
        <f t="shared" ca="1" si="45"/>
        <v>14.1.0.3.</v>
      </c>
      <c r="L313" s="357" t="s">
        <v>233</v>
      </c>
      <c r="M313" s="357" t="s">
        <v>424</v>
      </c>
      <c r="N313" s="358" t="s">
        <v>1055</v>
      </c>
      <c r="O313" s="359" t="s">
        <v>590</v>
      </c>
      <c r="P313" s="360">
        <v>173.1</v>
      </c>
      <c r="Q313" s="195"/>
      <c r="R313" s="198" t="s">
        <v>7</v>
      </c>
      <c r="S313" s="103">
        <f t="shared" si="46"/>
        <v>0</v>
      </c>
      <c r="T313" s="83">
        <f t="shared" si="47"/>
        <v>0</v>
      </c>
      <c r="U313" s="9" t="str">
        <f t="shared" si="48"/>
        <v>SEM VALOR</v>
      </c>
      <c r="V313" s="1" t="str">
        <f ca="1">IF(OR($A313=0,$A313="S",$A313&gt;CFF!$A$9),"",MAX(V$12:OFFSET(V313,-1,0))+1)</f>
        <v/>
      </c>
      <c r="W313" s="4" t="str">
        <f t="shared" si="49"/>
        <v>SINAPI-89712</v>
      </c>
      <c r="X313" s="1">
        <f t="shared" ca="1" si="50"/>
        <v>3602</v>
      </c>
      <c r="Y313" s="103">
        <v>35.25</v>
      </c>
      <c r="Z313" s="113">
        <f ca="1">ROUND(IF(ISNUMBER(R313),R313,IF(LEFT(R313,3)="BDI",HLOOKUP(R313,DADOS!$T$37:$X$38,2,FALSE),0)),15-11*$X$5)</f>
        <v>0.25</v>
      </c>
      <c r="AA313" s="1"/>
    </row>
    <row r="314" spans="1:27" ht="26.4" x14ac:dyDescent="0.25">
      <c r="A314" t="str">
        <f t="shared" si="38"/>
        <v>S</v>
      </c>
      <c r="B314">
        <f t="shared" si="39"/>
        <v>0</v>
      </c>
      <c r="C314">
        <f t="shared" ca="1" si="40"/>
        <v>14</v>
      </c>
      <c r="D314">
        <f t="shared" ca="1" si="41"/>
        <v>1</v>
      </c>
      <c r="E314">
        <f t="shared" ca="1" si="42"/>
        <v>0</v>
      </c>
      <c r="F314">
        <f t="shared" ca="1" si="43"/>
        <v>0</v>
      </c>
      <c r="G314">
        <f t="shared" ca="1" si="44"/>
        <v>4</v>
      </c>
      <c r="H314">
        <f t="shared" ca="1" si="36"/>
        <v>0</v>
      </c>
      <c r="I314">
        <f t="shared" ca="1" si="37"/>
        <v>0</v>
      </c>
      <c r="J314" s="356" t="s">
        <v>103</v>
      </c>
      <c r="K314" s="138" t="str">
        <f t="shared" ca="1" si="45"/>
        <v>14.1.0.4.</v>
      </c>
      <c r="L314" s="357" t="s">
        <v>233</v>
      </c>
      <c r="M314" s="357" t="s">
        <v>425</v>
      </c>
      <c r="N314" s="358" t="s">
        <v>1056</v>
      </c>
      <c r="O314" s="359" t="s">
        <v>590</v>
      </c>
      <c r="P314" s="360">
        <v>69.55</v>
      </c>
      <c r="Q314" s="195"/>
      <c r="R314" s="198" t="s">
        <v>7</v>
      </c>
      <c r="S314" s="103">
        <f t="shared" si="46"/>
        <v>0</v>
      </c>
      <c r="T314" s="83">
        <f t="shared" si="47"/>
        <v>0</v>
      </c>
      <c r="U314" s="9" t="str">
        <f t="shared" si="48"/>
        <v>SEM VALOR</v>
      </c>
      <c r="V314" s="1" t="str">
        <f ca="1">IF(OR($A314=0,$A314="S",$A314&gt;CFF!$A$9),"",MAX(V$12:OFFSET(V314,-1,0))+1)</f>
        <v/>
      </c>
      <c r="W314" s="4" t="str">
        <f t="shared" si="49"/>
        <v>SINAPI-89713</v>
      </c>
      <c r="X314" s="1">
        <f t="shared" ca="1" si="50"/>
        <v>3603</v>
      </c>
      <c r="Y314" s="103">
        <v>43.86</v>
      </c>
      <c r="Z314" s="113">
        <f ca="1">ROUND(IF(ISNUMBER(R314),R314,IF(LEFT(R314,3)="BDI",HLOOKUP(R314,DADOS!$T$37:$X$38,2,FALSE),0)),15-11*$X$5)</f>
        <v>0.25</v>
      </c>
      <c r="AA314" s="1"/>
    </row>
    <row r="315" spans="1:27" ht="26.4" x14ac:dyDescent="0.25">
      <c r="A315" t="str">
        <f t="shared" si="38"/>
        <v>S</v>
      </c>
      <c r="B315">
        <f t="shared" si="39"/>
        <v>0</v>
      </c>
      <c r="C315">
        <f t="shared" ca="1" si="40"/>
        <v>14</v>
      </c>
      <c r="D315">
        <f t="shared" ca="1" si="41"/>
        <v>1</v>
      </c>
      <c r="E315">
        <f t="shared" ca="1" si="42"/>
        <v>0</v>
      </c>
      <c r="F315">
        <f t="shared" ca="1" si="43"/>
        <v>0</v>
      </c>
      <c r="G315">
        <f t="shared" ca="1" si="44"/>
        <v>5</v>
      </c>
      <c r="H315">
        <f t="shared" ca="1" si="36"/>
        <v>0</v>
      </c>
      <c r="I315">
        <f t="shared" ca="1" si="37"/>
        <v>0</v>
      </c>
      <c r="J315" s="356" t="s">
        <v>103</v>
      </c>
      <c r="K315" s="138" t="str">
        <f t="shared" ca="1" si="45"/>
        <v>14.1.0.5.</v>
      </c>
      <c r="L315" s="357" t="s">
        <v>233</v>
      </c>
      <c r="M315" s="357" t="s">
        <v>426</v>
      </c>
      <c r="N315" s="358" t="s">
        <v>1057</v>
      </c>
      <c r="O315" s="359" t="s">
        <v>470</v>
      </c>
      <c r="P315" s="360">
        <v>32</v>
      </c>
      <c r="Q315" s="195"/>
      <c r="R315" s="198" t="s">
        <v>7</v>
      </c>
      <c r="S315" s="103">
        <f t="shared" si="46"/>
        <v>0</v>
      </c>
      <c r="T315" s="83">
        <f t="shared" si="47"/>
        <v>0</v>
      </c>
      <c r="U315" s="9" t="str">
        <f t="shared" si="48"/>
        <v>SEM VALOR</v>
      </c>
      <c r="V315" s="1" t="str">
        <f ca="1">IF(OR($A315=0,$A315="S",$A315&gt;CFF!$A$9),"",MAX(V$12:OFFSET(V315,-1,0))+1)</f>
        <v/>
      </c>
      <c r="W315" s="4" t="str">
        <f t="shared" si="49"/>
        <v>SINAPI-89726</v>
      </c>
      <c r="X315" s="1">
        <f t="shared" ca="1" si="50"/>
        <v>4098</v>
      </c>
      <c r="Y315" s="103">
        <v>13.74</v>
      </c>
      <c r="Z315" s="113">
        <f ca="1">ROUND(IF(ISNUMBER(R315),R315,IF(LEFT(R315,3)="BDI",HLOOKUP(R315,DADOS!$T$37:$X$38,2,FALSE),0)),15-11*$X$5)</f>
        <v>0.25</v>
      </c>
      <c r="AA315" s="1"/>
    </row>
    <row r="316" spans="1:27" ht="26.4" x14ac:dyDescent="0.25">
      <c r="A316" t="str">
        <f t="shared" si="38"/>
        <v>S</v>
      </c>
      <c r="B316">
        <f t="shared" si="39"/>
        <v>0</v>
      </c>
      <c r="C316">
        <f t="shared" ca="1" si="40"/>
        <v>14</v>
      </c>
      <c r="D316">
        <f t="shared" ca="1" si="41"/>
        <v>1</v>
      </c>
      <c r="E316">
        <f t="shared" ca="1" si="42"/>
        <v>0</v>
      </c>
      <c r="F316">
        <f t="shared" ca="1" si="43"/>
        <v>0</v>
      </c>
      <c r="G316">
        <f t="shared" ca="1" si="44"/>
        <v>6</v>
      </c>
      <c r="H316">
        <f t="shared" ca="1" si="36"/>
        <v>0</v>
      </c>
      <c r="I316">
        <f t="shared" ca="1" si="37"/>
        <v>0</v>
      </c>
      <c r="J316" s="356" t="s">
        <v>103</v>
      </c>
      <c r="K316" s="138" t="str">
        <f t="shared" ca="1" si="45"/>
        <v>14.1.0.6.</v>
      </c>
      <c r="L316" s="357" t="s">
        <v>233</v>
      </c>
      <c r="M316" s="357" t="s">
        <v>427</v>
      </c>
      <c r="N316" s="358" t="s">
        <v>1058</v>
      </c>
      <c r="O316" s="359" t="s">
        <v>470</v>
      </c>
      <c r="P316" s="360">
        <v>31</v>
      </c>
      <c r="Q316" s="195"/>
      <c r="R316" s="198" t="s">
        <v>7</v>
      </c>
      <c r="S316" s="103">
        <f t="shared" si="46"/>
        <v>0</v>
      </c>
      <c r="T316" s="83">
        <f t="shared" si="47"/>
        <v>0</v>
      </c>
      <c r="U316" s="9" t="str">
        <f t="shared" si="48"/>
        <v>SEM VALOR</v>
      </c>
      <c r="V316" s="1" t="str">
        <f ca="1">IF(OR($A316=0,$A316="S",$A316&gt;CFF!$A$9),"",MAX(V$12:OFFSET(V316,-1,0))+1)</f>
        <v/>
      </c>
      <c r="W316" s="4" t="str">
        <f t="shared" si="49"/>
        <v>SINAPI-89732</v>
      </c>
      <c r="X316" s="1">
        <f t="shared" ca="1" si="50"/>
        <v>4104</v>
      </c>
      <c r="Y316" s="103">
        <v>20.03</v>
      </c>
      <c r="Z316" s="113">
        <f ca="1">ROUND(IF(ISNUMBER(R316),R316,IF(LEFT(R316,3)="BDI",HLOOKUP(R316,DADOS!$T$37:$X$38,2,FALSE),0)),15-11*$X$5)</f>
        <v>0.25</v>
      </c>
      <c r="AA316" s="1"/>
    </row>
    <row r="317" spans="1:27" ht="26.4" x14ac:dyDescent="0.25">
      <c r="A317" t="str">
        <f t="shared" si="38"/>
        <v>S</v>
      </c>
      <c r="B317">
        <f t="shared" si="39"/>
        <v>0</v>
      </c>
      <c r="C317">
        <f t="shared" ca="1" si="40"/>
        <v>14</v>
      </c>
      <c r="D317">
        <f t="shared" ca="1" si="41"/>
        <v>1</v>
      </c>
      <c r="E317">
        <f t="shared" ca="1" si="42"/>
        <v>0</v>
      </c>
      <c r="F317">
        <f t="shared" ca="1" si="43"/>
        <v>0</v>
      </c>
      <c r="G317">
        <f t="shared" ca="1" si="44"/>
        <v>7</v>
      </c>
      <c r="H317">
        <f t="shared" ca="1" si="36"/>
        <v>0</v>
      </c>
      <c r="I317">
        <f t="shared" ca="1" si="37"/>
        <v>0</v>
      </c>
      <c r="J317" s="356" t="s">
        <v>103</v>
      </c>
      <c r="K317" s="138" t="str">
        <f t="shared" ca="1" si="45"/>
        <v>14.1.0.7.</v>
      </c>
      <c r="L317" s="357" t="s">
        <v>233</v>
      </c>
      <c r="M317" s="357" t="s">
        <v>428</v>
      </c>
      <c r="N317" s="358" t="s">
        <v>1059</v>
      </c>
      <c r="O317" s="359" t="s">
        <v>470</v>
      </c>
      <c r="P317" s="360">
        <v>9</v>
      </c>
      <c r="Q317" s="195"/>
      <c r="R317" s="198" t="s">
        <v>7</v>
      </c>
      <c r="S317" s="103">
        <f t="shared" si="46"/>
        <v>0</v>
      </c>
      <c r="T317" s="83">
        <f t="shared" si="47"/>
        <v>0</v>
      </c>
      <c r="U317" s="9" t="str">
        <f t="shared" si="48"/>
        <v>SEM VALOR</v>
      </c>
      <c r="V317" s="1" t="str">
        <f ca="1">IF(OR($A317=0,$A317="S",$A317&gt;CFF!$A$9),"",MAX(V$12:OFFSET(V317,-1,0))+1)</f>
        <v/>
      </c>
      <c r="W317" s="4" t="str">
        <f t="shared" si="49"/>
        <v>SINAPI-89739</v>
      </c>
      <c r="X317" s="1">
        <f t="shared" ca="1" si="50"/>
        <v>4111</v>
      </c>
      <c r="Y317" s="103">
        <v>29.98</v>
      </c>
      <c r="Z317" s="113">
        <f ca="1">ROUND(IF(ISNUMBER(R317),R317,IF(LEFT(R317,3)="BDI",HLOOKUP(R317,DADOS!$T$37:$X$38,2,FALSE),0)),15-11*$X$5)</f>
        <v>0.25</v>
      </c>
      <c r="AA317" s="1"/>
    </row>
    <row r="318" spans="1:27" ht="26.4" x14ac:dyDescent="0.25">
      <c r="A318" t="str">
        <f t="shared" si="38"/>
        <v>S</v>
      </c>
      <c r="B318">
        <f t="shared" si="39"/>
        <v>0</v>
      </c>
      <c r="C318">
        <f t="shared" ca="1" si="40"/>
        <v>14</v>
      </c>
      <c r="D318">
        <f t="shared" ca="1" si="41"/>
        <v>1</v>
      </c>
      <c r="E318">
        <f t="shared" ca="1" si="42"/>
        <v>0</v>
      </c>
      <c r="F318">
        <f t="shared" ca="1" si="43"/>
        <v>0</v>
      </c>
      <c r="G318">
        <f t="shared" ca="1" si="44"/>
        <v>8</v>
      </c>
      <c r="H318">
        <f t="shared" ca="1" si="36"/>
        <v>0</v>
      </c>
      <c r="I318">
        <f t="shared" ca="1" si="37"/>
        <v>0</v>
      </c>
      <c r="J318" s="356" t="s">
        <v>103</v>
      </c>
      <c r="K318" s="138" t="str">
        <f t="shared" ca="1" si="45"/>
        <v>14.1.0.8.</v>
      </c>
      <c r="L318" s="357" t="s">
        <v>233</v>
      </c>
      <c r="M318" s="357" t="s">
        <v>429</v>
      </c>
      <c r="N318" s="358" t="s">
        <v>1060</v>
      </c>
      <c r="O318" s="359" t="s">
        <v>470</v>
      </c>
      <c r="P318" s="360">
        <v>6</v>
      </c>
      <c r="Q318" s="195"/>
      <c r="R318" s="198" t="s">
        <v>7</v>
      </c>
      <c r="S318" s="103">
        <f t="shared" si="46"/>
        <v>0</v>
      </c>
      <c r="T318" s="83">
        <f t="shared" si="47"/>
        <v>0</v>
      </c>
      <c r="U318" s="9" t="str">
        <f t="shared" si="48"/>
        <v>SEM VALOR</v>
      </c>
      <c r="V318" s="1" t="str">
        <f ca="1">IF(OR($A318=0,$A318="S",$A318&gt;CFF!$A$9),"",MAX(V$12:OFFSET(V318,-1,0))+1)</f>
        <v/>
      </c>
      <c r="W318" s="4" t="str">
        <f t="shared" si="49"/>
        <v>SINAPI-89746</v>
      </c>
      <c r="X318" s="1">
        <f t="shared" ca="1" si="50"/>
        <v>4117</v>
      </c>
      <c r="Y318" s="103">
        <v>36.090000000000003</v>
      </c>
      <c r="Z318" s="113">
        <f ca="1">ROUND(IF(ISNUMBER(R318),R318,IF(LEFT(R318,3)="BDI",HLOOKUP(R318,DADOS!$T$37:$X$38,2,FALSE),0)),15-11*$X$5)</f>
        <v>0.25</v>
      </c>
      <c r="AA318" s="1"/>
    </row>
    <row r="319" spans="1:27" ht="26.4" x14ac:dyDescent="0.25">
      <c r="A319" t="str">
        <f t="shared" si="38"/>
        <v>S</v>
      </c>
      <c r="B319">
        <f t="shared" si="39"/>
        <v>0</v>
      </c>
      <c r="C319">
        <f t="shared" ca="1" si="40"/>
        <v>14</v>
      </c>
      <c r="D319">
        <f t="shared" ca="1" si="41"/>
        <v>1</v>
      </c>
      <c r="E319">
        <f t="shared" ca="1" si="42"/>
        <v>0</v>
      </c>
      <c r="F319">
        <f t="shared" ca="1" si="43"/>
        <v>0</v>
      </c>
      <c r="G319">
        <f t="shared" ca="1" si="44"/>
        <v>9</v>
      </c>
      <c r="H319">
        <f t="shared" ca="1" si="36"/>
        <v>0</v>
      </c>
      <c r="I319">
        <f t="shared" ca="1" si="37"/>
        <v>0</v>
      </c>
      <c r="J319" s="356" t="s">
        <v>103</v>
      </c>
      <c r="K319" s="138" t="str">
        <f t="shared" ca="1" si="45"/>
        <v>14.1.0.9.</v>
      </c>
      <c r="L319" s="357" t="s">
        <v>233</v>
      </c>
      <c r="M319" s="357" t="s">
        <v>430</v>
      </c>
      <c r="N319" s="358" t="s">
        <v>1061</v>
      </c>
      <c r="O319" s="359" t="s">
        <v>470</v>
      </c>
      <c r="P319" s="360">
        <v>12</v>
      </c>
      <c r="Q319" s="195"/>
      <c r="R319" s="198" t="s">
        <v>7</v>
      </c>
      <c r="S319" s="103">
        <f t="shared" si="46"/>
        <v>0</v>
      </c>
      <c r="T319" s="83">
        <f t="shared" si="47"/>
        <v>0</v>
      </c>
      <c r="U319" s="9" t="str">
        <f t="shared" si="48"/>
        <v>SEM VALOR</v>
      </c>
      <c r="V319" s="1" t="str">
        <f ca="1">IF(OR($A319=0,$A319="S",$A319&gt;CFF!$A$9),"",MAX(V$12:OFFSET(V319,-1,0))+1)</f>
        <v/>
      </c>
      <c r="W319" s="4" t="str">
        <f t="shared" si="49"/>
        <v>SINAPI-89744</v>
      </c>
      <c r="X319" s="1">
        <f t="shared" ca="1" si="50"/>
        <v>4116</v>
      </c>
      <c r="Y319" s="103">
        <v>35.049999999999997</v>
      </c>
      <c r="Z319" s="113">
        <f ca="1">ROUND(IF(ISNUMBER(R319),R319,IF(LEFT(R319,3)="BDI",HLOOKUP(R319,DADOS!$T$37:$X$38,2,FALSE),0)),15-11*$X$5)</f>
        <v>0.25</v>
      </c>
      <c r="AA319" s="1"/>
    </row>
    <row r="320" spans="1:27" ht="26.4" x14ac:dyDescent="0.25">
      <c r="A320" t="str">
        <f t="shared" si="38"/>
        <v>S</v>
      </c>
      <c r="B320">
        <f t="shared" si="39"/>
        <v>0</v>
      </c>
      <c r="C320">
        <f t="shared" ca="1" si="40"/>
        <v>14</v>
      </c>
      <c r="D320">
        <f t="shared" ca="1" si="41"/>
        <v>1</v>
      </c>
      <c r="E320">
        <f t="shared" ca="1" si="42"/>
        <v>0</v>
      </c>
      <c r="F320">
        <f t="shared" ca="1" si="43"/>
        <v>0</v>
      </c>
      <c r="G320">
        <f t="shared" ca="1" si="44"/>
        <v>10</v>
      </c>
      <c r="H320">
        <f t="shared" ca="1" si="36"/>
        <v>0</v>
      </c>
      <c r="I320">
        <f t="shared" ca="1" si="37"/>
        <v>0</v>
      </c>
      <c r="J320" s="356" t="s">
        <v>103</v>
      </c>
      <c r="K320" s="138" t="str">
        <f t="shared" ca="1" si="45"/>
        <v>14.1.0.10.</v>
      </c>
      <c r="L320" s="357" t="s">
        <v>233</v>
      </c>
      <c r="M320" s="357" t="s">
        <v>431</v>
      </c>
      <c r="N320" s="358" t="s">
        <v>1062</v>
      </c>
      <c r="O320" s="359" t="s">
        <v>470</v>
      </c>
      <c r="P320" s="360">
        <v>28</v>
      </c>
      <c r="Q320" s="195"/>
      <c r="R320" s="198" t="s">
        <v>7</v>
      </c>
      <c r="S320" s="103">
        <f t="shared" si="46"/>
        <v>0</v>
      </c>
      <c r="T320" s="83">
        <f t="shared" si="47"/>
        <v>0</v>
      </c>
      <c r="U320" s="9" t="str">
        <f t="shared" si="48"/>
        <v>SEM VALOR</v>
      </c>
      <c r="V320" s="1" t="str">
        <f ca="1">IF(OR($A320=0,$A320="S",$A320&gt;CFF!$A$9),"",MAX(V$12:OFFSET(V320,-1,0))+1)</f>
        <v/>
      </c>
      <c r="W320" s="4" t="str">
        <f t="shared" si="49"/>
        <v>SINAPI-89737</v>
      </c>
      <c r="X320" s="1">
        <f t="shared" ca="1" si="50"/>
        <v>4109</v>
      </c>
      <c r="Y320" s="103">
        <v>28.75</v>
      </c>
      <c r="Z320" s="113">
        <f ca="1">ROUND(IF(ISNUMBER(R320),R320,IF(LEFT(R320,3)="BDI",HLOOKUP(R320,DADOS!$T$37:$X$38,2,FALSE),0)),15-11*$X$5)</f>
        <v>0.25</v>
      </c>
      <c r="AA320" s="1"/>
    </row>
    <row r="321" spans="1:27" ht="26.4" x14ac:dyDescent="0.25">
      <c r="A321" t="str">
        <f t="shared" si="38"/>
        <v>S</v>
      </c>
      <c r="B321">
        <f t="shared" si="39"/>
        <v>0</v>
      </c>
      <c r="C321">
        <f t="shared" ca="1" si="40"/>
        <v>14</v>
      </c>
      <c r="D321">
        <f t="shared" ca="1" si="41"/>
        <v>1</v>
      </c>
      <c r="E321">
        <f t="shared" ca="1" si="42"/>
        <v>0</v>
      </c>
      <c r="F321">
        <f t="shared" ca="1" si="43"/>
        <v>0</v>
      </c>
      <c r="G321">
        <f t="shared" ca="1" si="44"/>
        <v>11</v>
      </c>
      <c r="H321">
        <f t="shared" ca="1" si="36"/>
        <v>0</v>
      </c>
      <c r="I321">
        <f t="shared" ca="1" si="37"/>
        <v>0</v>
      </c>
      <c r="J321" s="356" t="s">
        <v>103</v>
      </c>
      <c r="K321" s="138" t="str">
        <f t="shared" ca="1" si="45"/>
        <v>14.1.0.11.</v>
      </c>
      <c r="L321" s="357" t="s">
        <v>233</v>
      </c>
      <c r="M321" s="357" t="s">
        <v>432</v>
      </c>
      <c r="N321" s="358" t="s">
        <v>1063</v>
      </c>
      <c r="O321" s="359" t="s">
        <v>470</v>
      </c>
      <c r="P321" s="360">
        <v>18</v>
      </c>
      <c r="Q321" s="195"/>
      <c r="R321" s="198" t="s">
        <v>7</v>
      </c>
      <c r="S321" s="103">
        <f t="shared" si="46"/>
        <v>0</v>
      </c>
      <c r="T321" s="83">
        <f t="shared" si="47"/>
        <v>0</v>
      </c>
      <c r="U321" s="9" t="str">
        <f t="shared" si="48"/>
        <v>SEM VALOR</v>
      </c>
      <c r="V321" s="1" t="str">
        <f ca="1">IF(OR($A321=0,$A321="S",$A321&gt;CFF!$A$9),"",MAX(V$12:OFFSET(V321,-1,0))+1)</f>
        <v/>
      </c>
      <c r="W321" s="4" t="str">
        <f t="shared" si="49"/>
        <v>SINAPI-89731</v>
      </c>
      <c r="X321" s="1">
        <f t="shared" ca="1" si="50"/>
        <v>4103</v>
      </c>
      <c r="Y321" s="103">
        <v>19.11</v>
      </c>
      <c r="Z321" s="113">
        <f ca="1">ROUND(IF(ISNUMBER(R321),R321,IF(LEFT(R321,3)="BDI",HLOOKUP(R321,DADOS!$T$37:$X$38,2,FALSE),0)),15-11*$X$5)</f>
        <v>0.25</v>
      </c>
      <c r="AA321" s="1"/>
    </row>
    <row r="322" spans="1:27" ht="26.4" x14ac:dyDescent="0.25">
      <c r="A322" t="str">
        <f t="shared" si="38"/>
        <v>S</v>
      </c>
      <c r="B322">
        <f t="shared" si="39"/>
        <v>0</v>
      </c>
      <c r="C322">
        <f t="shared" ca="1" si="40"/>
        <v>14</v>
      </c>
      <c r="D322">
        <f t="shared" ca="1" si="41"/>
        <v>1</v>
      </c>
      <c r="E322">
        <f t="shared" ca="1" si="42"/>
        <v>0</v>
      </c>
      <c r="F322">
        <f t="shared" ca="1" si="43"/>
        <v>0</v>
      </c>
      <c r="G322">
        <f t="shared" ca="1" si="44"/>
        <v>12</v>
      </c>
      <c r="H322">
        <f t="shared" ca="1" si="36"/>
        <v>0</v>
      </c>
      <c r="I322">
        <f t="shared" ca="1" si="37"/>
        <v>0</v>
      </c>
      <c r="J322" s="356" t="s">
        <v>103</v>
      </c>
      <c r="K322" s="138" t="str">
        <f t="shared" ca="1" si="45"/>
        <v>14.1.0.12.</v>
      </c>
      <c r="L322" s="357" t="s">
        <v>233</v>
      </c>
      <c r="M322" s="357" t="s">
        <v>433</v>
      </c>
      <c r="N322" s="358" t="s">
        <v>1064</v>
      </c>
      <c r="O322" s="359" t="s">
        <v>470</v>
      </c>
      <c r="P322" s="360">
        <v>106</v>
      </c>
      <c r="Q322" s="195"/>
      <c r="R322" s="198" t="s">
        <v>7</v>
      </c>
      <c r="S322" s="103">
        <f t="shared" si="46"/>
        <v>0</v>
      </c>
      <c r="T322" s="83">
        <f t="shared" si="47"/>
        <v>0</v>
      </c>
      <c r="U322" s="9" t="str">
        <f t="shared" si="48"/>
        <v>SEM VALOR</v>
      </c>
      <c r="V322" s="1" t="str">
        <f ca="1">IF(OR($A322=0,$A322="S",$A322&gt;CFF!$A$9),"",MAX(V$12:OFFSET(V322,-1,0))+1)</f>
        <v/>
      </c>
      <c r="W322" s="4" t="str">
        <f t="shared" si="49"/>
        <v>SINAPI-89724</v>
      </c>
      <c r="X322" s="1">
        <f t="shared" ca="1" si="50"/>
        <v>4096</v>
      </c>
      <c r="Y322" s="103">
        <v>13.45</v>
      </c>
      <c r="Z322" s="113">
        <f ca="1">ROUND(IF(ISNUMBER(R322),R322,IF(LEFT(R322,3)="BDI",HLOOKUP(R322,DADOS!$T$37:$X$38,2,FALSE),0)),15-11*$X$5)</f>
        <v>0.25</v>
      </c>
      <c r="AA322" s="1"/>
    </row>
    <row r="323" spans="1:27" ht="26.4" x14ac:dyDescent="0.25">
      <c r="A323" t="str">
        <f t="shared" si="38"/>
        <v>S</v>
      </c>
      <c r="B323">
        <f t="shared" si="39"/>
        <v>0</v>
      </c>
      <c r="C323">
        <f t="shared" ca="1" si="40"/>
        <v>14</v>
      </c>
      <c r="D323">
        <f t="shared" ca="1" si="41"/>
        <v>1</v>
      </c>
      <c r="E323">
        <f t="shared" ca="1" si="42"/>
        <v>0</v>
      </c>
      <c r="F323">
        <f t="shared" ca="1" si="43"/>
        <v>0</v>
      </c>
      <c r="G323">
        <f t="shared" ca="1" si="44"/>
        <v>13</v>
      </c>
      <c r="H323">
        <f t="shared" ca="1" si="36"/>
        <v>0</v>
      </c>
      <c r="I323">
        <f t="shared" ca="1" si="37"/>
        <v>0</v>
      </c>
      <c r="J323" s="356" t="s">
        <v>103</v>
      </c>
      <c r="K323" s="138" t="str">
        <f t="shared" ca="1" si="45"/>
        <v>14.1.0.13.</v>
      </c>
      <c r="L323" s="357" t="s">
        <v>469</v>
      </c>
      <c r="M323" s="357" t="s">
        <v>784</v>
      </c>
      <c r="N323" s="358" t="s">
        <v>788</v>
      </c>
      <c r="O323" s="359" t="s">
        <v>782</v>
      </c>
      <c r="P323" s="360">
        <v>14</v>
      </c>
      <c r="Q323" s="195"/>
      <c r="R323" s="198" t="s">
        <v>7</v>
      </c>
      <c r="S323" s="103">
        <f t="shared" si="46"/>
        <v>0</v>
      </c>
      <c r="T323" s="83">
        <f t="shared" si="47"/>
        <v>0</v>
      </c>
      <c r="U323" s="9" t="str">
        <f t="shared" si="48"/>
        <v>SEM VALOR</v>
      </c>
      <c r="V323" s="1" t="str">
        <f ca="1">IF(OR($A323=0,$A323="S",$A323&gt;CFF!$A$9),"",MAX(V$12:OFFSET(V323,-1,0))+1)</f>
        <v/>
      </c>
      <c r="W323" s="4" t="str">
        <f t="shared" si="49"/>
        <v>FNDE-FNDE 209</v>
      </c>
      <c r="X323" s="1" t="e">
        <f t="shared" ca="1" si="50"/>
        <v>#N/A</v>
      </c>
      <c r="Y323" s="103">
        <v>67.33</v>
      </c>
      <c r="Z323" s="113">
        <f ca="1">ROUND(IF(ISNUMBER(R323),R323,IF(LEFT(R323,3)="BDI",HLOOKUP(R323,DADOS!$T$37:$X$38,2,FALSE),0)),15-11*$X$5)</f>
        <v>0.25</v>
      </c>
      <c r="AA323" s="1"/>
    </row>
    <row r="324" spans="1:27" ht="26.4" x14ac:dyDescent="0.25">
      <c r="A324" t="str">
        <f t="shared" si="38"/>
        <v>S</v>
      </c>
      <c r="B324">
        <f t="shared" si="39"/>
        <v>0</v>
      </c>
      <c r="C324">
        <f t="shared" ca="1" si="40"/>
        <v>14</v>
      </c>
      <c r="D324">
        <f t="shared" ca="1" si="41"/>
        <v>1</v>
      </c>
      <c r="E324">
        <f t="shared" ca="1" si="42"/>
        <v>0</v>
      </c>
      <c r="F324">
        <f t="shared" ca="1" si="43"/>
        <v>0</v>
      </c>
      <c r="G324">
        <f t="shared" ca="1" si="44"/>
        <v>14</v>
      </c>
      <c r="H324">
        <f t="shared" ca="1" si="36"/>
        <v>0</v>
      </c>
      <c r="I324">
        <f t="shared" ca="1" si="37"/>
        <v>0</v>
      </c>
      <c r="J324" s="356" t="s">
        <v>103</v>
      </c>
      <c r="K324" s="138" t="str">
        <f t="shared" ca="1" si="45"/>
        <v>14.1.0.14.</v>
      </c>
      <c r="L324" s="357" t="s">
        <v>233</v>
      </c>
      <c r="M324" s="357" t="s">
        <v>434</v>
      </c>
      <c r="N324" s="358" t="s">
        <v>1065</v>
      </c>
      <c r="O324" s="359" t="s">
        <v>470</v>
      </c>
      <c r="P324" s="360">
        <v>8</v>
      </c>
      <c r="Q324" s="195"/>
      <c r="R324" s="198" t="s">
        <v>7</v>
      </c>
      <c r="S324" s="103">
        <f t="shared" si="46"/>
        <v>0</v>
      </c>
      <c r="T324" s="83">
        <f t="shared" si="47"/>
        <v>0</v>
      </c>
      <c r="U324" s="9" t="str">
        <f t="shared" si="48"/>
        <v>SEM VALOR</v>
      </c>
      <c r="V324" s="1" t="str">
        <f ca="1">IF(OR($A324=0,$A324="S",$A324&gt;CFF!$A$9),"",MAX(V$12:OFFSET(V324,-1,0))+1)</f>
        <v/>
      </c>
      <c r="W324" s="4" t="str">
        <f t="shared" si="49"/>
        <v>SINAPI-89834</v>
      </c>
      <c r="X324" s="1">
        <f t="shared" ca="1" si="50"/>
        <v>4195</v>
      </c>
      <c r="Y324" s="103">
        <v>67.06</v>
      </c>
      <c r="Z324" s="113">
        <f ca="1">ROUND(IF(ISNUMBER(R324),R324,IF(LEFT(R324,3)="BDI",HLOOKUP(R324,DADOS!$T$37:$X$38,2,FALSE),0)),15-11*$X$5)</f>
        <v>0.25</v>
      </c>
      <c r="AA324" s="1"/>
    </row>
    <row r="325" spans="1:27" ht="26.4" x14ac:dyDescent="0.25">
      <c r="A325" t="str">
        <f t="shared" si="38"/>
        <v>S</v>
      </c>
      <c r="B325">
        <f t="shared" si="39"/>
        <v>0</v>
      </c>
      <c r="C325">
        <f t="shared" ca="1" si="40"/>
        <v>14</v>
      </c>
      <c r="D325">
        <f t="shared" ca="1" si="41"/>
        <v>1</v>
      </c>
      <c r="E325">
        <f t="shared" ca="1" si="42"/>
        <v>0</v>
      </c>
      <c r="F325">
        <f t="shared" ca="1" si="43"/>
        <v>0</v>
      </c>
      <c r="G325">
        <f t="shared" ca="1" si="44"/>
        <v>15</v>
      </c>
      <c r="H325">
        <f t="shared" ca="1" si="36"/>
        <v>0</v>
      </c>
      <c r="I325">
        <f t="shared" ca="1" si="37"/>
        <v>0</v>
      </c>
      <c r="J325" s="356" t="s">
        <v>103</v>
      </c>
      <c r="K325" s="138" t="str">
        <f t="shared" ca="1" si="45"/>
        <v>14.1.0.15.</v>
      </c>
      <c r="L325" s="357" t="s">
        <v>469</v>
      </c>
      <c r="M325" s="357" t="s">
        <v>785</v>
      </c>
      <c r="N325" s="358" t="s">
        <v>789</v>
      </c>
      <c r="O325" s="359" t="s">
        <v>782</v>
      </c>
      <c r="P325" s="360">
        <v>1</v>
      </c>
      <c r="Q325" s="195"/>
      <c r="R325" s="198" t="s">
        <v>7</v>
      </c>
      <c r="S325" s="103">
        <f t="shared" si="46"/>
        <v>0</v>
      </c>
      <c r="T325" s="83">
        <f t="shared" si="47"/>
        <v>0</v>
      </c>
      <c r="U325" s="9" t="str">
        <f t="shared" si="48"/>
        <v>SEM VALOR</v>
      </c>
      <c r="V325" s="1" t="str">
        <f ca="1">IF(OR($A325=0,$A325="S",$A325&gt;CFF!$A$9),"",MAX(V$12:OFFSET(V325,-1,0))+1)</f>
        <v/>
      </c>
      <c r="W325" s="4" t="str">
        <f t="shared" si="49"/>
        <v>FNDE-FNDE 210</v>
      </c>
      <c r="X325" s="1" t="e">
        <f t="shared" ca="1" si="50"/>
        <v>#N/A</v>
      </c>
      <c r="Y325" s="103">
        <v>51.91</v>
      </c>
      <c r="Z325" s="113">
        <f ca="1">ROUND(IF(ISNUMBER(R325),R325,IF(LEFT(R325,3)="BDI",HLOOKUP(R325,DADOS!$T$37:$X$38,2,FALSE),0)),15-11*$X$5)</f>
        <v>0.25</v>
      </c>
      <c r="AA325" s="1"/>
    </row>
    <row r="326" spans="1:27" ht="26.4" x14ac:dyDescent="0.25">
      <c r="A326" t="str">
        <f t="shared" si="38"/>
        <v>S</v>
      </c>
      <c r="B326">
        <f t="shared" si="39"/>
        <v>0</v>
      </c>
      <c r="C326">
        <f t="shared" ca="1" si="40"/>
        <v>14</v>
      </c>
      <c r="D326">
        <f t="shared" ca="1" si="41"/>
        <v>1</v>
      </c>
      <c r="E326">
        <f t="shared" ca="1" si="42"/>
        <v>0</v>
      </c>
      <c r="F326">
        <f t="shared" ca="1" si="43"/>
        <v>0</v>
      </c>
      <c r="G326">
        <f t="shared" ca="1" si="44"/>
        <v>16</v>
      </c>
      <c r="H326">
        <f t="shared" ca="1" si="36"/>
        <v>0</v>
      </c>
      <c r="I326">
        <f t="shared" ca="1" si="37"/>
        <v>0</v>
      </c>
      <c r="J326" s="356" t="s">
        <v>103</v>
      </c>
      <c r="K326" s="138" t="str">
        <f t="shared" ca="1" si="45"/>
        <v>14.1.0.16.</v>
      </c>
      <c r="L326" s="357" t="s">
        <v>233</v>
      </c>
      <c r="M326" s="357" t="s">
        <v>435</v>
      </c>
      <c r="N326" s="358" t="s">
        <v>1066</v>
      </c>
      <c r="O326" s="359" t="s">
        <v>470</v>
      </c>
      <c r="P326" s="360">
        <v>9</v>
      </c>
      <c r="Q326" s="195"/>
      <c r="R326" s="198" t="s">
        <v>7</v>
      </c>
      <c r="S326" s="103">
        <f t="shared" si="46"/>
        <v>0</v>
      </c>
      <c r="T326" s="83">
        <f t="shared" si="47"/>
        <v>0</v>
      </c>
      <c r="U326" s="9" t="str">
        <f t="shared" si="48"/>
        <v>SEM VALOR</v>
      </c>
      <c r="V326" s="1" t="str">
        <f ca="1">IF(OR($A326=0,$A326="S",$A326&gt;CFF!$A$9),"",MAX(V$12:OFFSET(V326,-1,0))+1)</f>
        <v/>
      </c>
      <c r="W326" s="4" t="str">
        <f t="shared" si="49"/>
        <v>SINAPI-89827</v>
      </c>
      <c r="X326" s="1">
        <f t="shared" ca="1" si="50"/>
        <v>4188</v>
      </c>
      <c r="Y326" s="103">
        <v>24.59</v>
      </c>
      <c r="Z326" s="113">
        <f ca="1">ROUND(IF(ISNUMBER(R326),R326,IF(LEFT(R326,3)="BDI",HLOOKUP(R326,DADOS!$T$37:$X$38,2,FALSE),0)),15-11*$X$5)</f>
        <v>0.25</v>
      </c>
      <c r="AA326" s="1"/>
    </row>
    <row r="327" spans="1:27" ht="26.4" x14ac:dyDescent="0.25">
      <c r="A327" t="str">
        <f t="shared" si="38"/>
        <v>S</v>
      </c>
      <c r="B327">
        <f t="shared" si="39"/>
        <v>0</v>
      </c>
      <c r="C327">
        <f t="shared" ca="1" si="40"/>
        <v>14</v>
      </c>
      <c r="D327">
        <f t="shared" ca="1" si="41"/>
        <v>1</v>
      </c>
      <c r="E327">
        <f t="shared" ca="1" si="42"/>
        <v>0</v>
      </c>
      <c r="F327">
        <f t="shared" ca="1" si="43"/>
        <v>0</v>
      </c>
      <c r="G327">
        <f t="shared" ca="1" si="44"/>
        <v>17</v>
      </c>
      <c r="H327">
        <f t="shared" ca="1" si="36"/>
        <v>0</v>
      </c>
      <c r="I327">
        <f t="shared" ca="1" si="37"/>
        <v>0</v>
      </c>
      <c r="J327" s="356" t="s">
        <v>103</v>
      </c>
      <c r="K327" s="138" t="str">
        <f t="shared" ca="1" si="45"/>
        <v>14.1.0.17.</v>
      </c>
      <c r="L327" s="357" t="s">
        <v>233</v>
      </c>
      <c r="M327" s="357" t="s">
        <v>436</v>
      </c>
      <c r="N327" s="358" t="s">
        <v>1067</v>
      </c>
      <c r="O327" s="359" t="s">
        <v>470</v>
      </c>
      <c r="P327" s="360">
        <v>1</v>
      </c>
      <c r="Q327" s="195"/>
      <c r="R327" s="198" t="s">
        <v>7</v>
      </c>
      <c r="S327" s="103">
        <f t="shared" si="46"/>
        <v>0</v>
      </c>
      <c r="T327" s="83">
        <f t="shared" si="47"/>
        <v>0</v>
      </c>
      <c r="U327" s="9" t="str">
        <f t="shared" si="48"/>
        <v>SEM VALOR</v>
      </c>
      <c r="V327" s="1" t="str">
        <f ca="1">IF(OR($A327=0,$A327="S",$A327&gt;CFF!$A$9),"",MAX(V$12:OFFSET(V327,-1,0))+1)</f>
        <v/>
      </c>
      <c r="W327" s="4" t="str">
        <f t="shared" si="49"/>
        <v>SINAPI-89557</v>
      </c>
      <c r="X327" s="1">
        <f t="shared" ca="1" si="50"/>
        <v>3963</v>
      </c>
      <c r="Y327" s="103">
        <v>39.409999999999997</v>
      </c>
      <c r="Z327" s="113">
        <f ca="1">ROUND(IF(ISNUMBER(R327),R327,IF(LEFT(R327,3)="BDI",HLOOKUP(R327,DADOS!$T$37:$X$38,2,FALSE),0)),15-11*$X$5)</f>
        <v>0.25</v>
      </c>
      <c r="AA327" s="1"/>
    </row>
    <row r="328" spans="1:27" ht="26.4" x14ac:dyDescent="0.25">
      <c r="A328" t="str">
        <f t="shared" si="38"/>
        <v>S</v>
      </c>
      <c r="B328">
        <f t="shared" si="39"/>
        <v>0</v>
      </c>
      <c r="C328">
        <f t="shared" ca="1" si="40"/>
        <v>14</v>
      </c>
      <c r="D328">
        <f t="shared" ca="1" si="41"/>
        <v>1</v>
      </c>
      <c r="E328">
        <f t="shared" ca="1" si="42"/>
        <v>0</v>
      </c>
      <c r="F328">
        <f t="shared" ca="1" si="43"/>
        <v>0</v>
      </c>
      <c r="G328">
        <f t="shared" ca="1" si="44"/>
        <v>18</v>
      </c>
      <c r="H328">
        <f t="shared" ca="1" si="36"/>
        <v>0</v>
      </c>
      <c r="I328">
        <f t="shared" ca="1" si="37"/>
        <v>0</v>
      </c>
      <c r="J328" s="356" t="s">
        <v>103</v>
      </c>
      <c r="K328" s="138" t="str">
        <f t="shared" ca="1" si="45"/>
        <v>14.1.0.18.</v>
      </c>
      <c r="L328" s="357" t="s">
        <v>233</v>
      </c>
      <c r="M328" s="357" t="s">
        <v>419</v>
      </c>
      <c r="N328" s="358" t="s">
        <v>1051</v>
      </c>
      <c r="O328" s="359" t="s">
        <v>470</v>
      </c>
      <c r="P328" s="360">
        <v>16</v>
      </c>
      <c r="Q328" s="195"/>
      <c r="R328" s="198" t="s">
        <v>7</v>
      </c>
      <c r="S328" s="103">
        <f t="shared" si="46"/>
        <v>0</v>
      </c>
      <c r="T328" s="83">
        <f t="shared" si="47"/>
        <v>0</v>
      </c>
      <c r="U328" s="9" t="str">
        <f t="shared" si="48"/>
        <v>SEM VALOR</v>
      </c>
      <c r="V328" s="1" t="str">
        <f ca="1">IF(OR($A328=0,$A328="S",$A328&gt;CFF!$A$9),"",MAX(V$12:OFFSET(V328,-1,0))+1)</f>
        <v/>
      </c>
      <c r="W328" s="4" t="str">
        <f t="shared" si="49"/>
        <v>SINAPI-99253</v>
      </c>
      <c r="X328" s="1">
        <f t="shared" ca="1" si="50"/>
        <v>5187</v>
      </c>
      <c r="Y328" s="103">
        <v>710.78</v>
      </c>
      <c r="Z328" s="113">
        <f ca="1">ROUND(IF(ISNUMBER(R328),R328,IF(LEFT(R328,3)="BDI",HLOOKUP(R328,DADOS!$T$37:$X$38,2,FALSE),0)),15-11*$X$5)</f>
        <v>0.25</v>
      </c>
      <c r="AA328" s="1"/>
    </row>
    <row r="329" spans="1:27" ht="26.4" x14ac:dyDescent="0.25">
      <c r="A329" t="str">
        <f t="shared" si="38"/>
        <v>S</v>
      </c>
      <c r="B329">
        <f t="shared" si="39"/>
        <v>0</v>
      </c>
      <c r="C329">
        <f t="shared" ca="1" si="40"/>
        <v>14</v>
      </c>
      <c r="D329">
        <f t="shared" ca="1" si="41"/>
        <v>1</v>
      </c>
      <c r="E329">
        <f t="shared" ca="1" si="42"/>
        <v>0</v>
      </c>
      <c r="F329">
        <f t="shared" ca="1" si="43"/>
        <v>0</v>
      </c>
      <c r="G329">
        <f t="shared" ca="1" si="44"/>
        <v>19</v>
      </c>
      <c r="H329">
        <f t="shared" ca="1" si="36"/>
        <v>0</v>
      </c>
      <c r="I329">
        <f t="shared" ca="1" si="37"/>
        <v>0</v>
      </c>
      <c r="J329" s="356" t="s">
        <v>103</v>
      </c>
      <c r="K329" s="138" t="str">
        <f t="shared" ca="1" si="45"/>
        <v>14.1.0.19.</v>
      </c>
      <c r="L329" s="357" t="s">
        <v>233</v>
      </c>
      <c r="M329" s="357" t="s">
        <v>437</v>
      </c>
      <c r="N329" s="358" t="s">
        <v>1068</v>
      </c>
      <c r="O329" s="359" t="s">
        <v>470</v>
      </c>
      <c r="P329" s="360">
        <v>19</v>
      </c>
      <c r="Q329" s="195"/>
      <c r="R329" s="198" t="s">
        <v>7</v>
      </c>
      <c r="S329" s="103">
        <f t="shared" si="46"/>
        <v>0</v>
      </c>
      <c r="T329" s="83">
        <f t="shared" si="47"/>
        <v>0</v>
      </c>
      <c r="U329" s="9" t="str">
        <f t="shared" si="48"/>
        <v>SEM VALOR</v>
      </c>
      <c r="V329" s="1" t="str">
        <f ca="1">IF(OR($A329=0,$A329="S",$A329&gt;CFF!$A$9),"",MAX(V$12:OFFSET(V329,-1,0))+1)</f>
        <v/>
      </c>
      <c r="W329" s="4" t="str">
        <f t="shared" si="49"/>
        <v>SINAPI-89708</v>
      </c>
      <c r="X329" s="1">
        <f t="shared" ca="1" si="50"/>
        <v>5235</v>
      </c>
      <c r="Y329" s="103">
        <v>130.31</v>
      </c>
      <c r="Z329" s="113">
        <f ca="1">ROUND(IF(ISNUMBER(R329),R329,IF(LEFT(R329,3)="BDI",HLOOKUP(R329,DADOS!$T$37:$X$38,2,FALSE),0)),15-11*$X$5)</f>
        <v>0.25</v>
      </c>
      <c r="AA329" s="1"/>
    </row>
    <row r="330" spans="1:27" ht="26.4" x14ac:dyDescent="0.25">
      <c r="A330" t="str">
        <f t="shared" si="38"/>
        <v>S</v>
      </c>
      <c r="B330">
        <f t="shared" si="39"/>
        <v>0</v>
      </c>
      <c r="C330">
        <f t="shared" ca="1" si="40"/>
        <v>14</v>
      </c>
      <c r="D330">
        <f t="shared" ca="1" si="41"/>
        <v>1</v>
      </c>
      <c r="E330">
        <f t="shared" ca="1" si="42"/>
        <v>0</v>
      </c>
      <c r="F330">
        <f t="shared" ca="1" si="43"/>
        <v>0</v>
      </c>
      <c r="G330">
        <f t="shared" ca="1" si="44"/>
        <v>20</v>
      </c>
      <c r="H330">
        <f t="shared" ca="1" si="36"/>
        <v>0</v>
      </c>
      <c r="I330">
        <f t="shared" ca="1" si="37"/>
        <v>0</v>
      </c>
      <c r="J330" s="356" t="s">
        <v>103</v>
      </c>
      <c r="K330" s="138" t="str">
        <f t="shared" ca="1" si="45"/>
        <v>14.1.0.20.</v>
      </c>
      <c r="L330" s="357" t="s">
        <v>233</v>
      </c>
      <c r="M330" s="357" t="s">
        <v>438</v>
      </c>
      <c r="N330" s="358" t="s">
        <v>1069</v>
      </c>
      <c r="O330" s="359" t="s">
        <v>470</v>
      </c>
      <c r="P330" s="360">
        <v>12</v>
      </c>
      <c r="Q330" s="195"/>
      <c r="R330" s="198" t="s">
        <v>7</v>
      </c>
      <c r="S330" s="103">
        <f t="shared" si="46"/>
        <v>0</v>
      </c>
      <c r="T330" s="83">
        <f t="shared" si="47"/>
        <v>0</v>
      </c>
      <c r="U330" s="9" t="str">
        <f t="shared" si="48"/>
        <v>SEM VALOR</v>
      </c>
      <c r="V330" s="1" t="str">
        <f ca="1">IF(OR($A330=0,$A330="S",$A330&gt;CFF!$A$9),"",MAX(V$12:OFFSET(V330,-1,0))+1)</f>
        <v/>
      </c>
      <c r="W330" s="4" t="str">
        <f t="shared" si="49"/>
        <v>SINAPI-89696</v>
      </c>
      <c r="X330" s="1">
        <f t="shared" ca="1" si="50"/>
        <v>4080</v>
      </c>
      <c r="Y330" s="103">
        <v>104.81</v>
      </c>
      <c r="Z330" s="113">
        <f ca="1">ROUND(IF(ISNUMBER(R330),R330,IF(LEFT(R330,3)="BDI",HLOOKUP(R330,DADOS!$T$37:$X$38,2,FALSE),0)),15-11*$X$5)</f>
        <v>0.25</v>
      </c>
      <c r="AA330" s="1"/>
    </row>
    <row r="331" spans="1:27" ht="26.4" x14ac:dyDescent="0.25">
      <c r="A331" t="str">
        <f t="shared" si="38"/>
        <v>S</v>
      </c>
      <c r="B331">
        <f t="shared" si="39"/>
        <v>0</v>
      </c>
      <c r="C331">
        <f t="shared" ca="1" si="40"/>
        <v>14</v>
      </c>
      <c r="D331">
        <f t="shared" ca="1" si="41"/>
        <v>1</v>
      </c>
      <c r="E331">
        <f t="shared" ca="1" si="42"/>
        <v>0</v>
      </c>
      <c r="F331">
        <f t="shared" ca="1" si="43"/>
        <v>0</v>
      </c>
      <c r="G331">
        <f t="shared" ca="1" si="44"/>
        <v>21</v>
      </c>
      <c r="H331">
        <f t="shared" ca="1" si="36"/>
        <v>0</v>
      </c>
      <c r="I331">
        <f t="shared" ca="1" si="37"/>
        <v>0</v>
      </c>
      <c r="J331" s="356" t="s">
        <v>103</v>
      </c>
      <c r="K331" s="138" t="str">
        <f t="shared" ca="1" si="45"/>
        <v>14.1.0.21.</v>
      </c>
      <c r="L331" s="357" t="s">
        <v>469</v>
      </c>
      <c r="M331" s="357" t="s">
        <v>786</v>
      </c>
      <c r="N331" s="358" t="s">
        <v>790</v>
      </c>
      <c r="O331" s="359" t="s">
        <v>782</v>
      </c>
      <c r="P331" s="360">
        <v>4</v>
      </c>
      <c r="Q331" s="195"/>
      <c r="R331" s="198" t="s">
        <v>7</v>
      </c>
      <c r="S331" s="103">
        <f t="shared" si="46"/>
        <v>0</v>
      </c>
      <c r="T331" s="83">
        <f t="shared" si="47"/>
        <v>0</v>
      </c>
      <c r="U331" s="9" t="str">
        <f t="shared" si="48"/>
        <v>SEM VALOR</v>
      </c>
      <c r="V331" s="1" t="str">
        <f ca="1">IF(OR($A331=0,$A331="S",$A331&gt;CFF!$A$9),"",MAX(V$12:OFFSET(V331,-1,0))+1)</f>
        <v/>
      </c>
      <c r="W331" s="4" t="str">
        <f t="shared" si="49"/>
        <v>FNDE-FNDE 214</v>
      </c>
      <c r="X331" s="1" t="e">
        <f t="shared" ca="1" si="50"/>
        <v>#N/A</v>
      </c>
      <c r="Y331" s="103">
        <v>103.69</v>
      </c>
      <c r="Z331" s="113">
        <f ca="1">ROUND(IF(ISNUMBER(R331),R331,IF(LEFT(R331,3)="BDI",HLOOKUP(R331,DADOS!$T$37:$X$38,2,FALSE),0)),15-11*$X$5)</f>
        <v>0.25</v>
      </c>
      <c r="AA331" s="1"/>
    </row>
    <row r="332" spans="1:27" ht="26.4" x14ac:dyDescent="0.25">
      <c r="A332" t="str">
        <f t="shared" si="38"/>
        <v>S</v>
      </c>
      <c r="B332">
        <f t="shared" si="39"/>
        <v>0</v>
      </c>
      <c r="C332">
        <f t="shared" ca="1" si="40"/>
        <v>14</v>
      </c>
      <c r="D332">
        <f t="shared" ca="1" si="41"/>
        <v>1</v>
      </c>
      <c r="E332">
        <f t="shared" ca="1" si="42"/>
        <v>0</v>
      </c>
      <c r="F332">
        <f t="shared" ca="1" si="43"/>
        <v>0</v>
      </c>
      <c r="G332">
        <f t="shared" ca="1" si="44"/>
        <v>22</v>
      </c>
      <c r="H332">
        <f t="shared" ca="1" si="36"/>
        <v>0</v>
      </c>
      <c r="I332">
        <f t="shared" ca="1" si="37"/>
        <v>0</v>
      </c>
      <c r="J332" s="356" t="s">
        <v>103</v>
      </c>
      <c r="K332" s="138" t="str">
        <f t="shared" ca="1" si="45"/>
        <v>14.1.0.22.</v>
      </c>
      <c r="L332" s="357" t="s">
        <v>233</v>
      </c>
      <c r="M332" s="357" t="s">
        <v>439</v>
      </c>
      <c r="N332" s="358" t="s">
        <v>1070</v>
      </c>
      <c r="O332" s="359" t="s">
        <v>470</v>
      </c>
      <c r="P332" s="360">
        <v>13</v>
      </c>
      <c r="Q332" s="195"/>
      <c r="R332" s="198" t="s">
        <v>7</v>
      </c>
      <c r="S332" s="103">
        <f t="shared" si="46"/>
        <v>0</v>
      </c>
      <c r="T332" s="83">
        <f t="shared" si="47"/>
        <v>0</v>
      </c>
      <c r="U332" s="9" t="str">
        <f t="shared" si="48"/>
        <v>SEM VALOR</v>
      </c>
      <c r="V332" s="1" t="str">
        <f ca="1">IF(OR($A332=0,$A332="S",$A332&gt;CFF!$A$9),"",MAX(V$12:OFFSET(V332,-1,0))+1)</f>
        <v/>
      </c>
      <c r="W332" s="4" t="str">
        <f t="shared" si="49"/>
        <v>SINAPI-89784</v>
      </c>
      <c r="X332" s="1">
        <f t="shared" ca="1" si="50"/>
        <v>4149</v>
      </c>
      <c r="Y332" s="103">
        <v>30.8</v>
      </c>
      <c r="Z332" s="113">
        <f ca="1">ROUND(IF(ISNUMBER(R332),R332,IF(LEFT(R332,3)="BDI",HLOOKUP(R332,DADOS!$T$37:$X$38,2,FALSE),0)),15-11*$X$5)</f>
        <v>0.25</v>
      </c>
      <c r="AA332" s="1"/>
    </row>
    <row r="333" spans="1:27" ht="26.4" x14ac:dyDescent="0.25">
      <c r="A333" t="str">
        <f t="shared" si="38"/>
        <v>S</v>
      </c>
      <c r="B333">
        <f t="shared" si="39"/>
        <v>0</v>
      </c>
      <c r="C333">
        <f t="shared" ca="1" si="40"/>
        <v>14</v>
      </c>
      <c r="D333">
        <f t="shared" ca="1" si="41"/>
        <v>1</v>
      </c>
      <c r="E333">
        <f t="shared" ca="1" si="42"/>
        <v>0</v>
      </c>
      <c r="F333">
        <f t="shared" ca="1" si="43"/>
        <v>0</v>
      </c>
      <c r="G333">
        <f t="shared" ca="1" si="44"/>
        <v>23</v>
      </c>
      <c r="H333">
        <f t="shared" ref="H333:H396" ca="1" si="51">IF(OR($A333="S",$A333=0),0,MATCH(0,OFFSET($B333,1,$A333,ROW($A$603)-ROW($A333)),0))</f>
        <v>0</v>
      </c>
      <c r="I333">
        <f t="shared" ref="I333:I396" ca="1" si="52">IF(OR($A333="S",$A333=0),0,MATCH(OFFSET($B333,0,$A333)+1,OFFSET($B333,1,$A333,ROW($A$603)-ROW($A333)),0))</f>
        <v>0</v>
      </c>
      <c r="J333" s="356" t="s">
        <v>103</v>
      </c>
      <c r="K333" s="138" t="str">
        <f t="shared" ca="1" si="45"/>
        <v>14.1.0.23.</v>
      </c>
      <c r="L333" s="357" t="s">
        <v>233</v>
      </c>
      <c r="M333" s="357" t="s">
        <v>440</v>
      </c>
      <c r="N333" s="358" t="s">
        <v>1071</v>
      </c>
      <c r="O333" s="359" t="s">
        <v>470</v>
      </c>
      <c r="P333" s="360">
        <v>1</v>
      </c>
      <c r="Q333" s="195"/>
      <c r="R333" s="198" t="s">
        <v>7</v>
      </c>
      <c r="S333" s="103">
        <f t="shared" si="46"/>
        <v>0</v>
      </c>
      <c r="T333" s="83">
        <f t="shared" si="47"/>
        <v>0</v>
      </c>
      <c r="U333" s="9" t="str">
        <f t="shared" si="48"/>
        <v>SEM VALOR</v>
      </c>
      <c r="V333" s="1" t="str">
        <f ca="1">IF(OR($A333=0,$A333="S",$A333&gt;CFF!$A$9),"",MAX(V$12:OFFSET(V333,-1,0))+1)</f>
        <v/>
      </c>
      <c r="W333" s="4" t="str">
        <f t="shared" si="49"/>
        <v>SINAPI-89687</v>
      </c>
      <c r="X333" s="1">
        <f t="shared" ca="1" si="50"/>
        <v>4072</v>
      </c>
      <c r="Y333" s="103">
        <v>65.709999999999994</v>
      </c>
      <c r="Z333" s="113">
        <f ca="1">ROUND(IF(ISNUMBER(R333),R333,IF(LEFT(R333,3)="BDI",HLOOKUP(R333,DADOS!$T$37:$X$38,2,FALSE),0)),15-11*$X$5)</f>
        <v>0.25</v>
      </c>
      <c r="AA333" s="1"/>
    </row>
    <row r="334" spans="1:27" x14ac:dyDescent="0.25">
      <c r="A334" t="str">
        <f t="shared" si="38"/>
        <v>S</v>
      </c>
      <c r="B334">
        <f t="shared" si="39"/>
        <v>0</v>
      </c>
      <c r="C334">
        <f t="shared" ca="1" si="40"/>
        <v>14</v>
      </c>
      <c r="D334">
        <f t="shared" ca="1" si="41"/>
        <v>1</v>
      </c>
      <c r="E334">
        <f t="shared" ca="1" si="42"/>
        <v>0</v>
      </c>
      <c r="F334">
        <f t="shared" ca="1" si="43"/>
        <v>0</v>
      </c>
      <c r="G334">
        <f t="shared" ca="1" si="44"/>
        <v>24</v>
      </c>
      <c r="H334">
        <f t="shared" ca="1" si="51"/>
        <v>0</v>
      </c>
      <c r="I334">
        <f t="shared" ca="1" si="52"/>
        <v>0</v>
      </c>
      <c r="J334" s="356" t="s">
        <v>103</v>
      </c>
      <c r="K334" s="138" t="str">
        <f t="shared" ca="1" si="45"/>
        <v>14.1.0.24.</v>
      </c>
      <c r="L334" s="357" t="s">
        <v>233</v>
      </c>
      <c r="M334" s="357" t="s">
        <v>441</v>
      </c>
      <c r="N334" s="358" t="s">
        <v>1072</v>
      </c>
      <c r="O334" s="359" t="s">
        <v>470</v>
      </c>
      <c r="P334" s="360">
        <v>12</v>
      </c>
      <c r="Q334" s="195"/>
      <c r="R334" s="198" t="s">
        <v>7</v>
      </c>
      <c r="S334" s="103">
        <f t="shared" si="46"/>
        <v>0</v>
      </c>
      <c r="T334" s="83">
        <f t="shared" si="47"/>
        <v>0</v>
      </c>
      <c r="U334" s="9" t="str">
        <f t="shared" si="48"/>
        <v>SEM VALOR</v>
      </c>
      <c r="V334" s="1" t="str">
        <f ca="1">IF(OR($A334=0,$A334="S",$A334&gt;CFF!$A$9),"",MAX(V$12:OFFSET(V334,-1,0))+1)</f>
        <v/>
      </c>
      <c r="W334" s="4" t="str">
        <f t="shared" si="49"/>
        <v>SINAPI-89623</v>
      </c>
      <c r="X334" s="1">
        <f t="shared" ca="1" si="50"/>
        <v>4013</v>
      </c>
      <c r="Y334" s="103">
        <v>25.05</v>
      </c>
      <c r="Z334" s="113">
        <f ca="1">ROUND(IF(ISNUMBER(R334),R334,IF(LEFT(R334,3)="BDI",HLOOKUP(R334,DADOS!$T$37:$X$38,2,FALSE),0)),15-11*$X$5)</f>
        <v>0.25</v>
      </c>
      <c r="AA334" s="1"/>
    </row>
    <row r="335" spans="1:27" ht="26.4" x14ac:dyDescent="0.25">
      <c r="A335" t="str">
        <f t="shared" si="38"/>
        <v>S</v>
      </c>
      <c r="B335">
        <f t="shared" si="39"/>
        <v>0</v>
      </c>
      <c r="C335">
        <f t="shared" ca="1" si="40"/>
        <v>14</v>
      </c>
      <c r="D335">
        <f t="shared" ca="1" si="41"/>
        <v>1</v>
      </c>
      <c r="E335">
        <f t="shared" ca="1" si="42"/>
        <v>0</v>
      </c>
      <c r="F335">
        <f t="shared" ca="1" si="43"/>
        <v>0</v>
      </c>
      <c r="G335">
        <f t="shared" ca="1" si="44"/>
        <v>25</v>
      </c>
      <c r="H335">
        <f t="shared" ca="1" si="51"/>
        <v>0</v>
      </c>
      <c r="I335">
        <f t="shared" ca="1" si="52"/>
        <v>0</v>
      </c>
      <c r="J335" s="356" t="s">
        <v>103</v>
      </c>
      <c r="K335" s="138" t="str">
        <f t="shared" ca="1" si="45"/>
        <v>14.1.0.25.</v>
      </c>
      <c r="L335" s="357" t="s">
        <v>233</v>
      </c>
      <c r="M335" s="357" t="s">
        <v>442</v>
      </c>
      <c r="N335" s="358" t="s">
        <v>1073</v>
      </c>
      <c r="O335" s="359" t="s">
        <v>470</v>
      </c>
      <c r="P335" s="360">
        <v>15</v>
      </c>
      <c r="Q335" s="195"/>
      <c r="R335" s="198" t="s">
        <v>7</v>
      </c>
      <c r="S335" s="103">
        <f t="shared" si="46"/>
        <v>0</v>
      </c>
      <c r="T335" s="83">
        <f t="shared" si="47"/>
        <v>0</v>
      </c>
      <c r="U335" s="9" t="str">
        <f t="shared" si="48"/>
        <v>SEM VALOR</v>
      </c>
      <c r="V335" s="1" t="str">
        <f ca="1">IF(OR($A335=0,$A335="S",$A335&gt;CFF!$A$9),"",MAX(V$12:OFFSET(V335,-1,0))+1)</f>
        <v/>
      </c>
      <c r="W335" s="4" t="str">
        <f t="shared" si="49"/>
        <v>SINAPI-89710</v>
      </c>
      <c r="X335" s="1">
        <f t="shared" ca="1" si="50"/>
        <v>5237</v>
      </c>
      <c r="Y335" s="103">
        <v>23.5</v>
      </c>
      <c r="Z335" s="113">
        <f ca="1">ROUND(IF(ISNUMBER(R335),R335,IF(LEFT(R335,3)="BDI",HLOOKUP(R335,DADOS!$T$37:$X$38,2,FALSE),0)),15-11*$X$5)</f>
        <v>0.25</v>
      </c>
      <c r="AA335" s="1"/>
    </row>
    <row r="336" spans="1:27" ht="26.4" x14ac:dyDescent="0.25">
      <c r="A336" t="str">
        <f t="shared" si="38"/>
        <v>S</v>
      </c>
      <c r="B336">
        <f t="shared" si="39"/>
        <v>0</v>
      </c>
      <c r="C336">
        <f t="shared" ca="1" si="40"/>
        <v>14</v>
      </c>
      <c r="D336">
        <f t="shared" ca="1" si="41"/>
        <v>1</v>
      </c>
      <c r="E336">
        <f t="shared" ca="1" si="42"/>
        <v>0</v>
      </c>
      <c r="F336">
        <f t="shared" ca="1" si="43"/>
        <v>0</v>
      </c>
      <c r="G336">
        <f t="shared" ca="1" si="44"/>
        <v>26</v>
      </c>
      <c r="H336">
        <f t="shared" ca="1" si="51"/>
        <v>0</v>
      </c>
      <c r="I336">
        <f t="shared" ca="1" si="52"/>
        <v>0</v>
      </c>
      <c r="J336" s="356" t="s">
        <v>103</v>
      </c>
      <c r="K336" s="138" t="str">
        <f t="shared" ca="1" si="45"/>
        <v>14.1.0.26.</v>
      </c>
      <c r="L336" s="357" t="s">
        <v>469</v>
      </c>
      <c r="M336" s="357" t="s">
        <v>787</v>
      </c>
      <c r="N336" s="358" t="s">
        <v>791</v>
      </c>
      <c r="O336" s="359" t="s">
        <v>590</v>
      </c>
      <c r="P336" s="360">
        <v>3</v>
      </c>
      <c r="Q336" s="195"/>
      <c r="R336" s="198" t="s">
        <v>7</v>
      </c>
      <c r="S336" s="103">
        <f t="shared" si="46"/>
        <v>0</v>
      </c>
      <c r="T336" s="83">
        <f t="shared" si="47"/>
        <v>0</v>
      </c>
      <c r="U336" s="9" t="str">
        <f t="shared" si="48"/>
        <v>SEM VALOR</v>
      </c>
      <c r="V336" s="1" t="str">
        <f ca="1">IF(OR($A336=0,$A336="S",$A336&gt;CFF!$A$9),"",MAX(V$12:OFFSET(V336,-1,0))+1)</f>
        <v/>
      </c>
      <c r="W336" s="4" t="str">
        <f t="shared" si="49"/>
        <v>FNDE-FNDE 50</v>
      </c>
      <c r="X336" s="1" t="e">
        <f t="shared" ca="1" si="50"/>
        <v>#N/A</v>
      </c>
      <c r="Y336" s="103">
        <v>137.41</v>
      </c>
      <c r="Z336" s="113">
        <f ca="1">ROUND(IF(ISNUMBER(R336),R336,IF(LEFT(R336,3)="BDI",HLOOKUP(R336,DADOS!$T$37:$X$38,2,FALSE),0)),15-11*$X$5)</f>
        <v>0.25</v>
      </c>
      <c r="AA336" s="1"/>
    </row>
    <row r="337" spans="1:27" ht="26.4" x14ac:dyDescent="0.25">
      <c r="A337" t="str">
        <f t="shared" si="38"/>
        <v>S</v>
      </c>
      <c r="B337">
        <f t="shared" si="39"/>
        <v>0</v>
      </c>
      <c r="C337">
        <f t="shared" ca="1" si="40"/>
        <v>14</v>
      </c>
      <c r="D337">
        <f t="shared" ca="1" si="41"/>
        <v>1</v>
      </c>
      <c r="E337">
        <f t="shared" ca="1" si="42"/>
        <v>0</v>
      </c>
      <c r="F337">
        <f t="shared" ca="1" si="43"/>
        <v>0</v>
      </c>
      <c r="G337">
        <f t="shared" ca="1" si="44"/>
        <v>27</v>
      </c>
      <c r="H337">
        <f t="shared" ca="1" si="51"/>
        <v>0</v>
      </c>
      <c r="I337">
        <f t="shared" ca="1" si="52"/>
        <v>0</v>
      </c>
      <c r="J337" s="356" t="s">
        <v>103</v>
      </c>
      <c r="K337" s="138" t="str">
        <f t="shared" ca="1" si="45"/>
        <v>14.1.0.27.</v>
      </c>
      <c r="L337" s="357" t="s">
        <v>233</v>
      </c>
      <c r="M337" s="357" t="s">
        <v>443</v>
      </c>
      <c r="N337" s="358" t="s">
        <v>1074</v>
      </c>
      <c r="O337" s="359" t="s">
        <v>470</v>
      </c>
      <c r="P337" s="360">
        <v>9</v>
      </c>
      <c r="Q337" s="195"/>
      <c r="R337" s="198" t="s">
        <v>7</v>
      </c>
      <c r="S337" s="103">
        <f t="shared" si="46"/>
        <v>0</v>
      </c>
      <c r="T337" s="83">
        <f t="shared" si="47"/>
        <v>0</v>
      </c>
      <c r="U337" s="9" t="str">
        <f t="shared" si="48"/>
        <v>SEM VALOR</v>
      </c>
      <c r="V337" s="1" t="str">
        <f ca="1">IF(OR($A337=0,$A337="S",$A337&gt;CFF!$A$9),"",MAX(V$12:OFFSET(V337,-1,0))+1)</f>
        <v/>
      </c>
      <c r="W337" s="4" t="str">
        <f t="shared" si="49"/>
        <v>SINAPI-104351</v>
      </c>
      <c r="X337" s="1">
        <f t="shared" ca="1" si="50"/>
        <v>5071</v>
      </c>
      <c r="Y337" s="103">
        <v>28.91</v>
      </c>
      <c r="Z337" s="113">
        <f ca="1">ROUND(IF(ISNUMBER(R337),R337,IF(LEFT(R337,3)="BDI",HLOOKUP(R337,DADOS!$T$37:$X$38,2,FALSE),0)),15-11*$X$5)</f>
        <v>0.25</v>
      </c>
      <c r="AA337" s="1"/>
    </row>
    <row r="338" spans="1:27" ht="26.4" x14ac:dyDescent="0.25">
      <c r="A338" t="str">
        <f t="shared" si="38"/>
        <v>S</v>
      </c>
      <c r="B338">
        <f t="shared" si="39"/>
        <v>0</v>
      </c>
      <c r="C338">
        <f t="shared" ca="1" si="40"/>
        <v>14</v>
      </c>
      <c r="D338">
        <f t="shared" ca="1" si="41"/>
        <v>1</v>
      </c>
      <c r="E338">
        <f t="shared" ca="1" si="42"/>
        <v>0</v>
      </c>
      <c r="F338">
        <f t="shared" ca="1" si="43"/>
        <v>0</v>
      </c>
      <c r="G338">
        <f t="shared" ca="1" si="44"/>
        <v>28</v>
      </c>
      <c r="H338">
        <f t="shared" ca="1" si="51"/>
        <v>0</v>
      </c>
      <c r="I338">
        <f t="shared" ca="1" si="52"/>
        <v>0</v>
      </c>
      <c r="J338" s="356" t="s">
        <v>103</v>
      </c>
      <c r="K338" s="138" t="str">
        <f t="shared" ca="1" si="45"/>
        <v>14.1.0.28.</v>
      </c>
      <c r="L338" s="357" t="s">
        <v>233</v>
      </c>
      <c r="M338" s="357" t="s">
        <v>444</v>
      </c>
      <c r="N338" s="358" t="s">
        <v>1075</v>
      </c>
      <c r="O338" s="359" t="s">
        <v>470</v>
      </c>
      <c r="P338" s="360">
        <v>9</v>
      </c>
      <c r="Q338" s="195"/>
      <c r="R338" s="198" t="s">
        <v>7</v>
      </c>
      <c r="S338" s="103">
        <f t="shared" si="46"/>
        <v>0</v>
      </c>
      <c r="T338" s="83">
        <f t="shared" si="47"/>
        <v>0</v>
      </c>
      <c r="U338" s="9" t="str">
        <f t="shared" si="48"/>
        <v>SEM VALOR</v>
      </c>
      <c r="V338" s="1" t="str">
        <f ca="1">IF(OR($A338=0,$A338="S",$A338&gt;CFF!$A$9),"",MAX(V$12:OFFSET(V338,-1,0))+1)</f>
        <v/>
      </c>
      <c r="W338" s="4" t="str">
        <f t="shared" si="49"/>
        <v>SINAPI-104348</v>
      </c>
      <c r="X338" s="1">
        <f t="shared" ca="1" si="50"/>
        <v>5069</v>
      </c>
      <c r="Y338" s="103">
        <v>13.93</v>
      </c>
      <c r="Z338" s="113">
        <f ca="1">ROUND(IF(ISNUMBER(R338),R338,IF(LEFT(R338,3)="BDI",HLOOKUP(R338,DADOS!$T$37:$X$38,2,FALSE),0)),15-11*$X$5)</f>
        <v>0.25</v>
      </c>
      <c r="AA338" s="1"/>
    </row>
    <row r="339" spans="1:27" ht="26.4" x14ac:dyDescent="0.25">
      <c r="A339" t="str">
        <f t="shared" si="38"/>
        <v>S</v>
      </c>
      <c r="B339">
        <f t="shared" si="39"/>
        <v>0</v>
      </c>
      <c r="C339">
        <f t="shared" ca="1" si="40"/>
        <v>14</v>
      </c>
      <c r="D339">
        <f t="shared" ca="1" si="41"/>
        <v>1</v>
      </c>
      <c r="E339">
        <f t="shared" ca="1" si="42"/>
        <v>0</v>
      </c>
      <c r="F339">
        <f t="shared" ca="1" si="43"/>
        <v>0</v>
      </c>
      <c r="G339">
        <f t="shared" ca="1" si="44"/>
        <v>29</v>
      </c>
      <c r="H339">
        <f t="shared" ca="1" si="51"/>
        <v>0</v>
      </c>
      <c r="I339">
        <f t="shared" ca="1" si="52"/>
        <v>0</v>
      </c>
      <c r="J339" s="356" t="s">
        <v>103</v>
      </c>
      <c r="K339" s="138" t="str">
        <f t="shared" ca="1" si="45"/>
        <v>14.1.0.29.</v>
      </c>
      <c r="L339" s="357" t="s">
        <v>233</v>
      </c>
      <c r="M339" s="357" t="s">
        <v>445</v>
      </c>
      <c r="N339" s="358" t="s">
        <v>1076</v>
      </c>
      <c r="O339" s="359" t="s">
        <v>470</v>
      </c>
      <c r="P339" s="360">
        <v>25</v>
      </c>
      <c r="Q339" s="195"/>
      <c r="R339" s="198" t="s">
        <v>7</v>
      </c>
      <c r="S339" s="103">
        <f t="shared" si="46"/>
        <v>0</v>
      </c>
      <c r="T339" s="83">
        <f t="shared" si="47"/>
        <v>0</v>
      </c>
      <c r="U339" s="9" t="str">
        <f t="shared" si="48"/>
        <v>SEM VALOR</v>
      </c>
      <c r="V339" s="1" t="str">
        <f ca="1">IF(OR($A339=0,$A339="S",$A339&gt;CFF!$A$9),"",MAX(V$12:OFFSET(V339,-1,0))+1)</f>
        <v/>
      </c>
      <c r="W339" s="4" t="str">
        <f t="shared" si="49"/>
        <v>SINAPI-104341</v>
      </c>
      <c r="X339" s="1">
        <f t="shared" ca="1" si="50"/>
        <v>5063</v>
      </c>
      <c r="Y339" s="103">
        <v>13.98</v>
      </c>
      <c r="Z339" s="113">
        <f ca="1">ROUND(IF(ISNUMBER(R339),R339,IF(LEFT(R339,3)="BDI",HLOOKUP(R339,DADOS!$T$37:$X$38,2,FALSE),0)),15-11*$X$5)</f>
        <v>0.25</v>
      </c>
      <c r="AA339" s="1"/>
    </row>
    <row r="340" spans="1:27" x14ac:dyDescent="0.25">
      <c r="A340">
        <f t="shared" si="38"/>
        <v>2</v>
      </c>
      <c r="B340">
        <f t="shared" ca="1" si="39"/>
        <v>3</v>
      </c>
      <c r="C340">
        <f t="shared" ca="1" si="40"/>
        <v>14</v>
      </c>
      <c r="D340">
        <f t="shared" ca="1" si="41"/>
        <v>2</v>
      </c>
      <c r="E340">
        <f t="shared" ca="1" si="42"/>
        <v>0</v>
      </c>
      <c r="F340">
        <f t="shared" ca="1" si="43"/>
        <v>0</v>
      </c>
      <c r="G340">
        <f t="shared" ca="1" si="44"/>
        <v>0</v>
      </c>
      <c r="H340">
        <f t="shared" ca="1" si="51"/>
        <v>3</v>
      </c>
      <c r="I340">
        <f t="shared" ca="1" si="52"/>
        <v>59</v>
      </c>
      <c r="J340" s="356" t="s">
        <v>100</v>
      </c>
      <c r="K340" s="138" t="str">
        <f t="shared" ca="1" si="45"/>
        <v>14.2.</v>
      </c>
      <c r="L340" s="357"/>
      <c r="M340" s="357"/>
      <c r="N340" s="358" t="s">
        <v>447</v>
      </c>
      <c r="O340" s="359" t="s">
        <v>106</v>
      </c>
      <c r="P340" s="360"/>
      <c r="Q340" s="195"/>
      <c r="R340" s="198" t="s">
        <v>7</v>
      </c>
      <c r="S340" s="103">
        <f t="shared" si="46"/>
        <v>0</v>
      </c>
      <c r="T340" s="83">
        <f t="shared" ca="1" si="47"/>
        <v>0</v>
      </c>
      <c r="U340" s="9" t="str">
        <f t="shared" ca="1" si="48"/>
        <v>SEM VALOR</v>
      </c>
      <c r="V340" s="1">
        <f ca="1">IF(OR($A340=0,$A340="S",$A340&gt;CFF!$A$9),"",MAX(V$12:OFFSET(V340,-1,0))+1)</f>
        <v>54</v>
      </c>
      <c r="W340" s="4" t="b">
        <f t="shared" si="49"/>
        <v>0</v>
      </c>
      <c r="X340" s="1" t="str">
        <f t="shared" ca="1" si="50"/>
        <v>X</v>
      </c>
      <c r="Y340" s="103">
        <v>0</v>
      </c>
      <c r="Z340" s="113">
        <f ca="1">ROUND(IF(ISNUMBER(R340),R340,IF(LEFT(R340,3)="BDI",HLOOKUP(R340,DADOS!$T$37:$X$38,2,FALSE),0)),15-11*$X$5)</f>
        <v>0.25</v>
      </c>
      <c r="AA340" s="1"/>
    </row>
    <row r="341" spans="1:27" ht="26.4" x14ac:dyDescent="0.25">
      <c r="A341" t="str">
        <f t="shared" si="38"/>
        <v>S</v>
      </c>
      <c r="B341">
        <f t="shared" si="39"/>
        <v>0</v>
      </c>
      <c r="C341">
        <f t="shared" ca="1" si="40"/>
        <v>14</v>
      </c>
      <c r="D341">
        <f t="shared" ca="1" si="41"/>
        <v>2</v>
      </c>
      <c r="E341">
        <f t="shared" ca="1" si="42"/>
        <v>0</v>
      </c>
      <c r="F341">
        <f t="shared" ca="1" si="43"/>
        <v>0</v>
      </c>
      <c r="G341">
        <f t="shared" ca="1" si="44"/>
        <v>1</v>
      </c>
      <c r="H341">
        <f t="shared" ca="1" si="51"/>
        <v>0</v>
      </c>
      <c r="I341">
        <f t="shared" ca="1" si="52"/>
        <v>0</v>
      </c>
      <c r="J341" s="356" t="s">
        <v>103</v>
      </c>
      <c r="K341" s="138" t="str">
        <f t="shared" ca="1" si="45"/>
        <v>14.2.0.1.</v>
      </c>
      <c r="L341" s="357" t="s">
        <v>233</v>
      </c>
      <c r="M341" s="357" t="s">
        <v>448</v>
      </c>
      <c r="N341" s="358" t="s">
        <v>1077</v>
      </c>
      <c r="O341" s="359" t="s">
        <v>470</v>
      </c>
      <c r="P341" s="360">
        <v>1</v>
      </c>
      <c r="Q341" s="195"/>
      <c r="R341" s="198" t="s">
        <v>7</v>
      </c>
      <c r="S341" s="103">
        <f t="shared" si="46"/>
        <v>0</v>
      </c>
      <c r="T341" s="83">
        <f t="shared" si="47"/>
        <v>0</v>
      </c>
      <c r="U341" s="9" t="str">
        <f t="shared" si="48"/>
        <v>SEM VALOR</v>
      </c>
      <c r="V341" s="1" t="str">
        <f ca="1">IF(OR($A341=0,$A341="S",$A341&gt;CFF!$A$9),"",MAX(V$12:OFFSET(V341,-1,0))+1)</f>
        <v/>
      </c>
      <c r="W341" s="4" t="str">
        <f t="shared" si="49"/>
        <v>SINAPI-98087</v>
      </c>
      <c r="X341" s="1">
        <f t="shared" ca="1" si="50"/>
        <v>5379</v>
      </c>
      <c r="Y341" s="103">
        <v>14434.35</v>
      </c>
      <c r="Z341" s="113">
        <f ca="1">ROUND(IF(ISNUMBER(R341),R341,IF(LEFT(R341,3)="BDI",HLOOKUP(R341,DADOS!$T$37:$X$38,2,FALSE),0)),15-11*$X$5)</f>
        <v>0.25</v>
      </c>
      <c r="AA341" s="1"/>
    </row>
    <row r="342" spans="1:27" ht="26.4" x14ac:dyDescent="0.25">
      <c r="A342" t="str">
        <f t="shared" si="38"/>
        <v>S</v>
      </c>
      <c r="B342">
        <f t="shared" si="39"/>
        <v>0</v>
      </c>
      <c r="C342">
        <f t="shared" ca="1" si="40"/>
        <v>14</v>
      </c>
      <c r="D342">
        <f t="shared" ca="1" si="41"/>
        <v>2</v>
      </c>
      <c r="E342">
        <f t="shared" ca="1" si="42"/>
        <v>0</v>
      </c>
      <c r="F342">
        <f t="shared" ca="1" si="43"/>
        <v>0</v>
      </c>
      <c r="G342">
        <f t="shared" ca="1" si="44"/>
        <v>2</v>
      </c>
      <c r="H342">
        <f t="shared" ca="1" si="51"/>
        <v>0</v>
      </c>
      <c r="I342">
        <f t="shared" ca="1" si="52"/>
        <v>0</v>
      </c>
      <c r="J342" s="356" t="s">
        <v>103</v>
      </c>
      <c r="K342" s="138" t="str">
        <f t="shared" ca="1" si="45"/>
        <v>14.2.0.2.</v>
      </c>
      <c r="L342" s="357" t="s">
        <v>233</v>
      </c>
      <c r="M342" s="357" t="s">
        <v>449</v>
      </c>
      <c r="N342" s="358" t="s">
        <v>1078</v>
      </c>
      <c r="O342" s="359" t="s">
        <v>470</v>
      </c>
      <c r="P342" s="360">
        <v>1</v>
      </c>
      <c r="Q342" s="195"/>
      <c r="R342" s="198" t="s">
        <v>7</v>
      </c>
      <c r="S342" s="103">
        <f t="shared" si="46"/>
        <v>0</v>
      </c>
      <c r="T342" s="83">
        <f t="shared" si="47"/>
        <v>0</v>
      </c>
      <c r="U342" s="9" t="str">
        <f t="shared" si="48"/>
        <v>SEM VALOR</v>
      </c>
      <c r="V342" s="1" t="str">
        <f ca="1">IF(OR($A342=0,$A342="S",$A342&gt;CFF!$A$9),"",MAX(V$12:OFFSET(V342,-1,0))+1)</f>
        <v/>
      </c>
      <c r="W342" s="4" t="str">
        <f t="shared" si="49"/>
        <v>SINAPI-98093</v>
      </c>
      <c r="X342" s="1">
        <f t="shared" ca="1" si="50"/>
        <v>5385</v>
      </c>
      <c r="Y342" s="103">
        <v>18242.16</v>
      </c>
      <c r="Z342" s="113">
        <f ca="1">ROUND(IF(ISNUMBER(R342),R342,IF(LEFT(R342,3)="BDI",HLOOKUP(R342,DADOS!$T$37:$X$38,2,FALSE),0)),15-11*$X$5)</f>
        <v>0.25</v>
      </c>
      <c r="AA342" s="1"/>
    </row>
    <row r="343" spans="1:27" x14ac:dyDescent="0.25">
      <c r="A343">
        <f t="shared" si="38"/>
        <v>1</v>
      </c>
      <c r="B343">
        <f t="shared" ca="1" si="39"/>
        <v>35</v>
      </c>
      <c r="C343">
        <f t="shared" ca="1" si="40"/>
        <v>15</v>
      </c>
      <c r="D343">
        <f t="shared" ca="1" si="41"/>
        <v>0</v>
      </c>
      <c r="E343">
        <f t="shared" ca="1" si="42"/>
        <v>0</v>
      </c>
      <c r="F343">
        <f t="shared" ca="1" si="43"/>
        <v>0</v>
      </c>
      <c r="G343">
        <f t="shared" ca="1" si="44"/>
        <v>0</v>
      </c>
      <c r="H343">
        <f t="shared" ca="1" si="51"/>
        <v>260</v>
      </c>
      <c r="I343">
        <f t="shared" ca="1" si="52"/>
        <v>35</v>
      </c>
      <c r="J343" s="356" t="s">
        <v>99</v>
      </c>
      <c r="K343" s="138" t="str">
        <f t="shared" ca="1" si="45"/>
        <v>15.</v>
      </c>
      <c r="L343" s="357"/>
      <c r="M343" s="357"/>
      <c r="N343" s="358" t="s">
        <v>450</v>
      </c>
      <c r="O343" s="359" t="s">
        <v>106</v>
      </c>
      <c r="P343" s="360"/>
      <c r="Q343" s="195"/>
      <c r="R343" s="198" t="s">
        <v>7</v>
      </c>
      <c r="S343" s="103">
        <f t="shared" si="46"/>
        <v>0</v>
      </c>
      <c r="T343" s="83">
        <f t="shared" ca="1" si="47"/>
        <v>0</v>
      </c>
      <c r="U343" s="9" t="str">
        <f t="shared" ca="1" si="48"/>
        <v>SEM VALOR</v>
      </c>
      <c r="V343" s="1">
        <f ca="1">IF(OR($A343=0,$A343="S",$A343&gt;CFF!$A$9),"",MAX(V$12:OFFSET(V343,-1,0))+1)</f>
        <v>55</v>
      </c>
      <c r="W343" s="4" t="b">
        <f t="shared" si="49"/>
        <v>0</v>
      </c>
      <c r="X343" s="1" t="str">
        <f t="shared" ca="1" si="50"/>
        <v>X</v>
      </c>
      <c r="Y343" s="103">
        <v>0</v>
      </c>
      <c r="Z343" s="113">
        <f ca="1">ROUND(IF(ISNUMBER(R343),R343,IF(LEFT(R343,3)="BDI",HLOOKUP(R343,DADOS!$T$37:$X$38,2,FALSE),0)),15-11*$X$5)</f>
        <v>0.25</v>
      </c>
      <c r="AA343" s="1"/>
    </row>
    <row r="344" spans="1:27" ht="26.4" x14ac:dyDescent="0.25">
      <c r="A344" t="str">
        <f t="shared" si="38"/>
        <v>S</v>
      </c>
      <c r="B344">
        <f t="shared" si="39"/>
        <v>0</v>
      </c>
      <c r="C344">
        <f t="shared" ca="1" si="40"/>
        <v>15</v>
      </c>
      <c r="D344">
        <f t="shared" ca="1" si="41"/>
        <v>0</v>
      </c>
      <c r="E344">
        <f t="shared" ca="1" si="42"/>
        <v>0</v>
      </c>
      <c r="F344">
        <f t="shared" ca="1" si="43"/>
        <v>0</v>
      </c>
      <c r="G344">
        <f t="shared" ca="1" si="44"/>
        <v>1</v>
      </c>
      <c r="H344">
        <f t="shared" ca="1" si="51"/>
        <v>0</v>
      </c>
      <c r="I344">
        <f t="shared" ca="1" si="52"/>
        <v>0</v>
      </c>
      <c r="J344" s="356" t="s">
        <v>103</v>
      </c>
      <c r="K344" s="138" t="str">
        <f t="shared" ca="1" si="45"/>
        <v>15.0.0.1.</v>
      </c>
      <c r="L344" s="357" t="s">
        <v>233</v>
      </c>
      <c r="M344" s="357" t="s">
        <v>451</v>
      </c>
      <c r="N344" s="358" t="s">
        <v>1079</v>
      </c>
      <c r="O344" s="359" t="s">
        <v>470</v>
      </c>
      <c r="P344" s="360">
        <v>4</v>
      </c>
      <c r="Q344" s="195"/>
      <c r="R344" s="198" t="s">
        <v>7</v>
      </c>
      <c r="S344" s="103">
        <f t="shared" si="46"/>
        <v>0</v>
      </c>
      <c r="T344" s="83">
        <f t="shared" si="47"/>
        <v>0</v>
      </c>
      <c r="U344" s="9" t="str">
        <f t="shared" si="48"/>
        <v>SEM VALOR</v>
      </c>
      <c r="V344" s="1" t="str">
        <f ca="1">IF(OR($A344=0,$A344="S",$A344&gt;CFF!$A$9),"",MAX(V$12:OFFSET(V344,-1,0))+1)</f>
        <v/>
      </c>
      <c r="W344" s="4" t="str">
        <f t="shared" si="49"/>
        <v>SINAPI-95470</v>
      </c>
      <c r="X344" s="1">
        <f t="shared" ca="1" si="50"/>
        <v>5308</v>
      </c>
      <c r="Y344" s="103">
        <v>378.43</v>
      </c>
      <c r="Z344" s="113">
        <f ca="1">ROUND(IF(ISNUMBER(R344),R344,IF(LEFT(R344,3)="BDI",HLOOKUP(R344,DADOS!$T$37:$X$38,2,FALSE),0)),15-11*$X$5)</f>
        <v>0.25</v>
      </c>
      <c r="AA344" s="1"/>
    </row>
    <row r="345" spans="1:27" x14ac:dyDescent="0.25">
      <c r="A345" t="str">
        <f t="shared" si="38"/>
        <v>S</v>
      </c>
      <c r="B345">
        <f t="shared" si="39"/>
        <v>0</v>
      </c>
      <c r="C345">
        <f t="shared" ca="1" si="40"/>
        <v>15</v>
      </c>
      <c r="D345">
        <f t="shared" ca="1" si="41"/>
        <v>0</v>
      </c>
      <c r="E345">
        <f t="shared" ca="1" si="42"/>
        <v>0</v>
      </c>
      <c r="F345">
        <f t="shared" ca="1" si="43"/>
        <v>0</v>
      </c>
      <c r="G345">
        <f t="shared" ca="1" si="44"/>
        <v>2</v>
      </c>
      <c r="H345">
        <f t="shared" ca="1" si="51"/>
        <v>0</v>
      </c>
      <c r="I345">
        <f t="shared" ca="1" si="52"/>
        <v>0</v>
      </c>
      <c r="J345" s="356" t="s">
        <v>103</v>
      </c>
      <c r="K345" s="138" t="str">
        <f t="shared" ca="1" si="45"/>
        <v>15.0.0.2.</v>
      </c>
      <c r="L345" s="357" t="s">
        <v>233</v>
      </c>
      <c r="M345" s="357" t="s">
        <v>452</v>
      </c>
      <c r="N345" s="358" t="s">
        <v>1080</v>
      </c>
      <c r="O345" s="359" t="s">
        <v>470</v>
      </c>
      <c r="P345" s="360">
        <v>9</v>
      </c>
      <c r="Q345" s="195"/>
      <c r="R345" s="198" t="s">
        <v>7</v>
      </c>
      <c r="S345" s="103">
        <f t="shared" si="46"/>
        <v>0</v>
      </c>
      <c r="T345" s="83">
        <f t="shared" si="47"/>
        <v>0</v>
      </c>
      <c r="U345" s="9" t="str">
        <f t="shared" si="48"/>
        <v>SEM VALOR</v>
      </c>
      <c r="V345" s="1" t="str">
        <f ca="1">IF(OR($A345=0,$A345="S",$A345&gt;CFF!$A$9),"",MAX(V$12:OFFSET(V345,-1,0))+1)</f>
        <v/>
      </c>
      <c r="W345" s="4" t="str">
        <f t="shared" si="49"/>
        <v>SINAPI-100848</v>
      </c>
      <c r="X345" s="1">
        <f t="shared" ca="1" si="50"/>
        <v>5317</v>
      </c>
      <c r="Y345" s="103">
        <v>678.01</v>
      </c>
      <c r="Z345" s="113">
        <f ca="1">ROUND(IF(ISNUMBER(R345),R345,IF(LEFT(R345,3)="BDI",HLOOKUP(R345,DADOS!$T$37:$X$38,2,FALSE),0)),15-11*$X$5)</f>
        <v>0.25</v>
      </c>
      <c r="AA345" s="1"/>
    </row>
    <row r="346" spans="1:27" x14ac:dyDescent="0.25">
      <c r="A346" t="str">
        <f t="shared" si="38"/>
        <v>S</v>
      </c>
      <c r="B346">
        <f t="shared" si="39"/>
        <v>0</v>
      </c>
      <c r="C346">
        <f t="shared" ca="1" si="40"/>
        <v>15</v>
      </c>
      <c r="D346">
        <f t="shared" ca="1" si="41"/>
        <v>0</v>
      </c>
      <c r="E346">
        <f t="shared" ca="1" si="42"/>
        <v>0</v>
      </c>
      <c r="F346">
        <f t="shared" ca="1" si="43"/>
        <v>0</v>
      </c>
      <c r="G346">
        <f t="shared" ca="1" si="44"/>
        <v>3</v>
      </c>
      <c r="H346">
        <f t="shared" ca="1" si="51"/>
        <v>0</v>
      </c>
      <c r="I346">
        <f t="shared" ca="1" si="52"/>
        <v>0</v>
      </c>
      <c r="J346" s="356" t="s">
        <v>103</v>
      </c>
      <c r="K346" s="138" t="str">
        <f t="shared" ca="1" si="45"/>
        <v>15.0.0.3.</v>
      </c>
      <c r="L346" s="357" t="s">
        <v>233</v>
      </c>
      <c r="M346" s="357" t="s">
        <v>453</v>
      </c>
      <c r="N346" s="358" t="s">
        <v>1081</v>
      </c>
      <c r="O346" s="359" t="s">
        <v>470</v>
      </c>
      <c r="P346" s="360">
        <v>4</v>
      </c>
      <c r="Q346" s="195"/>
      <c r="R346" s="198" t="s">
        <v>7</v>
      </c>
      <c r="S346" s="103">
        <f t="shared" si="46"/>
        <v>0</v>
      </c>
      <c r="T346" s="83">
        <f t="shared" si="47"/>
        <v>0</v>
      </c>
      <c r="U346" s="9" t="str">
        <f t="shared" si="48"/>
        <v>SEM VALOR</v>
      </c>
      <c r="V346" s="1" t="str">
        <f ca="1">IF(OR($A346=0,$A346="S",$A346&gt;CFF!$A$9),"",MAX(V$12:OFFSET(V346,-1,0))+1)</f>
        <v/>
      </c>
      <c r="W346" s="4" t="str">
        <f t="shared" si="49"/>
        <v>SINAPI-100849</v>
      </c>
      <c r="X346" s="1">
        <f t="shared" ca="1" si="50"/>
        <v>5318</v>
      </c>
      <c r="Y346" s="103">
        <v>51.91</v>
      </c>
      <c r="Z346" s="113">
        <f ca="1">ROUND(IF(ISNUMBER(R346),R346,IF(LEFT(R346,3)="BDI",HLOOKUP(R346,DADOS!$T$37:$X$38,2,FALSE),0)),15-11*$X$5)</f>
        <v>0.25</v>
      </c>
      <c r="AA346" s="1"/>
    </row>
    <row r="347" spans="1:27" x14ac:dyDescent="0.25">
      <c r="A347" t="str">
        <f t="shared" si="38"/>
        <v>S</v>
      </c>
      <c r="B347">
        <f t="shared" si="39"/>
        <v>0</v>
      </c>
      <c r="C347">
        <f t="shared" ca="1" si="40"/>
        <v>15</v>
      </c>
      <c r="D347">
        <f t="shared" ca="1" si="41"/>
        <v>0</v>
      </c>
      <c r="E347">
        <f t="shared" ca="1" si="42"/>
        <v>0</v>
      </c>
      <c r="F347">
        <f t="shared" ca="1" si="43"/>
        <v>0</v>
      </c>
      <c r="G347">
        <f t="shared" ca="1" si="44"/>
        <v>4</v>
      </c>
      <c r="H347">
        <f t="shared" ca="1" si="51"/>
        <v>0</v>
      </c>
      <c r="I347">
        <f t="shared" ca="1" si="52"/>
        <v>0</v>
      </c>
      <c r="J347" s="356" t="s">
        <v>103</v>
      </c>
      <c r="K347" s="138" t="str">
        <f t="shared" ca="1" si="45"/>
        <v>15.0.0.4.</v>
      </c>
      <c r="L347" s="357" t="s">
        <v>233</v>
      </c>
      <c r="M347" s="357" t="s">
        <v>454</v>
      </c>
      <c r="N347" s="358" t="s">
        <v>1082</v>
      </c>
      <c r="O347" s="359" t="s">
        <v>470</v>
      </c>
      <c r="P347" s="360">
        <v>9</v>
      </c>
      <c r="Q347" s="195"/>
      <c r="R347" s="198" t="s">
        <v>7</v>
      </c>
      <c r="S347" s="103">
        <f t="shared" si="46"/>
        <v>0</v>
      </c>
      <c r="T347" s="83">
        <f t="shared" si="47"/>
        <v>0</v>
      </c>
      <c r="U347" s="9" t="str">
        <f t="shared" si="48"/>
        <v>SEM VALOR</v>
      </c>
      <c r="V347" s="1" t="str">
        <f ca="1">IF(OR($A347=0,$A347="S",$A347&gt;CFF!$A$9),"",MAX(V$12:OFFSET(V347,-1,0))+1)</f>
        <v/>
      </c>
      <c r="W347" s="4" t="str">
        <f t="shared" si="49"/>
        <v>SINAPI-100851</v>
      </c>
      <c r="X347" s="1">
        <f t="shared" ca="1" si="50"/>
        <v>5319</v>
      </c>
      <c r="Y347" s="103">
        <v>102.6</v>
      </c>
      <c r="Z347" s="113">
        <f ca="1">ROUND(IF(ISNUMBER(R347),R347,IF(LEFT(R347,3)="BDI",HLOOKUP(R347,DADOS!$T$37:$X$38,2,FALSE),0)),15-11*$X$5)</f>
        <v>0.25</v>
      </c>
      <c r="AA347" s="1"/>
    </row>
    <row r="348" spans="1:27" x14ac:dyDescent="0.25">
      <c r="A348" t="str">
        <f t="shared" si="38"/>
        <v>S</v>
      </c>
      <c r="B348">
        <f t="shared" si="39"/>
        <v>0</v>
      </c>
      <c r="C348">
        <f t="shared" ca="1" si="40"/>
        <v>15</v>
      </c>
      <c r="D348">
        <f t="shared" ca="1" si="41"/>
        <v>0</v>
      </c>
      <c r="E348">
        <f t="shared" ca="1" si="42"/>
        <v>0</v>
      </c>
      <c r="F348">
        <f t="shared" ca="1" si="43"/>
        <v>0</v>
      </c>
      <c r="G348">
        <f t="shared" ca="1" si="44"/>
        <v>5</v>
      </c>
      <c r="H348">
        <f t="shared" ca="1" si="51"/>
        <v>0</v>
      </c>
      <c r="I348">
        <f t="shared" ca="1" si="52"/>
        <v>0</v>
      </c>
      <c r="J348" s="356" t="s">
        <v>103</v>
      </c>
      <c r="K348" s="138" t="str">
        <f t="shared" ca="1" si="45"/>
        <v>15.0.0.5.</v>
      </c>
      <c r="L348" s="357" t="s">
        <v>469</v>
      </c>
      <c r="M348" s="357" t="s">
        <v>792</v>
      </c>
      <c r="N348" s="358" t="s">
        <v>807</v>
      </c>
      <c r="O348" s="359" t="s">
        <v>782</v>
      </c>
      <c r="P348" s="360">
        <v>2</v>
      </c>
      <c r="Q348" s="195"/>
      <c r="R348" s="198" t="s">
        <v>7</v>
      </c>
      <c r="S348" s="103">
        <f t="shared" si="46"/>
        <v>0</v>
      </c>
      <c r="T348" s="83">
        <f t="shared" si="47"/>
        <v>0</v>
      </c>
      <c r="U348" s="9" t="str">
        <f t="shared" si="48"/>
        <v>SEM VALOR</v>
      </c>
      <c r="V348" s="1" t="str">
        <f ca="1">IF(OR($A348=0,$A348="S",$A348&gt;CFF!$A$9),"",MAX(V$12:OFFSET(V348,-1,0))+1)</f>
        <v/>
      </c>
      <c r="W348" s="4" t="str">
        <f t="shared" si="49"/>
        <v>FNDE-FNDE 11</v>
      </c>
      <c r="X348" s="1" t="e">
        <f t="shared" ca="1" si="50"/>
        <v>#N/A</v>
      </c>
      <c r="Y348" s="103">
        <v>516.83000000000004</v>
      </c>
      <c r="Z348" s="113">
        <f ca="1">ROUND(IF(ISNUMBER(R348),R348,IF(LEFT(R348,3)="BDI",HLOOKUP(R348,DADOS!$T$37:$X$38,2,FALSE),0)),15-11*$X$5)</f>
        <v>0.25</v>
      </c>
      <c r="AA348" s="1"/>
    </row>
    <row r="349" spans="1:27" ht="26.4" x14ac:dyDescent="0.25">
      <c r="A349" t="str">
        <f t="shared" si="38"/>
        <v>S</v>
      </c>
      <c r="B349">
        <f t="shared" si="39"/>
        <v>0</v>
      </c>
      <c r="C349">
        <f t="shared" ca="1" si="40"/>
        <v>15</v>
      </c>
      <c r="D349">
        <f t="shared" ca="1" si="41"/>
        <v>0</v>
      </c>
      <c r="E349">
        <f t="shared" ca="1" si="42"/>
        <v>0</v>
      </c>
      <c r="F349">
        <f t="shared" ca="1" si="43"/>
        <v>0</v>
      </c>
      <c r="G349">
        <f t="shared" ca="1" si="44"/>
        <v>6</v>
      </c>
      <c r="H349">
        <f t="shared" ca="1" si="51"/>
        <v>0</v>
      </c>
      <c r="I349">
        <f t="shared" ca="1" si="52"/>
        <v>0</v>
      </c>
      <c r="J349" s="356" t="s">
        <v>103</v>
      </c>
      <c r="K349" s="138" t="str">
        <f t="shared" ca="1" si="45"/>
        <v>15.0.0.6.</v>
      </c>
      <c r="L349" s="357" t="s">
        <v>469</v>
      </c>
      <c r="M349" s="357" t="s">
        <v>793</v>
      </c>
      <c r="N349" s="358" t="s">
        <v>808</v>
      </c>
      <c r="O349" s="359" t="s">
        <v>782</v>
      </c>
      <c r="P349" s="360">
        <v>3</v>
      </c>
      <c r="Q349" s="195"/>
      <c r="R349" s="198" t="s">
        <v>7</v>
      </c>
      <c r="S349" s="103">
        <f t="shared" si="46"/>
        <v>0</v>
      </c>
      <c r="T349" s="83">
        <f t="shared" si="47"/>
        <v>0</v>
      </c>
      <c r="U349" s="9" t="str">
        <f t="shared" si="48"/>
        <v>SEM VALOR</v>
      </c>
      <c r="V349" s="1" t="str">
        <f ca="1">IF(OR($A349=0,$A349="S",$A349&gt;CFF!$A$9),"",MAX(V$12:OFFSET(V349,-1,0))+1)</f>
        <v/>
      </c>
      <c r="W349" s="4" t="str">
        <f t="shared" si="49"/>
        <v>FNDE-FNDE 219</v>
      </c>
      <c r="X349" s="1" t="e">
        <f t="shared" ca="1" si="50"/>
        <v>#N/A</v>
      </c>
      <c r="Y349" s="103">
        <v>184.75</v>
      </c>
      <c r="Z349" s="113">
        <f ca="1">ROUND(IF(ISNUMBER(R349),R349,IF(LEFT(R349,3)="BDI",HLOOKUP(R349,DADOS!$T$37:$X$38,2,FALSE),0)),15-11*$X$5)</f>
        <v>0.25</v>
      </c>
      <c r="AA349" s="1"/>
    </row>
    <row r="350" spans="1:27" ht="26.4" x14ac:dyDescent="0.25">
      <c r="A350" t="str">
        <f t="shared" si="38"/>
        <v>S</v>
      </c>
      <c r="B350">
        <f t="shared" si="39"/>
        <v>0</v>
      </c>
      <c r="C350">
        <f t="shared" ca="1" si="40"/>
        <v>15</v>
      </c>
      <c r="D350">
        <f t="shared" ca="1" si="41"/>
        <v>0</v>
      </c>
      <c r="E350">
        <f t="shared" ca="1" si="42"/>
        <v>0</v>
      </c>
      <c r="F350">
        <f t="shared" ca="1" si="43"/>
        <v>0</v>
      </c>
      <c r="G350">
        <f t="shared" ca="1" si="44"/>
        <v>7</v>
      </c>
      <c r="H350">
        <f t="shared" ca="1" si="51"/>
        <v>0</v>
      </c>
      <c r="I350">
        <f t="shared" ca="1" si="52"/>
        <v>0</v>
      </c>
      <c r="J350" s="356" t="s">
        <v>103</v>
      </c>
      <c r="K350" s="138" t="str">
        <f t="shared" ca="1" si="45"/>
        <v>15.0.0.7.</v>
      </c>
      <c r="L350" s="357" t="s">
        <v>233</v>
      </c>
      <c r="M350" s="357" t="s">
        <v>455</v>
      </c>
      <c r="N350" s="358" t="s">
        <v>1083</v>
      </c>
      <c r="O350" s="359" t="s">
        <v>470</v>
      </c>
      <c r="P350" s="360">
        <v>13</v>
      </c>
      <c r="Q350" s="195"/>
      <c r="R350" s="198" t="s">
        <v>7</v>
      </c>
      <c r="S350" s="103">
        <f t="shared" si="46"/>
        <v>0</v>
      </c>
      <c r="T350" s="83">
        <f t="shared" si="47"/>
        <v>0</v>
      </c>
      <c r="U350" s="9" t="str">
        <f t="shared" si="48"/>
        <v>SEM VALOR</v>
      </c>
      <c r="V350" s="1" t="str">
        <f ca="1">IF(OR($A350=0,$A350="S",$A350&gt;CFF!$A$9),"",MAX(V$12:OFFSET(V350,-1,0))+1)</f>
        <v/>
      </c>
      <c r="W350" s="4" t="str">
        <f t="shared" si="49"/>
        <v>SINAPI-86901</v>
      </c>
      <c r="X350" s="1">
        <f t="shared" ca="1" si="50"/>
        <v>5264</v>
      </c>
      <c r="Y350" s="103">
        <v>188.63</v>
      </c>
      <c r="Z350" s="113">
        <f ca="1">ROUND(IF(ISNUMBER(R350),R350,IF(LEFT(R350,3)="BDI",HLOOKUP(R350,DADOS!$T$37:$X$38,2,FALSE),0)),15-11*$X$5)</f>
        <v>0.25</v>
      </c>
      <c r="AA350" s="1"/>
    </row>
    <row r="351" spans="1:27" ht="26.4" x14ac:dyDescent="0.25">
      <c r="A351" t="str">
        <f t="shared" si="38"/>
        <v>S</v>
      </c>
      <c r="B351">
        <f t="shared" si="39"/>
        <v>0</v>
      </c>
      <c r="C351">
        <f t="shared" ca="1" si="40"/>
        <v>15</v>
      </c>
      <c r="D351">
        <f t="shared" ca="1" si="41"/>
        <v>0</v>
      </c>
      <c r="E351">
        <f t="shared" ca="1" si="42"/>
        <v>0</v>
      </c>
      <c r="F351">
        <f t="shared" ca="1" si="43"/>
        <v>0</v>
      </c>
      <c r="G351">
        <f t="shared" ca="1" si="44"/>
        <v>8</v>
      </c>
      <c r="H351">
        <f t="shared" ca="1" si="51"/>
        <v>0</v>
      </c>
      <c r="I351">
        <f t="shared" ca="1" si="52"/>
        <v>0</v>
      </c>
      <c r="J351" s="356" t="s">
        <v>103</v>
      </c>
      <c r="K351" s="138" t="str">
        <f t="shared" ca="1" si="45"/>
        <v>15.0.0.8.</v>
      </c>
      <c r="L351" s="357" t="s">
        <v>233</v>
      </c>
      <c r="M351" s="357" t="s">
        <v>456</v>
      </c>
      <c r="N351" s="358" t="s">
        <v>1084</v>
      </c>
      <c r="O351" s="359" t="s">
        <v>470</v>
      </c>
      <c r="P351" s="360">
        <v>3</v>
      </c>
      <c r="Q351" s="195"/>
      <c r="R351" s="198" t="s">
        <v>7</v>
      </c>
      <c r="S351" s="103">
        <f t="shared" si="46"/>
        <v>0</v>
      </c>
      <c r="T351" s="83">
        <f t="shared" si="47"/>
        <v>0</v>
      </c>
      <c r="U351" s="9" t="str">
        <f t="shared" si="48"/>
        <v>SEM VALOR</v>
      </c>
      <c r="V351" s="1" t="str">
        <f ca="1">IF(OR($A351=0,$A351="S",$A351&gt;CFF!$A$9),"",MAX(V$12:OFFSET(V351,-1,0))+1)</f>
        <v/>
      </c>
      <c r="W351" s="4" t="str">
        <f t="shared" si="49"/>
        <v>SINAPI-86902</v>
      </c>
      <c r="X351" s="1">
        <f t="shared" ca="1" si="50"/>
        <v>5265</v>
      </c>
      <c r="Y351" s="103">
        <v>386.65</v>
      </c>
      <c r="Z351" s="113">
        <f ca="1">ROUND(IF(ISNUMBER(R351),R351,IF(LEFT(R351,3)="BDI",HLOOKUP(R351,DADOS!$T$37:$X$38,2,FALSE),0)),15-11*$X$5)</f>
        <v>0.25</v>
      </c>
      <c r="AA351" s="1"/>
    </row>
    <row r="352" spans="1:27" x14ac:dyDescent="0.25">
      <c r="A352" t="str">
        <f t="shared" si="38"/>
        <v>S</v>
      </c>
      <c r="B352">
        <f t="shared" si="39"/>
        <v>0</v>
      </c>
      <c r="C352">
        <f t="shared" ca="1" si="40"/>
        <v>15</v>
      </c>
      <c r="D352">
        <f t="shared" ca="1" si="41"/>
        <v>0</v>
      </c>
      <c r="E352">
        <f t="shared" ca="1" si="42"/>
        <v>0</v>
      </c>
      <c r="F352">
        <f t="shared" ca="1" si="43"/>
        <v>0</v>
      </c>
      <c r="G352">
        <f t="shared" ca="1" si="44"/>
        <v>9</v>
      </c>
      <c r="H352">
        <f t="shared" ca="1" si="51"/>
        <v>0</v>
      </c>
      <c r="I352">
        <f t="shared" ca="1" si="52"/>
        <v>0</v>
      </c>
      <c r="J352" s="356" t="s">
        <v>103</v>
      </c>
      <c r="K352" s="138" t="str">
        <f t="shared" ca="1" si="45"/>
        <v>15.0.0.9.</v>
      </c>
      <c r="L352" s="357" t="s">
        <v>233</v>
      </c>
      <c r="M352" s="357" t="s">
        <v>457</v>
      </c>
      <c r="N352" s="358" t="s">
        <v>1085</v>
      </c>
      <c r="O352" s="359" t="s">
        <v>470</v>
      </c>
      <c r="P352" s="360">
        <v>5</v>
      </c>
      <c r="Q352" s="195"/>
      <c r="R352" s="198" t="s">
        <v>7</v>
      </c>
      <c r="S352" s="103">
        <f t="shared" si="46"/>
        <v>0</v>
      </c>
      <c r="T352" s="83">
        <f t="shared" si="47"/>
        <v>0</v>
      </c>
      <c r="U352" s="9" t="str">
        <f t="shared" si="48"/>
        <v>SEM VALOR</v>
      </c>
      <c r="V352" s="1" t="str">
        <f ca="1">IF(OR($A352=0,$A352="S",$A352&gt;CFF!$A$9),"",MAX(V$12:OFFSET(V352,-1,0))+1)</f>
        <v/>
      </c>
      <c r="W352" s="4" t="str">
        <f t="shared" si="49"/>
        <v>SINAPI-86872</v>
      </c>
      <c r="X352" s="1">
        <f t="shared" ca="1" si="50"/>
        <v>5242</v>
      </c>
      <c r="Y352" s="103">
        <v>890.04</v>
      </c>
      <c r="Z352" s="113">
        <f ca="1">ROUND(IF(ISNUMBER(R352),R352,IF(LEFT(R352,3)="BDI",HLOOKUP(R352,DADOS!$T$37:$X$38,2,FALSE),0)),15-11*$X$5)</f>
        <v>0.25</v>
      </c>
      <c r="AA352" s="1"/>
    </row>
    <row r="353" spans="1:27" ht="26.4" x14ac:dyDescent="0.25">
      <c r="A353" t="str">
        <f t="shared" si="38"/>
        <v>S</v>
      </c>
      <c r="B353">
        <f t="shared" si="39"/>
        <v>0</v>
      </c>
      <c r="C353">
        <f t="shared" ca="1" si="40"/>
        <v>15</v>
      </c>
      <c r="D353">
        <f t="shared" ca="1" si="41"/>
        <v>0</v>
      </c>
      <c r="E353">
        <f t="shared" ca="1" si="42"/>
        <v>0</v>
      </c>
      <c r="F353">
        <f t="shared" ca="1" si="43"/>
        <v>0</v>
      </c>
      <c r="G353">
        <f t="shared" ca="1" si="44"/>
        <v>10</v>
      </c>
      <c r="H353">
        <f t="shared" ca="1" si="51"/>
        <v>0</v>
      </c>
      <c r="I353">
        <f t="shared" ca="1" si="52"/>
        <v>0</v>
      </c>
      <c r="J353" s="356" t="s">
        <v>103</v>
      </c>
      <c r="K353" s="138" t="str">
        <f t="shared" ca="1" si="45"/>
        <v>15.0.0.10.</v>
      </c>
      <c r="L353" s="357" t="s">
        <v>233</v>
      </c>
      <c r="M353" s="357" t="s">
        <v>458</v>
      </c>
      <c r="N353" s="358" t="s">
        <v>1086</v>
      </c>
      <c r="O353" s="359" t="s">
        <v>470</v>
      </c>
      <c r="P353" s="360">
        <v>5</v>
      </c>
      <c r="Q353" s="195"/>
      <c r="R353" s="198" t="s">
        <v>7</v>
      </c>
      <c r="S353" s="103">
        <f t="shared" si="46"/>
        <v>0</v>
      </c>
      <c r="T353" s="83">
        <f t="shared" si="47"/>
        <v>0</v>
      </c>
      <c r="U353" s="9" t="str">
        <f t="shared" si="48"/>
        <v>SEM VALOR</v>
      </c>
      <c r="V353" s="1" t="str">
        <f ca="1">IF(OR($A353=0,$A353="S",$A353&gt;CFF!$A$9),"",MAX(V$12:OFFSET(V353,-1,0))+1)</f>
        <v/>
      </c>
      <c r="W353" s="4" t="str">
        <f t="shared" si="49"/>
        <v>SINAPI-86900</v>
      </c>
      <c r="X353" s="1">
        <f t="shared" ca="1" si="50"/>
        <v>5263</v>
      </c>
      <c r="Y353" s="103">
        <v>328.56</v>
      </c>
      <c r="Z353" s="113">
        <f ca="1">ROUND(IF(ISNUMBER(R353),R353,IF(LEFT(R353,3)="BDI",HLOOKUP(R353,DADOS!$T$37:$X$38,2,FALSE),0)),15-11*$X$5)</f>
        <v>0.25</v>
      </c>
      <c r="AA353" s="1"/>
    </row>
    <row r="354" spans="1:27" x14ac:dyDescent="0.25">
      <c r="A354" t="str">
        <f t="shared" si="38"/>
        <v>S</v>
      </c>
      <c r="B354">
        <f t="shared" si="39"/>
        <v>0</v>
      </c>
      <c r="C354">
        <f t="shared" ca="1" si="40"/>
        <v>15</v>
      </c>
      <c r="D354">
        <f t="shared" ca="1" si="41"/>
        <v>0</v>
      </c>
      <c r="E354">
        <f t="shared" ca="1" si="42"/>
        <v>0</v>
      </c>
      <c r="F354">
        <f t="shared" ca="1" si="43"/>
        <v>0</v>
      </c>
      <c r="G354">
        <f t="shared" ca="1" si="44"/>
        <v>11</v>
      </c>
      <c r="H354">
        <f t="shared" ca="1" si="51"/>
        <v>0</v>
      </c>
      <c r="I354">
        <f t="shared" ca="1" si="52"/>
        <v>0</v>
      </c>
      <c r="J354" s="356" t="s">
        <v>103</v>
      </c>
      <c r="K354" s="138" t="str">
        <f t="shared" ca="1" si="45"/>
        <v>15.0.0.11.</v>
      </c>
      <c r="L354" s="357" t="s">
        <v>469</v>
      </c>
      <c r="M354" s="357" t="s">
        <v>794</v>
      </c>
      <c r="N354" s="358" t="s">
        <v>809</v>
      </c>
      <c r="O354" s="359" t="s">
        <v>782</v>
      </c>
      <c r="P354" s="360">
        <v>6</v>
      </c>
      <c r="Q354" s="195"/>
      <c r="R354" s="198" t="s">
        <v>7</v>
      </c>
      <c r="S354" s="103">
        <f t="shared" si="46"/>
        <v>0</v>
      </c>
      <c r="T354" s="83">
        <f t="shared" si="47"/>
        <v>0</v>
      </c>
      <c r="U354" s="9" t="str">
        <f t="shared" si="48"/>
        <v>SEM VALOR</v>
      </c>
      <c r="V354" s="1" t="str">
        <f ca="1">IF(OR($A354=0,$A354="S",$A354&gt;CFF!$A$9),"",MAX(V$12:OFFSET(V354,-1,0))+1)</f>
        <v/>
      </c>
      <c r="W354" s="4" t="str">
        <f t="shared" si="49"/>
        <v>FNDE-FNDE 217</v>
      </c>
      <c r="X354" s="1" t="e">
        <f t="shared" ca="1" si="50"/>
        <v>#N/A</v>
      </c>
      <c r="Y354" s="103">
        <v>234.85</v>
      </c>
      <c r="Z354" s="113">
        <f ca="1">ROUND(IF(ISNUMBER(R354),R354,IF(LEFT(R354,3)="BDI",HLOOKUP(R354,DADOS!$T$37:$X$38,2,FALSE),0)),15-11*$X$5)</f>
        <v>0.25</v>
      </c>
      <c r="AA354" s="1"/>
    </row>
    <row r="355" spans="1:27" ht="26.4" x14ac:dyDescent="0.25">
      <c r="A355" t="str">
        <f t="shared" si="38"/>
        <v>S</v>
      </c>
      <c r="B355">
        <f t="shared" si="39"/>
        <v>0</v>
      </c>
      <c r="C355">
        <f t="shared" ca="1" si="40"/>
        <v>15</v>
      </c>
      <c r="D355">
        <f t="shared" ca="1" si="41"/>
        <v>0</v>
      </c>
      <c r="E355">
        <f t="shared" ca="1" si="42"/>
        <v>0</v>
      </c>
      <c r="F355">
        <f t="shared" ca="1" si="43"/>
        <v>0</v>
      </c>
      <c r="G355">
        <f t="shared" ca="1" si="44"/>
        <v>12</v>
      </c>
      <c r="H355">
        <f t="shared" ca="1" si="51"/>
        <v>0</v>
      </c>
      <c r="I355">
        <f t="shared" ca="1" si="52"/>
        <v>0</v>
      </c>
      <c r="J355" s="356" t="s">
        <v>103</v>
      </c>
      <c r="K355" s="138" t="str">
        <f t="shared" ca="1" si="45"/>
        <v>15.0.0.12.</v>
      </c>
      <c r="L355" s="357" t="s">
        <v>233</v>
      </c>
      <c r="M355" s="357" t="s">
        <v>459</v>
      </c>
      <c r="N355" s="358" t="s">
        <v>1087</v>
      </c>
      <c r="O355" s="359" t="s">
        <v>470</v>
      </c>
      <c r="P355" s="360">
        <v>1</v>
      </c>
      <c r="Q355" s="195"/>
      <c r="R355" s="198" t="s">
        <v>7</v>
      </c>
      <c r="S355" s="103">
        <f t="shared" si="46"/>
        <v>0</v>
      </c>
      <c r="T355" s="83">
        <f t="shared" si="47"/>
        <v>0</v>
      </c>
      <c r="U355" s="9" t="str">
        <f t="shared" si="48"/>
        <v>SEM VALOR</v>
      </c>
      <c r="V355" s="1" t="str">
        <f ca="1">IF(OR($A355=0,$A355="S",$A355&gt;CFF!$A$9),"",MAX(V$12:OFFSET(V355,-1,0))+1)</f>
        <v/>
      </c>
      <c r="W355" s="4" t="str">
        <f t="shared" si="49"/>
        <v>SINAPI-100852</v>
      </c>
      <c r="X355" s="1">
        <f t="shared" ca="1" si="50"/>
        <v>5320</v>
      </c>
      <c r="Y355" s="103">
        <v>360.28</v>
      </c>
      <c r="Z355" s="113">
        <f ca="1">ROUND(IF(ISNUMBER(R355),R355,IF(LEFT(R355,3)="BDI",HLOOKUP(R355,DADOS!$T$37:$X$38,2,FALSE),0)),15-11*$X$5)</f>
        <v>0.25</v>
      </c>
      <c r="AA355" s="1"/>
    </row>
    <row r="356" spans="1:27" ht="26.4" x14ac:dyDescent="0.25">
      <c r="A356" t="str">
        <f t="shared" si="38"/>
        <v>S</v>
      </c>
      <c r="B356">
        <f t="shared" si="39"/>
        <v>0</v>
      </c>
      <c r="C356">
        <f t="shared" ca="1" si="40"/>
        <v>15</v>
      </c>
      <c r="D356">
        <f t="shared" ca="1" si="41"/>
        <v>0</v>
      </c>
      <c r="E356">
        <f t="shared" ca="1" si="42"/>
        <v>0</v>
      </c>
      <c r="F356">
        <f t="shared" ca="1" si="43"/>
        <v>0</v>
      </c>
      <c r="G356">
        <f t="shared" ca="1" si="44"/>
        <v>13</v>
      </c>
      <c r="H356">
        <f t="shared" ca="1" si="51"/>
        <v>0</v>
      </c>
      <c r="I356">
        <f t="shared" ca="1" si="52"/>
        <v>0</v>
      </c>
      <c r="J356" s="356" t="s">
        <v>103</v>
      </c>
      <c r="K356" s="138" t="str">
        <f t="shared" ca="1" si="45"/>
        <v>15.0.0.13.</v>
      </c>
      <c r="L356" s="357" t="s">
        <v>233</v>
      </c>
      <c r="M356" s="357" t="s">
        <v>460</v>
      </c>
      <c r="N356" s="358" t="s">
        <v>1088</v>
      </c>
      <c r="O356" s="359" t="s">
        <v>470</v>
      </c>
      <c r="P356" s="360">
        <v>24</v>
      </c>
      <c r="Q356" s="195"/>
      <c r="R356" s="198" t="s">
        <v>7</v>
      </c>
      <c r="S356" s="103">
        <f t="shared" si="46"/>
        <v>0</v>
      </c>
      <c r="T356" s="83">
        <f t="shared" si="47"/>
        <v>0</v>
      </c>
      <c r="U356" s="9" t="str">
        <f t="shared" si="48"/>
        <v>SEM VALOR</v>
      </c>
      <c r="V356" s="1" t="str">
        <f ca="1">IF(OR($A356=0,$A356="S",$A356&gt;CFF!$A$9),"",MAX(V$12:OFFSET(V356,-1,0))+1)</f>
        <v/>
      </c>
      <c r="W356" s="4" t="str">
        <f t="shared" si="49"/>
        <v>SINAPI-86877</v>
      </c>
      <c r="X356" s="1">
        <f t="shared" ca="1" si="50"/>
        <v>5246</v>
      </c>
      <c r="Y356" s="103">
        <v>109.61</v>
      </c>
      <c r="Z356" s="113">
        <f ca="1">ROUND(IF(ISNUMBER(R356),R356,IF(LEFT(R356,3)="BDI",HLOOKUP(R356,DADOS!$T$37:$X$38,2,FALSE),0)),15-11*$X$5)</f>
        <v>0.25</v>
      </c>
      <c r="AA356" s="1"/>
    </row>
    <row r="357" spans="1:27" x14ac:dyDescent="0.25">
      <c r="A357" t="str">
        <f t="shared" si="38"/>
        <v>S</v>
      </c>
      <c r="B357">
        <f t="shared" si="39"/>
        <v>0</v>
      </c>
      <c r="C357">
        <f t="shared" ca="1" si="40"/>
        <v>15</v>
      </c>
      <c r="D357">
        <f t="shared" ca="1" si="41"/>
        <v>0</v>
      </c>
      <c r="E357">
        <f t="shared" ca="1" si="42"/>
        <v>0</v>
      </c>
      <c r="F357">
        <f t="shared" ca="1" si="43"/>
        <v>0</v>
      </c>
      <c r="G357">
        <f t="shared" ca="1" si="44"/>
        <v>14</v>
      </c>
      <c r="H357">
        <f t="shared" ca="1" si="51"/>
        <v>0</v>
      </c>
      <c r="I357">
        <f t="shared" ca="1" si="52"/>
        <v>0</v>
      </c>
      <c r="J357" s="356" t="s">
        <v>103</v>
      </c>
      <c r="K357" s="138" t="str">
        <f t="shared" ca="1" si="45"/>
        <v>15.0.0.14.</v>
      </c>
      <c r="L357" s="357" t="s">
        <v>233</v>
      </c>
      <c r="M357" s="357" t="s">
        <v>461</v>
      </c>
      <c r="N357" s="358" t="s">
        <v>1089</v>
      </c>
      <c r="O357" s="359" t="s">
        <v>470</v>
      </c>
      <c r="P357" s="360">
        <v>38</v>
      </c>
      <c r="Q357" s="195"/>
      <c r="R357" s="198" t="s">
        <v>7</v>
      </c>
      <c r="S357" s="103">
        <f t="shared" si="46"/>
        <v>0</v>
      </c>
      <c r="T357" s="83">
        <f t="shared" si="47"/>
        <v>0</v>
      </c>
      <c r="U357" s="9" t="str">
        <f t="shared" si="48"/>
        <v>SEM VALOR</v>
      </c>
      <c r="V357" s="1" t="str">
        <f ca="1">IF(OR($A357=0,$A357="S",$A357&gt;CFF!$A$9),"",MAX(V$12:OFFSET(V357,-1,0))+1)</f>
        <v/>
      </c>
      <c r="W357" s="4" t="str">
        <f t="shared" si="49"/>
        <v>SINAPI-86883</v>
      </c>
      <c r="X357" s="1">
        <f t="shared" ca="1" si="50"/>
        <v>5252</v>
      </c>
      <c r="Y357" s="103">
        <v>16.690000000000001</v>
      </c>
      <c r="Z357" s="113">
        <f ca="1">ROUND(IF(ISNUMBER(R357),R357,IF(LEFT(R357,3)="BDI",HLOOKUP(R357,DADOS!$T$37:$X$38,2,FALSE),0)),15-11*$X$5)</f>
        <v>0.25</v>
      </c>
      <c r="AA357" s="1"/>
    </row>
    <row r="358" spans="1:27" ht="26.4" x14ac:dyDescent="0.25">
      <c r="A358" t="str">
        <f t="shared" si="38"/>
        <v>S</v>
      </c>
      <c r="B358">
        <f t="shared" si="39"/>
        <v>0</v>
      </c>
      <c r="C358">
        <f t="shared" ca="1" si="40"/>
        <v>15</v>
      </c>
      <c r="D358">
        <f t="shared" ca="1" si="41"/>
        <v>0</v>
      </c>
      <c r="E358">
        <f t="shared" ca="1" si="42"/>
        <v>0</v>
      </c>
      <c r="F358">
        <f t="shared" ca="1" si="43"/>
        <v>0</v>
      </c>
      <c r="G358">
        <f t="shared" ca="1" si="44"/>
        <v>15</v>
      </c>
      <c r="H358">
        <f t="shared" ca="1" si="51"/>
        <v>0</v>
      </c>
      <c r="I358">
        <f t="shared" ca="1" si="52"/>
        <v>0</v>
      </c>
      <c r="J358" s="356" t="s">
        <v>103</v>
      </c>
      <c r="K358" s="138" t="str">
        <f t="shared" ca="1" si="45"/>
        <v>15.0.0.15.</v>
      </c>
      <c r="L358" s="357" t="s">
        <v>233</v>
      </c>
      <c r="M358" s="357" t="s">
        <v>462</v>
      </c>
      <c r="N358" s="358" t="s">
        <v>1090</v>
      </c>
      <c r="O358" s="359" t="s">
        <v>470</v>
      </c>
      <c r="P358" s="360">
        <v>9</v>
      </c>
      <c r="Q358" s="195"/>
      <c r="R358" s="198" t="s">
        <v>7</v>
      </c>
      <c r="S358" s="103">
        <f t="shared" si="46"/>
        <v>0</v>
      </c>
      <c r="T358" s="83">
        <f t="shared" si="47"/>
        <v>0</v>
      </c>
      <c r="U358" s="9" t="str">
        <f t="shared" si="48"/>
        <v>SEM VALOR</v>
      </c>
      <c r="V358" s="1" t="str">
        <f ca="1">IF(OR($A358=0,$A358="S",$A358&gt;CFF!$A$9),"",MAX(V$12:OFFSET(V358,-1,0))+1)</f>
        <v/>
      </c>
      <c r="W358" s="4" t="str">
        <f t="shared" si="49"/>
        <v>SINAPI-86909</v>
      </c>
      <c r="X358" s="1">
        <f t="shared" ca="1" si="50"/>
        <v>5271</v>
      </c>
      <c r="Y358" s="103">
        <v>255.9</v>
      </c>
      <c r="Z358" s="113">
        <f ca="1">ROUND(IF(ISNUMBER(R358),R358,IF(LEFT(R358,3)="BDI",HLOOKUP(R358,DADOS!$T$37:$X$38,2,FALSE),0)),15-11*$X$5)</f>
        <v>0.25</v>
      </c>
      <c r="AA358" s="1"/>
    </row>
    <row r="359" spans="1:27" ht="26.4" x14ac:dyDescent="0.25">
      <c r="A359" t="str">
        <f t="shared" si="38"/>
        <v>S</v>
      </c>
      <c r="B359">
        <f t="shared" si="39"/>
        <v>0</v>
      </c>
      <c r="C359">
        <f t="shared" ca="1" si="40"/>
        <v>15</v>
      </c>
      <c r="D359">
        <f t="shared" ca="1" si="41"/>
        <v>0</v>
      </c>
      <c r="E359">
        <f t="shared" ca="1" si="42"/>
        <v>0</v>
      </c>
      <c r="F359">
        <f t="shared" ca="1" si="43"/>
        <v>0</v>
      </c>
      <c r="G359">
        <f t="shared" ca="1" si="44"/>
        <v>16</v>
      </c>
      <c r="H359">
        <f t="shared" ca="1" si="51"/>
        <v>0</v>
      </c>
      <c r="I359">
        <f t="shared" ca="1" si="52"/>
        <v>0</v>
      </c>
      <c r="J359" s="356" t="s">
        <v>103</v>
      </c>
      <c r="K359" s="138" t="str">
        <f t="shared" ca="1" si="45"/>
        <v>15.0.0.16.</v>
      </c>
      <c r="L359" s="357" t="s">
        <v>469</v>
      </c>
      <c r="M359" s="357" t="s">
        <v>795</v>
      </c>
      <c r="N359" s="358" t="s">
        <v>810</v>
      </c>
      <c r="O359" s="359" t="s">
        <v>782</v>
      </c>
      <c r="P359" s="360">
        <v>16</v>
      </c>
      <c r="Q359" s="195"/>
      <c r="R359" s="198" t="s">
        <v>7</v>
      </c>
      <c r="S359" s="103">
        <f t="shared" si="46"/>
        <v>0</v>
      </c>
      <c r="T359" s="83">
        <f t="shared" si="47"/>
        <v>0</v>
      </c>
      <c r="U359" s="9" t="str">
        <f t="shared" si="48"/>
        <v>SEM VALOR</v>
      </c>
      <c r="V359" s="1" t="str">
        <f ca="1">IF(OR($A359=0,$A359="S",$A359&gt;CFF!$A$9),"",MAX(V$12:OFFSET(V359,-1,0))+1)</f>
        <v/>
      </c>
      <c r="W359" s="4" t="str">
        <f t="shared" si="49"/>
        <v>FNDE-FNDE 224</v>
      </c>
      <c r="X359" s="1" t="e">
        <f t="shared" ca="1" si="50"/>
        <v>#N/A</v>
      </c>
      <c r="Y359" s="103">
        <v>159.08000000000001</v>
      </c>
      <c r="Z359" s="113">
        <f ca="1">ROUND(IF(ISNUMBER(R359),R359,IF(LEFT(R359,3)="BDI",HLOOKUP(R359,DADOS!$T$37:$X$38,2,FALSE),0)),15-11*$X$5)</f>
        <v>0.25</v>
      </c>
      <c r="AA359" s="1"/>
    </row>
    <row r="360" spans="1:27" x14ac:dyDescent="0.25">
      <c r="A360" t="str">
        <f t="shared" si="38"/>
        <v>S</v>
      </c>
      <c r="B360">
        <f t="shared" si="39"/>
        <v>0</v>
      </c>
      <c r="C360">
        <f t="shared" ca="1" si="40"/>
        <v>15</v>
      </c>
      <c r="D360">
        <f t="shared" ca="1" si="41"/>
        <v>0</v>
      </c>
      <c r="E360">
        <f t="shared" ca="1" si="42"/>
        <v>0</v>
      </c>
      <c r="F360">
        <f t="shared" ca="1" si="43"/>
        <v>0</v>
      </c>
      <c r="G360">
        <f t="shared" ca="1" si="44"/>
        <v>17</v>
      </c>
      <c r="H360">
        <f t="shared" ca="1" si="51"/>
        <v>0</v>
      </c>
      <c r="I360">
        <f t="shared" ca="1" si="52"/>
        <v>0</v>
      </c>
      <c r="J360" s="356" t="s">
        <v>103</v>
      </c>
      <c r="K360" s="138" t="str">
        <f t="shared" ca="1" si="45"/>
        <v>15.0.0.17.</v>
      </c>
      <c r="L360" s="357" t="s">
        <v>469</v>
      </c>
      <c r="M360" s="357" t="s">
        <v>796</v>
      </c>
      <c r="N360" s="358" t="s">
        <v>811</v>
      </c>
      <c r="O360" s="359" t="s">
        <v>782</v>
      </c>
      <c r="P360" s="360">
        <v>2</v>
      </c>
      <c r="Q360" s="195"/>
      <c r="R360" s="198" t="s">
        <v>7</v>
      </c>
      <c r="S360" s="103">
        <f t="shared" si="46"/>
        <v>0</v>
      </c>
      <c r="T360" s="83">
        <f t="shared" si="47"/>
        <v>0</v>
      </c>
      <c r="U360" s="9" t="str">
        <f t="shared" si="48"/>
        <v>SEM VALOR</v>
      </c>
      <c r="V360" s="1" t="str">
        <f ca="1">IF(OR($A360=0,$A360="S",$A360&gt;CFF!$A$9),"",MAX(V$12:OFFSET(V360,-1,0))+1)</f>
        <v/>
      </c>
      <c r="W360" s="4" t="str">
        <f t="shared" si="49"/>
        <v>FNDE-FNDE 14</v>
      </c>
      <c r="X360" s="1" t="e">
        <f t="shared" ca="1" si="50"/>
        <v>#N/A</v>
      </c>
      <c r="Y360" s="103">
        <v>279.85000000000002</v>
      </c>
      <c r="Z360" s="113">
        <f ca="1">ROUND(IF(ISNUMBER(R360),R360,IF(LEFT(R360,3)="BDI",HLOOKUP(R360,DADOS!$T$37:$X$38,2,FALSE),0)),15-11*$X$5)</f>
        <v>0.25</v>
      </c>
      <c r="AA360" s="1"/>
    </row>
    <row r="361" spans="1:27" x14ac:dyDescent="0.25">
      <c r="A361" t="str">
        <f t="shared" si="38"/>
        <v>S</v>
      </c>
      <c r="B361">
        <f t="shared" si="39"/>
        <v>0</v>
      </c>
      <c r="C361">
        <f t="shared" ca="1" si="40"/>
        <v>15</v>
      </c>
      <c r="D361">
        <f t="shared" ca="1" si="41"/>
        <v>0</v>
      </c>
      <c r="E361">
        <f t="shared" ca="1" si="42"/>
        <v>0</v>
      </c>
      <c r="F361">
        <f t="shared" ca="1" si="43"/>
        <v>0</v>
      </c>
      <c r="G361">
        <f t="shared" ca="1" si="44"/>
        <v>18</v>
      </c>
      <c r="H361">
        <f t="shared" ca="1" si="51"/>
        <v>0</v>
      </c>
      <c r="I361">
        <f t="shared" ca="1" si="52"/>
        <v>0</v>
      </c>
      <c r="J361" s="356" t="s">
        <v>103</v>
      </c>
      <c r="K361" s="138" t="str">
        <f t="shared" ca="1" si="45"/>
        <v>15.0.0.18.</v>
      </c>
      <c r="L361" s="357" t="s">
        <v>233</v>
      </c>
      <c r="M361" s="357" t="s">
        <v>463</v>
      </c>
      <c r="N361" s="358" t="s">
        <v>1091</v>
      </c>
      <c r="O361" s="359" t="s">
        <v>470</v>
      </c>
      <c r="P361" s="360">
        <v>7</v>
      </c>
      <c r="Q361" s="195"/>
      <c r="R361" s="198" t="s">
        <v>7</v>
      </c>
      <c r="S361" s="103">
        <f t="shared" si="46"/>
        <v>0</v>
      </c>
      <c r="T361" s="83">
        <f t="shared" si="47"/>
        <v>0</v>
      </c>
      <c r="U361" s="9" t="str">
        <f t="shared" si="48"/>
        <v>SEM VALOR</v>
      </c>
      <c r="V361" s="1" t="str">
        <f ca="1">IF(OR($A361=0,$A361="S",$A361&gt;CFF!$A$9),"",MAX(V$12:OFFSET(V361,-1,0))+1)</f>
        <v/>
      </c>
      <c r="W361" s="4" t="str">
        <f t="shared" si="49"/>
        <v>SINAPI-86913</v>
      </c>
      <c r="X361" s="1">
        <f t="shared" ca="1" si="50"/>
        <v>5274</v>
      </c>
      <c r="Y361" s="103">
        <v>106.41</v>
      </c>
      <c r="Z361" s="113">
        <f ca="1">ROUND(IF(ISNUMBER(R361),R361,IF(LEFT(R361,3)="BDI",HLOOKUP(R361,DADOS!$T$37:$X$38,2,FALSE),0)),15-11*$X$5)</f>
        <v>0.25</v>
      </c>
      <c r="AA361" s="1"/>
    </row>
    <row r="362" spans="1:27" x14ac:dyDescent="0.25">
      <c r="A362" t="str">
        <f t="shared" si="38"/>
        <v>S</v>
      </c>
      <c r="B362">
        <f t="shared" si="39"/>
        <v>0</v>
      </c>
      <c r="C362">
        <f t="shared" ca="1" si="40"/>
        <v>15</v>
      </c>
      <c r="D362">
        <f t="shared" ca="1" si="41"/>
        <v>0</v>
      </c>
      <c r="E362">
        <f t="shared" ca="1" si="42"/>
        <v>0</v>
      </c>
      <c r="F362">
        <f t="shared" ca="1" si="43"/>
        <v>0</v>
      </c>
      <c r="G362">
        <f t="shared" ca="1" si="44"/>
        <v>19</v>
      </c>
      <c r="H362">
        <f t="shared" ca="1" si="51"/>
        <v>0</v>
      </c>
      <c r="I362">
        <f t="shared" ca="1" si="52"/>
        <v>0</v>
      </c>
      <c r="J362" s="356" t="s">
        <v>103</v>
      </c>
      <c r="K362" s="138" t="str">
        <f t="shared" ca="1" si="45"/>
        <v>15.0.0.19.</v>
      </c>
      <c r="L362" s="357" t="s">
        <v>469</v>
      </c>
      <c r="M362" s="357" t="s">
        <v>797</v>
      </c>
      <c r="N362" s="358" t="s">
        <v>812</v>
      </c>
      <c r="O362" s="359" t="s">
        <v>782</v>
      </c>
      <c r="P362" s="360">
        <v>3</v>
      </c>
      <c r="Q362" s="195"/>
      <c r="R362" s="198" t="s">
        <v>7</v>
      </c>
      <c r="S362" s="103">
        <f t="shared" si="46"/>
        <v>0</v>
      </c>
      <c r="T362" s="83">
        <f t="shared" si="47"/>
        <v>0</v>
      </c>
      <c r="U362" s="9" t="str">
        <f t="shared" si="48"/>
        <v>SEM VALOR</v>
      </c>
      <c r="V362" s="1" t="str">
        <f ca="1">IF(OR($A362=0,$A362="S",$A362&gt;CFF!$A$9),"",MAX(V$12:OFFSET(V362,-1,0))+1)</f>
        <v/>
      </c>
      <c r="W362" s="4" t="str">
        <f t="shared" si="49"/>
        <v>FNDE-FNDE 225</v>
      </c>
      <c r="X362" s="1" t="e">
        <f t="shared" ca="1" si="50"/>
        <v>#N/A</v>
      </c>
      <c r="Y362" s="103">
        <v>386.46</v>
      </c>
      <c r="Z362" s="113">
        <f ca="1">ROUND(IF(ISNUMBER(R362),R362,IF(LEFT(R362,3)="BDI",HLOOKUP(R362,DADOS!$T$37:$X$38,2,FALSE),0)),15-11*$X$5)</f>
        <v>0.25</v>
      </c>
      <c r="AA362" s="1"/>
    </row>
    <row r="363" spans="1:27" x14ac:dyDescent="0.25">
      <c r="A363" t="str">
        <f t="shared" si="38"/>
        <v>S</v>
      </c>
      <c r="B363">
        <f t="shared" si="39"/>
        <v>0</v>
      </c>
      <c r="C363">
        <f t="shared" ca="1" si="40"/>
        <v>15</v>
      </c>
      <c r="D363">
        <f t="shared" ca="1" si="41"/>
        <v>0</v>
      </c>
      <c r="E363">
        <f t="shared" ca="1" si="42"/>
        <v>0</v>
      </c>
      <c r="F363">
        <f t="shared" ca="1" si="43"/>
        <v>0</v>
      </c>
      <c r="G363">
        <f t="shared" ca="1" si="44"/>
        <v>20</v>
      </c>
      <c r="H363">
        <f t="shared" ca="1" si="51"/>
        <v>0</v>
      </c>
      <c r="I363">
        <f t="shared" ca="1" si="52"/>
        <v>0</v>
      </c>
      <c r="J363" s="356" t="s">
        <v>103</v>
      </c>
      <c r="K363" s="138" t="str">
        <f t="shared" ca="1" si="45"/>
        <v>15.0.0.20.</v>
      </c>
      <c r="L363" s="357" t="s">
        <v>469</v>
      </c>
      <c r="M363" s="357" t="s">
        <v>798</v>
      </c>
      <c r="N363" s="358" t="s">
        <v>813</v>
      </c>
      <c r="O363" s="359" t="s">
        <v>782</v>
      </c>
      <c r="P363" s="360">
        <v>2</v>
      </c>
      <c r="Q363" s="195"/>
      <c r="R363" s="198" t="s">
        <v>7</v>
      </c>
      <c r="S363" s="103">
        <f t="shared" si="46"/>
        <v>0</v>
      </c>
      <c r="T363" s="83">
        <f t="shared" si="47"/>
        <v>0</v>
      </c>
      <c r="U363" s="9" t="str">
        <f t="shared" si="48"/>
        <v>SEM VALOR</v>
      </c>
      <c r="V363" s="1" t="str">
        <f ca="1">IF(OR($A363=0,$A363="S",$A363&gt;CFF!$A$9),"",MAX(V$12:OFFSET(V363,-1,0))+1)</f>
        <v/>
      </c>
      <c r="W363" s="4" t="str">
        <f t="shared" si="49"/>
        <v>FNDE-FNDE 13</v>
      </c>
      <c r="X363" s="1" t="e">
        <f t="shared" ca="1" si="50"/>
        <v>#N/A</v>
      </c>
      <c r="Y363" s="103">
        <v>174.93</v>
      </c>
      <c r="Z363" s="113">
        <f ca="1">ROUND(IF(ISNUMBER(R363),R363,IF(LEFT(R363,3)="BDI",HLOOKUP(R363,DADOS!$T$37:$X$38,2,FALSE),0)),15-11*$X$5)</f>
        <v>0.25</v>
      </c>
      <c r="AA363" s="1"/>
    </row>
    <row r="364" spans="1:27" x14ac:dyDescent="0.25">
      <c r="A364" t="str">
        <f t="shared" si="38"/>
        <v>S</v>
      </c>
      <c r="B364">
        <f t="shared" si="39"/>
        <v>0</v>
      </c>
      <c r="C364">
        <f t="shared" ca="1" si="40"/>
        <v>15</v>
      </c>
      <c r="D364">
        <f t="shared" ca="1" si="41"/>
        <v>0</v>
      </c>
      <c r="E364">
        <f t="shared" ca="1" si="42"/>
        <v>0</v>
      </c>
      <c r="F364">
        <f t="shared" ca="1" si="43"/>
        <v>0</v>
      </c>
      <c r="G364">
        <f t="shared" ca="1" si="44"/>
        <v>21</v>
      </c>
      <c r="H364">
        <f t="shared" ca="1" si="51"/>
        <v>0</v>
      </c>
      <c r="I364">
        <f t="shared" ca="1" si="52"/>
        <v>0</v>
      </c>
      <c r="J364" s="356" t="s">
        <v>103</v>
      </c>
      <c r="K364" s="138" t="str">
        <f t="shared" ca="1" si="45"/>
        <v>15.0.0.21.</v>
      </c>
      <c r="L364" s="357" t="s">
        <v>233</v>
      </c>
      <c r="M364" s="357" t="s">
        <v>464</v>
      </c>
      <c r="N364" s="358" t="s">
        <v>1092</v>
      </c>
      <c r="O364" s="359" t="s">
        <v>470</v>
      </c>
      <c r="P364" s="360">
        <v>25</v>
      </c>
      <c r="Q364" s="195"/>
      <c r="R364" s="198" t="s">
        <v>7</v>
      </c>
      <c r="S364" s="103">
        <f t="shared" si="46"/>
        <v>0</v>
      </c>
      <c r="T364" s="83">
        <f t="shared" si="47"/>
        <v>0</v>
      </c>
      <c r="U364" s="9" t="str">
        <f t="shared" si="48"/>
        <v>SEM VALOR</v>
      </c>
      <c r="V364" s="1" t="str">
        <f ca="1">IF(OR($A364=0,$A364="S",$A364&gt;CFF!$A$9),"",MAX(V$12:OFFSET(V364,-1,0))+1)</f>
        <v/>
      </c>
      <c r="W364" s="4" t="str">
        <f t="shared" si="49"/>
        <v>SINAPI-86887</v>
      </c>
      <c r="X364" s="1">
        <f t="shared" ca="1" si="50"/>
        <v>5256</v>
      </c>
      <c r="Y364" s="103">
        <v>88</v>
      </c>
      <c r="Z364" s="113">
        <f ca="1">ROUND(IF(ISNUMBER(R364),R364,IF(LEFT(R364,3)="BDI",HLOOKUP(R364,DADOS!$T$37:$X$38,2,FALSE),0)),15-11*$X$5)</f>
        <v>0.25</v>
      </c>
      <c r="AA364" s="1"/>
    </row>
    <row r="365" spans="1:27" x14ac:dyDescent="0.25">
      <c r="A365" t="str">
        <f t="shared" si="38"/>
        <v>S</v>
      </c>
      <c r="B365">
        <f t="shared" si="39"/>
        <v>0</v>
      </c>
      <c r="C365">
        <f t="shared" ca="1" si="40"/>
        <v>15</v>
      </c>
      <c r="D365">
        <f t="shared" ca="1" si="41"/>
        <v>0</v>
      </c>
      <c r="E365">
        <f t="shared" ca="1" si="42"/>
        <v>0</v>
      </c>
      <c r="F365">
        <f t="shared" ca="1" si="43"/>
        <v>0</v>
      </c>
      <c r="G365">
        <f t="shared" ca="1" si="44"/>
        <v>22</v>
      </c>
      <c r="H365">
        <f t="shared" ca="1" si="51"/>
        <v>0</v>
      </c>
      <c r="I365">
        <f t="shared" ca="1" si="52"/>
        <v>0</v>
      </c>
      <c r="J365" s="356" t="s">
        <v>103</v>
      </c>
      <c r="K365" s="138" t="str">
        <f t="shared" ca="1" si="45"/>
        <v>15.0.0.22.</v>
      </c>
      <c r="L365" s="357" t="s">
        <v>233</v>
      </c>
      <c r="M365" s="357" t="s">
        <v>465</v>
      </c>
      <c r="N365" s="358" t="s">
        <v>1093</v>
      </c>
      <c r="O365" s="359" t="s">
        <v>470</v>
      </c>
      <c r="P365" s="360">
        <v>8</v>
      </c>
      <c r="Q365" s="195"/>
      <c r="R365" s="198" t="s">
        <v>7</v>
      </c>
      <c r="S365" s="103">
        <f t="shared" si="46"/>
        <v>0</v>
      </c>
      <c r="T365" s="83">
        <f t="shared" si="47"/>
        <v>0</v>
      </c>
      <c r="U365" s="9" t="str">
        <f t="shared" si="48"/>
        <v>SEM VALOR</v>
      </c>
      <c r="V365" s="1" t="str">
        <f ca="1">IF(OR($A365=0,$A365="S",$A365&gt;CFF!$A$9),"",MAX(V$12:OFFSET(V365,-1,0))+1)</f>
        <v/>
      </c>
      <c r="W365" s="4" t="str">
        <f t="shared" si="49"/>
        <v>SINAPI-100860</v>
      </c>
      <c r="X365" s="1">
        <f t="shared" ca="1" si="50"/>
        <v>5327</v>
      </c>
      <c r="Y365" s="103">
        <v>124.06</v>
      </c>
      <c r="Z365" s="113">
        <f ca="1">ROUND(IF(ISNUMBER(R365),R365,IF(LEFT(R365,3)="BDI",HLOOKUP(R365,DADOS!$T$37:$X$38,2,FALSE),0)),15-11*$X$5)</f>
        <v>0.25</v>
      </c>
      <c r="AA365" s="1"/>
    </row>
    <row r="366" spans="1:27" ht="26.4" x14ac:dyDescent="0.25">
      <c r="A366" t="str">
        <f t="shared" si="38"/>
        <v>S</v>
      </c>
      <c r="B366">
        <f t="shared" si="39"/>
        <v>0</v>
      </c>
      <c r="C366">
        <f t="shared" ca="1" si="40"/>
        <v>15</v>
      </c>
      <c r="D366">
        <f t="shared" ca="1" si="41"/>
        <v>0</v>
      </c>
      <c r="E366">
        <f t="shared" ca="1" si="42"/>
        <v>0</v>
      </c>
      <c r="F366">
        <f t="shared" ca="1" si="43"/>
        <v>0</v>
      </c>
      <c r="G366">
        <f t="shared" ca="1" si="44"/>
        <v>23</v>
      </c>
      <c r="H366">
        <f t="shared" ca="1" si="51"/>
        <v>0</v>
      </c>
      <c r="I366">
        <f t="shared" ca="1" si="52"/>
        <v>0</v>
      </c>
      <c r="J366" s="356" t="s">
        <v>103</v>
      </c>
      <c r="K366" s="138" t="str">
        <f t="shared" ca="1" si="45"/>
        <v>15.0.0.23.</v>
      </c>
      <c r="L366" s="357" t="s">
        <v>469</v>
      </c>
      <c r="M366" s="357" t="s">
        <v>799</v>
      </c>
      <c r="N366" s="358" t="s">
        <v>814</v>
      </c>
      <c r="O366" s="359" t="s">
        <v>782</v>
      </c>
      <c r="P366" s="360">
        <v>9</v>
      </c>
      <c r="Q366" s="195"/>
      <c r="R366" s="198" t="s">
        <v>7</v>
      </c>
      <c r="S366" s="103">
        <f t="shared" si="46"/>
        <v>0</v>
      </c>
      <c r="T366" s="83">
        <f t="shared" si="47"/>
        <v>0</v>
      </c>
      <c r="U366" s="9" t="str">
        <f t="shared" si="48"/>
        <v>SEM VALOR</v>
      </c>
      <c r="V366" s="1" t="str">
        <f ca="1">IF(OR($A366=0,$A366="S",$A366&gt;CFF!$A$9),"",MAX(V$12:OFFSET(V366,-1,0))+1)</f>
        <v/>
      </c>
      <c r="W366" s="4" t="str">
        <f t="shared" si="49"/>
        <v>FNDE-FNDE 226</v>
      </c>
      <c r="X366" s="1" t="e">
        <f t="shared" ca="1" si="50"/>
        <v>#N/A</v>
      </c>
      <c r="Y366" s="103">
        <v>419.66</v>
      </c>
      <c r="Z366" s="113">
        <f ca="1">ROUND(IF(ISNUMBER(R366),R366,IF(LEFT(R366,3)="BDI",HLOOKUP(R366,DADOS!$T$37:$X$38,2,FALSE),0)),15-11*$X$5)</f>
        <v>0.25</v>
      </c>
      <c r="AA366" s="1"/>
    </row>
    <row r="367" spans="1:27" ht="26.4" x14ac:dyDescent="0.25">
      <c r="A367" t="str">
        <f t="shared" si="38"/>
        <v>S</v>
      </c>
      <c r="B367">
        <f t="shared" si="39"/>
        <v>0</v>
      </c>
      <c r="C367">
        <f t="shared" ca="1" si="40"/>
        <v>15</v>
      </c>
      <c r="D367">
        <f t="shared" ca="1" si="41"/>
        <v>0</v>
      </c>
      <c r="E367">
        <f t="shared" ca="1" si="42"/>
        <v>0</v>
      </c>
      <c r="F367">
        <f t="shared" ca="1" si="43"/>
        <v>0</v>
      </c>
      <c r="G367">
        <f t="shared" ca="1" si="44"/>
        <v>24</v>
      </c>
      <c r="H367">
        <f t="shared" ca="1" si="51"/>
        <v>0</v>
      </c>
      <c r="I367">
        <f t="shared" ca="1" si="52"/>
        <v>0</v>
      </c>
      <c r="J367" s="356" t="s">
        <v>103</v>
      </c>
      <c r="K367" s="138" t="str">
        <f t="shared" ca="1" si="45"/>
        <v>15.0.0.24.</v>
      </c>
      <c r="L367" s="357" t="s">
        <v>233</v>
      </c>
      <c r="M367" s="357" t="s">
        <v>466</v>
      </c>
      <c r="N367" s="358" t="s">
        <v>1094</v>
      </c>
      <c r="O367" s="359" t="s">
        <v>470</v>
      </c>
      <c r="P367" s="360">
        <v>5</v>
      </c>
      <c r="Q367" s="195"/>
      <c r="R367" s="198" t="s">
        <v>7</v>
      </c>
      <c r="S367" s="103">
        <f t="shared" si="46"/>
        <v>0</v>
      </c>
      <c r="T367" s="83">
        <f t="shared" si="47"/>
        <v>0</v>
      </c>
      <c r="U367" s="9" t="str">
        <f t="shared" si="48"/>
        <v>SEM VALOR</v>
      </c>
      <c r="V367" s="1" t="str">
        <f ca="1">IF(OR($A367=0,$A367="S",$A367&gt;CFF!$A$9),"",MAX(V$12:OFFSET(V367,-1,0))+1)</f>
        <v/>
      </c>
      <c r="W367" s="4" t="str">
        <f t="shared" si="49"/>
        <v>SINAPI-100867</v>
      </c>
      <c r="X367" s="1">
        <f t="shared" ca="1" si="50"/>
        <v>5334</v>
      </c>
      <c r="Y367" s="103">
        <v>536.36</v>
      </c>
      <c r="Z367" s="113">
        <f ca="1">ROUND(IF(ISNUMBER(R367),R367,IF(LEFT(R367,3)="BDI",HLOOKUP(R367,DADOS!$T$37:$X$38,2,FALSE),0)),15-11*$X$5)</f>
        <v>0.25</v>
      </c>
      <c r="AA367" s="1"/>
    </row>
    <row r="368" spans="1:27" ht="26.4" x14ac:dyDescent="0.25">
      <c r="A368" t="str">
        <f>CHOOSE(1+LOG(1+2*(J368="Meta")+4*(J368="Nível 2")+8*(J368="Nível 3")+16*(J368="Nível 4")+32*(J368="Serviço"),2),0,1,2,3,4,"S")</f>
        <v>S</v>
      </c>
      <c r="B368">
        <f>IF(OR(A368="S",A368=0),0,IF(ISERROR(I368),H368,SMALL(H368:I368,1)))</f>
        <v>0</v>
      </c>
      <c r="C368">
        <f ca="1">IF($A368=1,OFFSET(C368,-1,0)+1,OFFSET(C368,-1,0))</f>
        <v>15</v>
      </c>
      <c r="D368">
        <f ca="1">IF($A368=1,0,IF($A368=2,OFFSET(D368,-1,0)+1,OFFSET(D368,-1,0)))</f>
        <v>0</v>
      </c>
      <c r="E368">
        <f ca="1">IF(AND($A368&lt;=2,$A368&lt;&gt;0),0,IF($A368=3,OFFSET(E368,-1,0)+1,OFFSET(E368,-1,0)))</f>
        <v>0</v>
      </c>
      <c r="F368">
        <f ca="1">IF(AND($A368&lt;=3,$A368&lt;&gt;0),0,IF($A368=4,OFFSET(F368,-1,0)+1,OFFSET(F368,-1,0)))</f>
        <v>0</v>
      </c>
      <c r="G368">
        <f ca="1">IF(AND($A368&lt;=4,$A368&lt;&gt;0),0,IF($A368="S",OFFSET(G368,-1,0)+1,OFFSET(G368,-1,0)))</f>
        <v>25</v>
      </c>
      <c r="H368">
        <f t="shared" ca="1" si="51"/>
        <v>0</v>
      </c>
      <c r="I368">
        <f t="shared" ca="1" si="52"/>
        <v>0</v>
      </c>
      <c r="J368" s="356" t="s">
        <v>103</v>
      </c>
      <c r="K368" s="138" t="str">
        <f ca="1">IF($A368=0,"-",CONCATENATE(C368&amp;".",IF(AND($A$5&gt;=2,$A368&gt;=2),D368&amp;".",""),IF(AND($A$5&gt;=3,$A368&gt;=3),E368&amp;".",""),IF(AND($A$5&gt;=4,$A368&gt;=4),F368&amp;".",""),IF($A368="S",G368&amp;".","")))</f>
        <v>15.0.0.25.</v>
      </c>
      <c r="L368" s="357" t="s">
        <v>233</v>
      </c>
      <c r="M368" s="357" t="s">
        <v>290</v>
      </c>
      <c r="N368" s="358" t="s">
        <v>921</v>
      </c>
      <c r="O368" s="359" t="s">
        <v>470</v>
      </c>
      <c r="P368" s="360">
        <v>7</v>
      </c>
      <c r="Q368" s="195"/>
      <c r="R368" s="198" t="s">
        <v>7</v>
      </c>
      <c r="S368" s="103">
        <f>IF($A368="S",IF($Q$10="Preço Unitário (R$)",PO.CustoUnitario,ROUND(PO.CustoUnitario*(1+$Z368),15-13*$X$6)),0)</f>
        <v>0</v>
      </c>
      <c r="T368" s="83">
        <f>IF($A368="S",VTOTAL1,IF($A368=0,0,ROUND(SomaAgrup,15-13*$X$7)))</f>
        <v>0</v>
      </c>
      <c r="U368" s="9" t="str">
        <f>IF($J368="","",IF($N368="","DESCRIÇÃO",IF(AND($J368="Serviço",$O368=""),"UNIDADE",IF($T368&lt;=0,"SEM VALOR",IF(AND($Y368&lt;&gt;"",$Q368&gt;$Y368),"ACIMA REF.","")))))</f>
        <v>SEM VALOR</v>
      </c>
      <c r="V368" s="1" t="str">
        <f ca="1">IF(OR($A368=0,$A368="S",$A368&gt;CFF!$A$9),"",MAX(V$12:OFFSET(V368,-1,0))+1)</f>
        <v/>
      </c>
      <c r="W368" s="4" t="str">
        <f>IF(AND($J368="Serviço",$M368&lt;&gt;""),IF($L368="",$M368,CONCATENATE($L368,"-",$M368)))</f>
        <v>SINAPI-100868</v>
      </c>
      <c r="X368" s="1">
        <f ca="1">IF(AND(Fonte&lt;&gt;"",Código&lt;&gt;""),MATCH(Fonte&amp;" "&amp;IF(Fonte="sinapi",SUBSTITUTE(SUBSTITUTE(Código,"/00","/"),"/0","/"),Código),INDIRECT("'[Referência "&amp;_xlnm.Database&amp;".xls]Banco'!$a:$a"),0),"X")</f>
        <v>5335</v>
      </c>
      <c r="Y368" s="103">
        <v>560.54</v>
      </c>
      <c r="Z368" s="113">
        <f ca="1">ROUND(IF(ISNUMBER(R368),R368,IF(LEFT(R368,3)="BDI",HLOOKUP(R368,DADOS!$T$37:$X$38,2,FALSE),0)),15-11*$X$5)</f>
        <v>0.25</v>
      </c>
      <c r="AA368" s="1"/>
    </row>
    <row r="369" spans="1:27" x14ac:dyDescent="0.25">
      <c r="A369" t="str">
        <f t="shared" si="38"/>
        <v>S</v>
      </c>
      <c r="B369">
        <f t="shared" si="39"/>
        <v>0</v>
      </c>
      <c r="C369">
        <f t="shared" ca="1" si="40"/>
        <v>15</v>
      </c>
      <c r="D369">
        <f t="shared" ca="1" si="41"/>
        <v>0</v>
      </c>
      <c r="E369">
        <f t="shared" ca="1" si="42"/>
        <v>0</v>
      </c>
      <c r="F369">
        <f t="shared" ca="1" si="43"/>
        <v>0</v>
      </c>
      <c r="G369">
        <f t="shared" ca="1" si="44"/>
        <v>26</v>
      </c>
      <c r="H369">
        <f t="shared" ca="1" si="51"/>
        <v>0</v>
      </c>
      <c r="I369">
        <f t="shared" ca="1" si="52"/>
        <v>0</v>
      </c>
      <c r="J369" s="356" t="s">
        <v>103</v>
      </c>
      <c r="K369" s="138" t="str">
        <f t="shared" ca="1" si="45"/>
        <v>15.0.0.26.</v>
      </c>
      <c r="L369" s="357" t="s">
        <v>233</v>
      </c>
      <c r="M369" s="357" t="s">
        <v>467</v>
      </c>
      <c r="N369" s="358" t="s">
        <v>1095</v>
      </c>
      <c r="O369" s="359" t="s">
        <v>470</v>
      </c>
      <c r="P369" s="360">
        <v>1</v>
      </c>
      <c r="Q369" s="195"/>
      <c r="R369" s="198" t="s">
        <v>7</v>
      </c>
      <c r="S369" s="103">
        <f t="shared" si="46"/>
        <v>0</v>
      </c>
      <c r="T369" s="83">
        <f t="shared" si="47"/>
        <v>0</v>
      </c>
      <c r="U369" s="9" t="str">
        <f t="shared" si="48"/>
        <v>SEM VALOR</v>
      </c>
      <c r="V369" s="1" t="str">
        <f ca="1">IF(OR($A369=0,$A369="S",$A369&gt;CFF!$A$9),"",MAX(V$12:OFFSET(V369,-1,0))+1)</f>
        <v/>
      </c>
      <c r="W369" s="4" t="str">
        <f t="shared" si="49"/>
        <v>SINAPI-100875</v>
      </c>
      <c r="X369" s="1">
        <f t="shared" ca="1" si="50"/>
        <v>5342</v>
      </c>
      <c r="Y369" s="103">
        <v>1913.6</v>
      </c>
      <c r="Z369" s="113">
        <f ca="1">ROUND(IF(ISNUMBER(R369),R369,IF(LEFT(R369,3)="BDI",HLOOKUP(R369,DADOS!$T$37:$X$38,2,FALSE),0)),15-11*$X$5)</f>
        <v>0.25</v>
      </c>
      <c r="AA369" s="1"/>
    </row>
    <row r="370" spans="1:27" ht="26.4" x14ac:dyDescent="0.25">
      <c r="A370" t="str">
        <f t="shared" si="38"/>
        <v>S</v>
      </c>
      <c r="B370">
        <f t="shared" si="39"/>
        <v>0</v>
      </c>
      <c r="C370">
        <f t="shared" ca="1" si="40"/>
        <v>15</v>
      </c>
      <c r="D370">
        <f t="shared" ca="1" si="41"/>
        <v>0</v>
      </c>
      <c r="E370">
        <f t="shared" ca="1" si="42"/>
        <v>0</v>
      </c>
      <c r="F370">
        <f t="shared" ca="1" si="43"/>
        <v>0</v>
      </c>
      <c r="G370">
        <f t="shared" ca="1" si="44"/>
        <v>27</v>
      </c>
      <c r="H370">
        <f t="shared" ca="1" si="51"/>
        <v>0</v>
      </c>
      <c r="I370">
        <f t="shared" ca="1" si="52"/>
        <v>0</v>
      </c>
      <c r="J370" s="356" t="s">
        <v>103</v>
      </c>
      <c r="K370" s="138" t="str">
        <f t="shared" ca="1" si="45"/>
        <v>15.0.0.27.</v>
      </c>
      <c r="L370" s="357" t="s">
        <v>469</v>
      </c>
      <c r="M370" s="357" t="s">
        <v>800</v>
      </c>
      <c r="N370" s="358" t="s">
        <v>815</v>
      </c>
      <c r="O370" s="359" t="s">
        <v>816</v>
      </c>
      <c r="P370" s="360">
        <v>13</v>
      </c>
      <c r="Q370" s="195"/>
      <c r="R370" s="198" t="s">
        <v>7</v>
      </c>
      <c r="S370" s="103">
        <f t="shared" si="46"/>
        <v>0</v>
      </c>
      <c r="T370" s="83">
        <f t="shared" si="47"/>
        <v>0</v>
      </c>
      <c r="U370" s="9" t="str">
        <f t="shared" si="48"/>
        <v>SEM VALOR</v>
      </c>
      <c r="V370" s="1" t="str">
        <f ca="1">IF(OR($A370=0,$A370="S",$A370&gt;CFF!$A$9),"",MAX(V$12:OFFSET(V370,-1,0))+1)</f>
        <v/>
      </c>
      <c r="W370" s="4" t="str">
        <f t="shared" si="49"/>
        <v>FNDE-FNDE 215</v>
      </c>
      <c r="X370" s="1" t="e">
        <f t="shared" ca="1" si="50"/>
        <v>#N/A</v>
      </c>
      <c r="Y370" s="103">
        <v>562.14</v>
      </c>
      <c r="Z370" s="113">
        <f ca="1">ROUND(IF(ISNUMBER(R370),R370,IF(LEFT(R370,3)="BDI",HLOOKUP(R370,DADOS!$T$37:$X$38,2,FALSE),0)),15-11*$X$5)</f>
        <v>0.25</v>
      </c>
      <c r="AA370" s="1"/>
    </row>
    <row r="371" spans="1:27" x14ac:dyDescent="0.25">
      <c r="A371" t="str">
        <f t="shared" si="38"/>
        <v>S</v>
      </c>
      <c r="B371">
        <f t="shared" si="39"/>
        <v>0</v>
      </c>
      <c r="C371">
        <f t="shared" ca="1" si="40"/>
        <v>15</v>
      </c>
      <c r="D371">
        <f t="shared" ca="1" si="41"/>
        <v>0</v>
      </c>
      <c r="E371">
        <f t="shared" ca="1" si="42"/>
        <v>0</v>
      </c>
      <c r="F371">
        <f t="shared" ca="1" si="43"/>
        <v>0</v>
      </c>
      <c r="G371">
        <f t="shared" ca="1" si="44"/>
        <v>28</v>
      </c>
      <c r="H371">
        <f t="shared" ca="1" si="51"/>
        <v>0</v>
      </c>
      <c r="I371">
        <f t="shared" ca="1" si="52"/>
        <v>0</v>
      </c>
      <c r="J371" s="356" t="s">
        <v>103</v>
      </c>
      <c r="K371" s="138" t="str">
        <f t="shared" ca="1" si="45"/>
        <v>15.0.0.28.</v>
      </c>
      <c r="L371" s="357" t="s">
        <v>469</v>
      </c>
      <c r="M371" s="357" t="s">
        <v>801</v>
      </c>
      <c r="N371" s="358" t="s">
        <v>817</v>
      </c>
      <c r="O371" s="359" t="s">
        <v>782</v>
      </c>
      <c r="P371" s="360">
        <v>17</v>
      </c>
      <c r="Q371" s="195"/>
      <c r="R371" s="198" t="s">
        <v>7</v>
      </c>
      <c r="S371" s="103">
        <f t="shared" si="46"/>
        <v>0</v>
      </c>
      <c r="T371" s="83">
        <f t="shared" si="47"/>
        <v>0</v>
      </c>
      <c r="U371" s="9" t="str">
        <f t="shared" si="48"/>
        <v>SEM VALOR</v>
      </c>
      <c r="V371" s="1" t="str">
        <f ca="1">IF(OR($A371=0,$A371="S",$A371&gt;CFF!$A$9),"",MAX(V$12:OFFSET(V371,-1,0))+1)</f>
        <v/>
      </c>
      <c r="W371" s="4" t="str">
        <f t="shared" si="49"/>
        <v>FNDE-FNDE 15</v>
      </c>
      <c r="X371" s="1" t="e">
        <f t="shared" ca="1" si="50"/>
        <v>#N/A</v>
      </c>
      <c r="Y371" s="103">
        <v>126.13</v>
      </c>
      <c r="Z371" s="113">
        <f ca="1">ROUND(IF(ISNUMBER(R371),R371,IF(LEFT(R371,3)="BDI",HLOOKUP(R371,DADOS!$T$37:$X$38,2,FALSE),0)),15-11*$X$5)</f>
        <v>0.25</v>
      </c>
      <c r="AA371" s="1"/>
    </row>
    <row r="372" spans="1:27" x14ac:dyDescent="0.25">
      <c r="A372" t="str">
        <f t="shared" si="38"/>
        <v>S</v>
      </c>
      <c r="B372">
        <f t="shared" si="39"/>
        <v>0</v>
      </c>
      <c r="C372">
        <f t="shared" ca="1" si="40"/>
        <v>15</v>
      </c>
      <c r="D372">
        <f t="shared" ca="1" si="41"/>
        <v>0</v>
      </c>
      <c r="E372">
        <f t="shared" ca="1" si="42"/>
        <v>0</v>
      </c>
      <c r="F372">
        <f t="shared" ca="1" si="43"/>
        <v>0</v>
      </c>
      <c r="G372">
        <f t="shared" ca="1" si="44"/>
        <v>29</v>
      </c>
      <c r="H372">
        <f t="shared" ca="1" si="51"/>
        <v>0</v>
      </c>
      <c r="I372">
        <f t="shared" ca="1" si="52"/>
        <v>0</v>
      </c>
      <c r="J372" s="356" t="s">
        <v>103</v>
      </c>
      <c r="K372" s="138" t="str">
        <f t="shared" ca="1" si="45"/>
        <v>15.0.0.29.</v>
      </c>
      <c r="L372" s="357" t="s">
        <v>469</v>
      </c>
      <c r="M372" s="357" t="s">
        <v>802</v>
      </c>
      <c r="N372" s="358" t="s">
        <v>818</v>
      </c>
      <c r="O372" s="359" t="s">
        <v>782</v>
      </c>
      <c r="P372" s="360">
        <v>9</v>
      </c>
      <c r="Q372" s="195"/>
      <c r="R372" s="198" t="s">
        <v>7</v>
      </c>
      <c r="S372" s="103">
        <f t="shared" si="46"/>
        <v>0</v>
      </c>
      <c r="T372" s="83">
        <f t="shared" si="47"/>
        <v>0</v>
      </c>
      <c r="U372" s="9" t="str">
        <f t="shared" si="48"/>
        <v>SEM VALOR</v>
      </c>
      <c r="V372" s="1" t="str">
        <f ca="1">IF(OR($A372=0,$A372="S",$A372&gt;CFF!$A$9),"",MAX(V$12:OFFSET(V372,-1,0))+1)</f>
        <v/>
      </c>
      <c r="W372" s="4" t="str">
        <f t="shared" si="49"/>
        <v>FNDE-FNDE 16</v>
      </c>
      <c r="X372" s="1" t="e">
        <f t="shared" ca="1" si="50"/>
        <v>#N/A</v>
      </c>
      <c r="Y372" s="103">
        <v>85.23</v>
      </c>
      <c r="Z372" s="113">
        <f ca="1">ROUND(IF(ISNUMBER(R372),R372,IF(LEFT(R372,3)="BDI",HLOOKUP(R372,DADOS!$T$37:$X$38,2,FALSE),0)),15-11*$X$5)</f>
        <v>0.25</v>
      </c>
      <c r="AA372" s="1"/>
    </row>
    <row r="373" spans="1:27" ht="26.4" x14ac:dyDescent="0.25">
      <c r="A373" t="str">
        <f t="shared" si="38"/>
        <v>S</v>
      </c>
      <c r="B373">
        <f t="shared" si="39"/>
        <v>0</v>
      </c>
      <c r="C373">
        <f t="shared" ca="1" si="40"/>
        <v>15</v>
      </c>
      <c r="D373">
        <f t="shared" ca="1" si="41"/>
        <v>0</v>
      </c>
      <c r="E373">
        <f t="shared" ca="1" si="42"/>
        <v>0</v>
      </c>
      <c r="F373">
        <f t="shared" ca="1" si="43"/>
        <v>0</v>
      </c>
      <c r="G373">
        <f t="shared" ca="1" si="44"/>
        <v>30</v>
      </c>
      <c r="H373">
        <f t="shared" ca="1" si="51"/>
        <v>0</v>
      </c>
      <c r="I373">
        <f t="shared" ca="1" si="52"/>
        <v>0</v>
      </c>
      <c r="J373" s="356" t="s">
        <v>103</v>
      </c>
      <c r="K373" s="138" t="str">
        <f t="shared" ca="1" si="45"/>
        <v>15.0.0.30.</v>
      </c>
      <c r="L373" s="357" t="s">
        <v>233</v>
      </c>
      <c r="M373" s="357" t="s">
        <v>468</v>
      </c>
      <c r="N373" s="358" t="s">
        <v>1096</v>
      </c>
      <c r="O373" s="359" t="s">
        <v>470</v>
      </c>
      <c r="P373" s="360">
        <v>14</v>
      </c>
      <c r="Q373" s="195"/>
      <c r="R373" s="198" t="s">
        <v>7</v>
      </c>
      <c r="S373" s="103">
        <f t="shared" si="46"/>
        <v>0</v>
      </c>
      <c r="T373" s="83">
        <f t="shared" si="47"/>
        <v>0</v>
      </c>
      <c r="U373" s="9" t="str">
        <f t="shared" si="48"/>
        <v>SEM VALOR</v>
      </c>
      <c r="V373" s="1" t="str">
        <f ca="1">IF(OR($A373=0,$A373="S",$A373&gt;CFF!$A$9),"",MAX(V$12:OFFSET(V373,-1,0))+1)</f>
        <v/>
      </c>
      <c r="W373" s="4" t="str">
        <f t="shared" si="49"/>
        <v>SINAPI-95547</v>
      </c>
      <c r="X373" s="1">
        <f t="shared" ca="1" si="50"/>
        <v>5316</v>
      </c>
      <c r="Y373" s="103">
        <v>70.510000000000005</v>
      </c>
      <c r="Z373" s="113">
        <f ca="1">ROUND(IF(ISNUMBER(R373),R373,IF(LEFT(R373,3)="BDI",HLOOKUP(R373,DADOS!$T$37:$X$38,2,FALSE),0)),15-11*$X$5)</f>
        <v>0.25</v>
      </c>
      <c r="AA373" s="1"/>
    </row>
    <row r="374" spans="1:27" x14ac:dyDescent="0.25">
      <c r="A374" t="str">
        <f t="shared" si="38"/>
        <v>S</v>
      </c>
      <c r="B374">
        <f t="shared" si="39"/>
        <v>0</v>
      </c>
      <c r="C374">
        <f t="shared" ca="1" si="40"/>
        <v>15</v>
      </c>
      <c r="D374">
        <f t="shared" ca="1" si="41"/>
        <v>0</v>
      </c>
      <c r="E374">
        <f t="shared" ca="1" si="42"/>
        <v>0</v>
      </c>
      <c r="F374">
        <f t="shared" ca="1" si="43"/>
        <v>0</v>
      </c>
      <c r="G374">
        <f t="shared" ca="1" si="44"/>
        <v>31</v>
      </c>
      <c r="H374">
        <f t="shared" ca="1" si="51"/>
        <v>0</v>
      </c>
      <c r="I374">
        <f t="shared" ca="1" si="52"/>
        <v>0</v>
      </c>
      <c r="J374" s="356" t="s">
        <v>103</v>
      </c>
      <c r="K374" s="138" t="str">
        <f t="shared" ca="1" si="45"/>
        <v>15.0.0.31.</v>
      </c>
      <c r="L374" s="357" t="s">
        <v>469</v>
      </c>
      <c r="M374" s="357" t="s">
        <v>803</v>
      </c>
      <c r="N374" s="358" t="s">
        <v>819</v>
      </c>
      <c r="O374" s="359" t="s">
        <v>635</v>
      </c>
      <c r="P374" s="360">
        <v>7.5</v>
      </c>
      <c r="Q374" s="195"/>
      <c r="R374" s="198" t="s">
        <v>7</v>
      </c>
      <c r="S374" s="103">
        <f t="shared" si="46"/>
        <v>0</v>
      </c>
      <c r="T374" s="83">
        <f t="shared" si="47"/>
        <v>0</v>
      </c>
      <c r="U374" s="9" t="str">
        <f t="shared" si="48"/>
        <v>SEM VALOR</v>
      </c>
      <c r="V374" s="1" t="str">
        <f ca="1">IF(OR($A374=0,$A374="S",$A374&gt;CFF!$A$9),"",MAX(V$12:OFFSET(V374,-1,0))+1)</f>
        <v/>
      </c>
      <c r="W374" s="4" t="str">
        <f t="shared" si="49"/>
        <v>FNDE-FNDE 12</v>
      </c>
      <c r="X374" s="1" t="e">
        <f t="shared" ca="1" si="50"/>
        <v>#N/A</v>
      </c>
      <c r="Y374" s="103">
        <v>680.45</v>
      </c>
      <c r="Z374" s="113">
        <f ca="1">ROUND(IF(ISNUMBER(R374),R374,IF(LEFT(R374,3)="BDI",HLOOKUP(R374,DADOS!$T$37:$X$38,2,FALSE),0)),15-11*$X$5)</f>
        <v>0.25</v>
      </c>
      <c r="AA374" s="1"/>
    </row>
    <row r="375" spans="1:27" x14ac:dyDescent="0.25">
      <c r="A375" t="str">
        <f t="shared" si="38"/>
        <v>S</v>
      </c>
      <c r="B375">
        <f t="shared" si="39"/>
        <v>0</v>
      </c>
      <c r="C375">
        <f t="shared" ca="1" si="40"/>
        <v>15</v>
      </c>
      <c r="D375">
        <f t="shared" ca="1" si="41"/>
        <v>0</v>
      </c>
      <c r="E375">
        <f t="shared" ca="1" si="42"/>
        <v>0</v>
      </c>
      <c r="F375">
        <f t="shared" ca="1" si="43"/>
        <v>0</v>
      </c>
      <c r="G375">
        <f t="shared" ca="1" si="44"/>
        <v>32</v>
      </c>
      <c r="H375">
        <f t="shared" ca="1" si="51"/>
        <v>0</v>
      </c>
      <c r="I375">
        <f t="shared" ca="1" si="52"/>
        <v>0</v>
      </c>
      <c r="J375" s="356" t="s">
        <v>103</v>
      </c>
      <c r="K375" s="138" t="str">
        <f t="shared" ca="1" si="45"/>
        <v>15.0.0.32.</v>
      </c>
      <c r="L375" s="357" t="s">
        <v>469</v>
      </c>
      <c r="M375" s="357" t="s">
        <v>804</v>
      </c>
      <c r="N375" s="358" t="s">
        <v>820</v>
      </c>
      <c r="O375" s="359" t="s">
        <v>782</v>
      </c>
      <c r="P375" s="360">
        <v>10</v>
      </c>
      <c r="Q375" s="195"/>
      <c r="R375" s="198" t="s">
        <v>7</v>
      </c>
      <c r="S375" s="103">
        <f t="shared" si="46"/>
        <v>0</v>
      </c>
      <c r="T375" s="83">
        <f t="shared" si="47"/>
        <v>0</v>
      </c>
      <c r="U375" s="9" t="str">
        <f t="shared" si="48"/>
        <v>SEM VALOR</v>
      </c>
      <c r="V375" s="1" t="str">
        <f ca="1">IF(OR($A375=0,$A375="S",$A375&gt;CFF!$A$9),"",MAX(V$12:OFFSET(V375,-1,0))+1)</f>
        <v/>
      </c>
      <c r="W375" s="4" t="str">
        <f t="shared" si="49"/>
        <v>FNDE-FNDE 17</v>
      </c>
      <c r="X375" s="1" t="e">
        <f t="shared" ca="1" si="50"/>
        <v>#N/A</v>
      </c>
      <c r="Y375" s="103">
        <v>209.7</v>
      </c>
      <c r="Z375" s="113">
        <f ca="1">ROUND(IF(ISNUMBER(R375),R375,IF(LEFT(R375,3)="BDI",HLOOKUP(R375,DADOS!$T$37:$X$38,2,FALSE),0)),15-11*$X$5)</f>
        <v>0.25</v>
      </c>
      <c r="AA375" s="1"/>
    </row>
    <row r="376" spans="1:27" x14ac:dyDescent="0.25">
      <c r="A376" t="str">
        <f t="shared" si="38"/>
        <v>S</v>
      </c>
      <c r="B376">
        <f t="shared" si="39"/>
        <v>0</v>
      </c>
      <c r="C376">
        <f t="shared" ca="1" si="40"/>
        <v>15</v>
      </c>
      <c r="D376">
        <f t="shared" ca="1" si="41"/>
        <v>0</v>
      </c>
      <c r="E376">
        <f t="shared" ca="1" si="42"/>
        <v>0</v>
      </c>
      <c r="F376">
        <f t="shared" ca="1" si="43"/>
        <v>0</v>
      </c>
      <c r="G376">
        <f t="shared" ca="1" si="44"/>
        <v>33</v>
      </c>
      <c r="H376">
        <f t="shared" ca="1" si="51"/>
        <v>0</v>
      </c>
      <c r="I376">
        <f t="shared" ca="1" si="52"/>
        <v>0</v>
      </c>
      <c r="J376" s="356" t="s">
        <v>103</v>
      </c>
      <c r="K376" s="138" t="str">
        <f t="shared" ca="1" si="45"/>
        <v>15.0.0.33.</v>
      </c>
      <c r="L376" s="357" t="s">
        <v>469</v>
      </c>
      <c r="M376" s="357" t="s">
        <v>805</v>
      </c>
      <c r="N376" s="358" t="s">
        <v>821</v>
      </c>
      <c r="O376" s="359" t="s">
        <v>816</v>
      </c>
      <c r="P376" s="360">
        <v>107</v>
      </c>
      <c r="Q376" s="195"/>
      <c r="R376" s="198" t="s">
        <v>7</v>
      </c>
      <c r="S376" s="103">
        <f t="shared" si="46"/>
        <v>0</v>
      </c>
      <c r="T376" s="83">
        <f t="shared" si="47"/>
        <v>0</v>
      </c>
      <c r="U376" s="9" t="str">
        <f t="shared" si="48"/>
        <v>SEM VALOR</v>
      </c>
      <c r="V376" s="1" t="str">
        <f ca="1">IF(OR($A376=0,$A376="S",$A376&gt;CFF!$A$9),"",MAX(V$12:OFFSET(V376,-1,0))+1)</f>
        <v/>
      </c>
      <c r="W376" s="4" t="str">
        <f t="shared" si="49"/>
        <v>FNDE-FNDE 34</v>
      </c>
      <c r="X376" s="1" t="e">
        <f t="shared" ca="1" si="50"/>
        <v>#N/A</v>
      </c>
      <c r="Y376" s="103">
        <v>80.709999999999994</v>
      </c>
      <c r="Z376" s="113">
        <f ca="1">ROUND(IF(ISNUMBER(R376),R376,IF(LEFT(R376,3)="BDI",HLOOKUP(R376,DADOS!$T$37:$X$38,2,FALSE),0)),15-11*$X$5)</f>
        <v>0.25</v>
      </c>
      <c r="AA376" s="1"/>
    </row>
    <row r="377" spans="1:27" x14ac:dyDescent="0.25">
      <c r="A377" t="str">
        <f>CHOOSE(1+LOG(1+2*(J377="Meta")+4*(J377="Nível 2")+8*(J377="Nível 3")+16*(J377="Nível 4")+32*(J377="Serviço"),2),0,1,2,3,4,"S")</f>
        <v>S</v>
      </c>
      <c r="B377">
        <f>IF(OR(A377="S",A377=0),0,IF(ISERROR(I377),H377,SMALL(H377:I377,1)))</f>
        <v>0</v>
      </c>
      <c r="C377">
        <f ca="1">IF($A377=1,OFFSET(C377,-1,0)+1,OFFSET(C377,-1,0))</f>
        <v>15</v>
      </c>
      <c r="D377">
        <f ca="1">IF($A377=1,0,IF($A377=2,OFFSET(D377,-1,0)+1,OFFSET(D377,-1,0)))</f>
        <v>0</v>
      </c>
      <c r="E377">
        <f ca="1">IF(AND($A377&lt;=2,$A377&lt;&gt;0),0,IF($A377=3,OFFSET(E377,-1,0)+1,OFFSET(E377,-1,0)))</f>
        <v>0</v>
      </c>
      <c r="F377">
        <f ca="1">IF(AND($A377&lt;=3,$A377&lt;&gt;0),0,IF($A377=4,OFFSET(F377,-1,0)+1,OFFSET(F377,-1,0)))</f>
        <v>0</v>
      </c>
      <c r="G377">
        <f ca="1">IF(AND($A377&lt;=4,$A377&lt;&gt;0),0,IF($A377="S",OFFSET(G377,-1,0)+1,OFFSET(G377,-1,0)))</f>
        <v>34</v>
      </c>
      <c r="H377">
        <f t="shared" ca="1" si="51"/>
        <v>0</v>
      </c>
      <c r="I377">
        <f t="shared" ca="1" si="52"/>
        <v>0</v>
      </c>
      <c r="J377" s="356" t="s">
        <v>103</v>
      </c>
      <c r="K377" s="138" t="str">
        <f ca="1">IF($A377=0,"-",CONCATENATE(C377&amp;".",IF(AND($A$5&gt;=2,$A377&gt;=2),D377&amp;".",""),IF(AND($A$5&gt;=3,$A377&gt;=3),E377&amp;".",""),IF(AND($A$5&gt;=4,$A377&gt;=4),F377&amp;".",""),IF($A377="S",G377&amp;".","")))</f>
        <v>15.0.0.34.</v>
      </c>
      <c r="L377" s="357" t="s">
        <v>469</v>
      </c>
      <c r="M377" s="357" t="s">
        <v>806</v>
      </c>
      <c r="N377" s="358" t="s">
        <v>665</v>
      </c>
      <c r="O377" s="359" t="s">
        <v>590</v>
      </c>
      <c r="P377" s="360">
        <v>9.6999999999999993</v>
      </c>
      <c r="Q377" s="195"/>
      <c r="R377" s="198" t="s">
        <v>7</v>
      </c>
      <c r="S377" s="103">
        <f>IF($A377="S",IF($Q$10="Preço Unitário (R$)",PO.CustoUnitario,ROUND(PO.CustoUnitario*(1+$Z377),15-13*$X$6)),0)</f>
        <v>0</v>
      </c>
      <c r="T377" s="83">
        <f>IF($A377="S",VTOTAL1,IF($A377=0,0,ROUND(SomaAgrup,15-13*$X$7)))</f>
        <v>0</v>
      </c>
      <c r="U377" s="9" t="str">
        <f>IF($J377="","",IF($N377="","DESCRIÇÃO",IF(AND($J377="Serviço",$O377=""),"UNIDADE",IF($T377&lt;=0,"SEM VALOR",IF(AND($Y377&lt;&gt;"",$Q377&gt;$Y377),"ACIMA REF.","")))))</f>
        <v>SEM VALOR</v>
      </c>
      <c r="V377" s="1" t="str">
        <f ca="1">IF(OR($A377=0,$A377="S",$A377&gt;CFF!$A$9),"",MAX(V$12:OFFSET(V377,-1,0))+1)</f>
        <v/>
      </c>
      <c r="W377" s="4" t="str">
        <f>IF(AND($J377="Serviço",$M377&lt;&gt;""),IF($L377="",$M377,CONCATENATE($L377,"-",$M377)))</f>
        <v>FNDE-FNDE 449</v>
      </c>
      <c r="X377" s="1" t="e">
        <f ca="1">IF(AND(Fonte&lt;&gt;"",Código&lt;&gt;""),MATCH(Fonte&amp;" "&amp;IF(Fonte="sinapi",SUBSTITUTE(SUBSTITUTE(Código,"/00","/"),"/0","/"),Código),INDIRECT("'[Referência "&amp;_xlnm.Database&amp;".xls]Banco'!$a:$a"),0),"X")</f>
        <v>#N/A</v>
      </c>
      <c r="Y377" s="103">
        <v>177.94</v>
      </c>
      <c r="Z377" s="113">
        <f ca="1">ROUND(IF(ISNUMBER(R377),R377,IF(LEFT(R377,3)="BDI",HLOOKUP(R377,DADOS!$T$37:$X$38,2,FALSE),0)),15-11*$X$5)</f>
        <v>0.25</v>
      </c>
      <c r="AA377" s="1"/>
    </row>
    <row r="378" spans="1:27" x14ac:dyDescent="0.25">
      <c r="A378">
        <f t="shared" si="38"/>
        <v>1</v>
      </c>
      <c r="B378">
        <f t="shared" ca="1" si="39"/>
        <v>14</v>
      </c>
      <c r="C378">
        <f t="shared" ca="1" si="40"/>
        <v>16</v>
      </c>
      <c r="D378">
        <f t="shared" ca="1" si="41"/>
        <v>0</v>
      </c>
      <c r="E378">
        <f t="shared" ca="1" si="42"/>
        <v>0</v>
      </c>
      <c r="F378">
        <f t="shared" ca="1" si="43"/>
        <v>0</v>
      </c>
      <c r="G378">
        <f t="shared" ca="1" si="44"/>
        <v>0</v>
      </c>
      <c r="H378">
        <f t="shared" ca="1" si="51"/>
        <v>225</v>
      </c>
      <c r="I378">
        <f t="shared" ca="1" si="52"/>
        <v>14</v>
      </c>
      <c r="J378" s="356" t="s">
        <v>99</v>
      </c>
      <c r="K378" s="138" t="str">
        <f t="shared" ca="1" si="45"/>
        <v>16.</v>
      </c>
      <c r="L378" s="357"/>
      <c r="M378" s="357"/>
      <c r="N378" s="358" t="s">
        <v>472</v>
      </c>
      <c r="O378" s="359" t="s">
        <v>106</v>
      </c>
      <c r="P378" s="360"/>
      <c r="Q378" s="195"/>
      <c r="R378" s="198" t="s">
        <v>7</v>
      </c>
      <c r="S378" s="103">
        <f t="shared" si="46"/>
        <v>0</v>
      </c>
      <c r="T378" s="83">
        <f t="shared" ca="1" si="47"/>
        <v>0</v>
      </c>
      <c r="U378" s="9" t="str">
        <f t="shared" ca="1" si="48"/>
        <v>SEM VALOR</v>
      </c>
      <c r="V378" s="1">
        <f ca="1">IF(OR($A378=0,$A378="S",$A378&gt;CFF!$A$9),"",MAX(V$12:OFFSET(V378,-1,0))+1)</f>
        <v>56</v>
      </c>
      <c r="W378" s="4" t="b">
        <f t="shared" si="49"/>
        <v>0</v>
      </c>
      <c r="X378" s="1" t="str">
        <f t="shared" ca="1" si="50"/>
        <v>X</v>
      </c>
      <c r="Y378" s="103">
        <v>0</v>
      </c>
      <c r="Z378" s="113">
        <f ca="1">ROUND(IF(ISNUMBER(R378),R378,IF(LEFT(R378,3)="BDI",HLOOKUP(R378,DADOS!$T$37:$X$38,2,FALSE),0)),15-11*$X$5)</f>
        <v>0.25</v>
      </c>
      <c r="AA378" s="1"/>
    </row>
    <row r="379" spans="1:27" x14ac:dyDescent="0.25">
      <c r="A379" t="str">
        <f t="shared" si="38"/>
        <v>S</v>
      </c>
      <c r="B379">
        <f t="shared" si="39"/>
        <v>0</v>
      </c>
      <c r="C379">
        <f t="shared" ca="1" si="40"/>
        <v>16</v>
      </c>
      <c r="D379">
        <f t="shared" ca="1" si="41"/>
        <v>0</v>
      </c>
      <c r="E379">
        <f t="shared" ca="1" si="42"/>
        <v>0</v>
      </c>
      <c r="F379">
        <f t="shared" ca="1" si="43"/>
        <v>0</v>
      </c>
      <c r="G379">
        <f t="shared" ca="1" si="44"/>
        <v>1</v>
      </c>
      <c r="H379">
        <f t="shared" ca="1" si="51"/>
        <v>0</v>
      </c>
      <c r="I379">
        <f t="shared" ca="1" si="52"/>
        <v>0</v>
      </c>
      <c r="J379" s="356" t="s">
        <v>103</v>
      </c>
      <c r="K379" s="138" t="str">
        <f t="shared" ca="1" si="45"/>
        <v>16.0.0.1.</v>
      </c>
      <c r="L379" s="357" t="s">
        <v>469</v>
      </c>
      <c r="M379" s="357" t="s">
        <v>822</v>
      </c>
      <c r="N379" s="358" t="s">
        <v>826</v>
      </c>
      <c r="O379" s="359" t="s">
        <v>782</v>
      </c>
      <c r="P379" s="360">
        <v>1</v>
      </c>
      <c r="Q379" s="195"/>
      <c r="R379" s="198" t="s">
        <v>7</v>
      </c>
      <c r="S379" s="103">
        <f t="shared" si="46"/>
        <v>0</v>
      </c>
      <c r="T379" s="83">
        <f t="shared" si="47"/>
        <v>0</v>
      </c>
      <c r="U379" s="9" t="str">
        <f t="shared" si="48"/>
        <v>SEM VALOR</v>
      </c>
      <c r="V379" s="1" t="str">
        <f ca="1">IF(OR($A379=0,$A379="S",$A379&gt;CFF!$A$9),"",MAX(V$12:OFFSET(V379,-1,0))+1)</f>
        <v/>
      </c>
      <c r="W379" s="4" t="str">
        <f t="shared" si="49"/>
        <v>FNDE-FNDE 29</v>
      </c>
      <c r="X379" s="1" t="e">
        <f t="shared" ca="1" si="50"/>
        <v>#N/A</v>
      </c>
      <c r="Y379" s="103">
        <v>817.49</v>
      </c>
      <c r="Z379" s="113">
        <f ca="1">ROUND(IF(ISNUMBER(R379),R379,IF(LEFT(R379,3)="BDI",HLOOKUP(R379,DADOS!$T$37:$X$38,2,FALSE),0)),15-11*$X$5)</f>
        <v>0.25</v>
      </c>
      <c r="AA379" s="1"/>
    </row>
    <row r="380" spans="1:27" x14ac:dyDescent="0.25">
      <c r="A380" t="str">
        <f t="shared" si="38"/>
        <v>S</v>
      </c>
      <c r="B380">
        <f t="shared" si="39"/>
        <v>0</v>
      </c>
      <c r="C380">
        <f t="shared" ca="1" si="40"/>
        <v>16</v>
      </c>
      <c r="D380">
        <f t="shared" ca="1" si="41"/>
        <v>0</v>
      </c>
      <c r="E380">
        <f t="shared" ca="1" si="42"/>
        <v>0</v>
      </c>
      <c r="F380">
        <f t="shared" ca="1" si="43"/>
        <v>0</v>
      </c>
      <c r="G380">
        <f t="shared" ca="1" si="44"/>
        <v>2</v>
      </c>
      <c r="H380">
        <f t="shared" ca="1" si="51"/>
        <v>0</v>
      </c>
      <c r="I380">
        <f t="shared" ca="1" si="52"/>
        <v>0</v>
      </c>
      <c r="J380" s="356" t="s">
        <v>103</v>
      </c>
      <c r="K380" s="138" t="str">
        <f t="shared" ca="1" si="45"/>
        <v>16.0.0.2.</v>
      </c>
      <c r="L380" s="357" t="s">
        <v>233</v>
      </c>
      <c r="M380" s="357" t="s">
        <v>473</v>
      </c>
      <c r="N380" s="358" t="s">
        <v>1097</v>
      </c>
      <c r="O380" s="359" t="s">
        <v>470</v>
      </c>
      <c r="P380" s="360">
        <v>2</v>
      </c>
      <c r="Q380" s="195"/>
      <c r="R380" s="198" t="s">
        <v>7</v>
      </c>
      <c r="S380" s="103">
        <f t="shared" si="46"/>
        <v>0</v>
      </c>
      <c r="T380" s="83">
        <f t="shared" si="47"/>
        <v>0</v>
      </c>
      <c r="U380" s="9" t="str">
        <f t="shared" si="48"/>
        <v>SEM VALOR</v>
      </c>
      <c r="V380" s="1" t="str">
        <f ca="1">IF(OR($A380=0,$A380="S",$A380&gt;CFF!$A$9),"",MAX(V$12:OFFSET(V380,-1,0))+1)</f>
        <v/>
      </c>
      <c r="W380" s="4" t="str">
        <f t="shared" si="49"/>
        <v>SINAPI-103029</v>
      </c>
      <c r="X380" s="1">
        <f t="shared" ca="1" si="50"/>
        <v>5462</v>
      </c>
      <c r="Y380" s="103">
        <v>69.66</v>
      </c>
      <c r="Z380" s="113">
        <f ca="1">ROUND(IF(ISNUMBER(R380),R380,IF(LEFT(R380,3)="BDI",HLOOKUP(R380,DADOS!$T$37:$X$38,2,FALSE),0)),15-11*$X$5)</f>
        <v>0.25</v>
      </c>
      <c r="AA380" s="1"/>
    </row>
    <row r="381" spans="1:27" ht="26.4" x14ac:dyDescent="0.25">
      <c r="A381" t="str">
        <f t="shared" si="38"/>
        <v>S</v>
      </c>
      <c r="B381">
        <f t="shared" si="39"/>
        <v>0</v>
      </c>
      <c r="C381">
        <f t="shared" ca="1" si="40"/>
        <v>16</v>
      </c>
      <c r="D381">
        <f t="shared" ca="1" si="41"/>
        <v>0</v>
      </c>
      <c r="E381">
        <f t="shared" ca="1" si="42"/>
        <v>0</v>
      </c>
      <c r="F381">
        <f t="shared" ca="1" si="43"/>
        <v>0</v>
      </c>
      <c r="G381">
        <f t="shared" ca="1" si="44"/>
        <v>3</v>
      </c>
      <c r="H381">
        <f t="shared" ca="1" si="51"/>
        <v>0</v>
      </c>
      <c r="I381">
        <f t="shared" ca="1" si="52"/>
        <v>0</v>
      </c>
      <c r="J381" s="356" t="s">
        <v>103</v>
      </c>
      <c r="K381" s="138" t="str">
        <f t="shared" ca="1" si="45"/>
        <v>16.0.0.3.</v>
      </c>
      <c r="L381" s="357" t="s">
        <v>233</v>
      </c>
      <c r="M381" s="357" t="s">
        <v>474</v>
      </c>
      <c r="N381" s="358" t="s">
        <v>1098</v>
      </c>
      <c r="O381" s="359" t="s">
        <v>590</v>
      </c>
      <c r="P381" s="360">
        <v>45.8</v>
      </c>
      <c r="Q381" s="195"/>
      <c r="R381" s="198" t="s">
        <v>7</v>
      </c>
      <c r="S381" s="103">
        <f t="shared" si="46"/>
        <v>0</v>
      </c>
      <c r="T381" s="83">
        <f t="shared" si="47"/>
        <v>0</v>
      </c>
      <c r="U381" s="9" t="str">
        <f t="shared" si="48"/>
        <v>SEM VALOR</v>
      </c>
      <c r="V381" s="1" t="str">
        <f ca="1">IF(OR($A381=0,$A381="S",$A381&gt;CFF!$A$9),"",MAX(V$12:OFFSET(V381,-1,0))+1)</f>
        <v/>
      </c>
      <c r="W381" s="4" t="str">
        <f t="shared" si="49"/>
        <v>SINAPI-92688</v>
      </c>
      <c r="X381" s="1">
        <f t="shared" ca="1" si="50"/>
        <v>3669</v>
      </c>
      <c r="Y381" s="103">
        <v>48.16</v>
      </c>
      <c r="Z381" s="113">
        <f ca="1">ROUND(IF(ISNUMBER(R381),R381,IF(LEFT(R381,3)="BDI",HLOOKUP(R381,DADOS!$T$37:$X$38,2,FALSE),0)),15-11*$X$5)</f>
        <v>0.25</v>
      </c>
      <c r="AA381" s="1"/>
    </row>
    <row r="382" spans="1:27" x14ac:dyDescent="0.25">
      <c r="A382" t="str">
        <f t="shared" si="38"/>
        <v>S</v>
      </c>
      <c r="B382">
        <f t="shared" si="39"/>
        <v>0</v>
      </c>
      <c r="C382">
        <f t="shared" ca="1" si="40"/>
        <v>16</v>
      </c>
      <c r="D382">
        <f t="shared" ca="1" si="41"/>
        <v>0</v>
      </c>
      <c r="E382">
        <f t="shared" ca="1" si="42"/>
        <v>0</v>
      </c>
      <c r="F382">
        <f t="shared" ca="1" si="43"/>
        <v>0</v>
      </c>
      <c r="G382">
        <f t="shared" ca="1" si="44"/>
        <v>4</v>
      </c>
      <c r="H382">
        <f t="shared" ca="1" si="51"/>
        <v>0</v>
      </c>
      <c r="I382">
        <f t="shared" ca="1" si="52"/>
        <v>0</v>
      </c>
      <c r="J382" s="356" t="s">
        <v>103</v>
      </c>
      <c r="K382" s="138" t="str">
        <f t="shared" ca="1" si="45"/>
        <v>16.0.0.4.</v>
      </c>
      <c r="L382" s="357" t="s">
        <v>469</v>
      </c>
      <c r="M382" s="357" t="s">
        <v>823</v>
      </c>
      <c r="N382" s="358" t="s">
        <v>827</v>
      </c>
      <c r="O382" s="359" t="s">
        <v>782</v>
      </c>
      <c r="P382" s="360">
        <v>1</v>
      </c>
      <c r="Q382" s="195"/>
      <c r="R382" s="198" t="s">
        <v>7</v>
      </c>
      <c r="S382" s="103">
        <f t="shared" si="46"/>
        <v>0</v>
      </c>
      <c r="T382" s="83">
        <f t="shared" si="47"/>
        <v>0</v>
      </c>
      <c r="U382" s="9" t="str">
        <f t="shared" si="48"/>
        <v>SEM VALOR</v>
      </c>
      <c r="V382" s="1" t="str">
        <f ca="1">IF(OR($A382=0,$A382="S",$A382&gt;CFF!$A$9),"",MAX(V$12:OFFSET(V382,-1,0))+1)</f>
        <v/>
      </c>
      <c r="W382" s="4" t="str">
        <f t="shared" si="49"/>
        <v>FNDE-FNDE 301</v>
      </c>
      <c r="X382" s="1" t="e">
        <f t="shared" ca="1" si="50"/>
        <v>#N/A</v>
      </c>
      <c r="Y382" s="103">
        <v>22.21</v>
      </c>
      <c r="Z382" s="113">
        <f ca="1">ROUND(IF(ISNUMBER(R382),R382,IF(LEFT(R382,3)="BDI",HLOOKUP(R382,DADOS!$T$37:$X$38,2,FALSE),0)),15-11*$X$5)</f>
        <v>0.25</v>
      </c>
      <c r="AA382" s="1"/>
    </row>
    <row r="383" spans="1:27" x14ac:dyDescent="0.25">
      <c r="A383" t="str">
        <f t="shared" si="38"/>
        <v>S</v>
      </c>
      <c r="B383">
        <f t="shared" si="39"/>
        <v>0</v>
      </c>
      <c r="C383">
        <f t="shared" ca="1" si="40"/>
        <v>16</v>
      </c>
      <c r="D383">
        <f t="shared" ca="1" si="41"/>
        <v>0</v>
      </c>
      <c r="E383">
        <f t="shared" ca="1" si="42"/>
        <v>0</v>
      </c>
      <c r="F383">
        <f t="shared" ca="1" si="43"/>
        <v>0</v>
      </c>
      <c r="G383">
        <f t="shared" ca="1" si="44"/>
        <v>5</v>
      </c>
      <c r="H383">
        <f t="shared" ca="1" si="51"/>
        <v>0</v>
      </c>
      <c r="I383">
        <f t="shared" ca="1" si="52"/>
        <v>0</v>
      </c>
      <c r="J383" s="356" t="s">
        <v>103</v>
      </c>
      <c r="K383" s="138" t="str">
        <f t="shared" ca="1" si="45"/>
        <v>16.0.0.5.</v>
      </c>
      <c r="L383" s="357" t="s">
        <v>469</v>
      </c>
      <c r="M383" s="357" t="s">
        <v>824</v>
      </c>
      <c r="N383" s="358" t="s">
        <v>828</v>
      </c>
      <c r="O383" s="359" t="s">
        <v>816</v>
      </c>
      <c r="P383" s="360">
        <v>4</v>
      </c>
      <c r="Q383" s="195"/>
      <c r="R383" s="198" t="s">
        <v>7</v>
      </c>
      <c r="S383" s="103">
        <f t="shared" si="46"/>
        <v>0</v>
      </c>
      <c r="T383" s="83">
        <f t="shared" si="47"/>
        <v>0</v>
      </c>
      <c r="U383" s="9" t="str">
        <f t="shared" si="48"/>
        <v>SEM VALOR</v>
      </c>
      <c r="V383" s="1" t="str">
        <f ca="1">IF(OR($A383=0,$A383="S",$A383&gt;CFF!$A$9),"",MAX(V$12:OFFSET(V383,-1,0))+1)</f>
        <v/>
      </c>
      <c r="W383" s="4" t="str">
        <f t="shared" si="49"/>
        <v>FNDE-FNDE 260</v>
      </c>
      <c r="X383" s="1" t="e">
        <f t="shared" ca="1" si="50"/>
        <v>#N/A</v>
      </c>
      <c r="Y383" s="103">
        <v>34.950000000000003</v>
      </c>
      <c r="Z383" s="113">
        <f ca="1">ROUND(IF(ISNUMBER(R383),R383,IF(LEFT(R383,3)="BDI",HLOOKUP(R383,DADOS!$T$37:$X$38,2,FALSE),0)),15-11*$X$5)</f>
        <v>0.25</v>
      </c>
      <c r="AA383" s="1"/>
    </row>
    <row r="384" spans="1:27" x14ac:dyDescent="0.25">
      <c r="A384" t="str">
        <f t="shared" si="38"/>
        <v>S</v>
      </c>
      <c r="B384">
        <f t="shared" si="39"/>
        <v>0</v>
      </c>
      <c r="C384">
        <f t="shared" ca="1" si="40"/>
        <v>16</v>
      </c>
      <c r="D384">
        <f t="shared" ca="1" si="41"/>
        <v>0</v>
      </c>
      <c r="E384">
        <f t="shared" ca="1" si="42"/>
        <v>0</v>
      </c>
      <c r="F384">
        <f t="shared" ca="1" si="43"/>
        <v>0</v>
      </c>
      <c r="G384">
        <f t="shared" ca="1" si="44"/>
        <v>6</v>
      </c>
      <c r="H384">
        <f t="shared" ca="1" si="51"/>
        <v>0</v>
      </c>
      <c r="I384">
        <f t="shared" ca="1" si="52"/>
        <v>0</v>
      </c>
      <c r="J384" s="356" t="s">
        <v>103</v>
      </c>
      <c r="K384" s="138" t="str">
        <f t="shared" ca="1" si="45"/>
        <v>16.0.0.6.</v>
      </c>
      <c r="L384" s="357" t="s">
        <v>233</v>
      </c>
      <c r="M384" s="357" t="s">
        <v>475</v>
      </c>
      <c r="N384" s="358" t="s">
        <v>1099</v>
      </c>
      <c r="O384" s="359" t="s">
        <v>470</v>
      </c>
      <c r="P384" s="360">
        <v>2</v>
      </c>
      <c r="Q384" s="195"/>
      <c r="R384" s="198" t="s">
        <v>7</v>
      </c>
      <c r="S384" s="103">
        <f t="shared" si="46"/>
        <v>0</v>
      </c>
      <c r="T384" s="83">
        <f t="shared" si="47"/>
        <v>0</v>
      </c>
      <c r="U384" s="9" t="str">
        <f t="shared" si="48"/>
        <v>SEM VALOR</v>
      </c>
      <c r="V384" s="1" t="str">
        <f ca="1">IF(OR($A384=0,$A384="S",$A384&gt;CFF!$A$9),"",MAX(V$12:OFFSET(V384,-1,0))+1)</f>
        <v/>
      </c>
      <c r="W384" s="4" t="str">
        <f t="shared" si="49"/>
        <v>SINAPI-95248</v>
      </c>
      <c r="X384" s="1">
        <f t="shared" ca="1" si="50"/>
        <v>5427</v>
      </c>
      <c r="Y384" s="103">
        <v>80.760000000000005</v>
      </c>
      <c r="Z384" s="113">
        <f ca="1">ROUND(IF(ISNUMBER(R384),R384,IF(LEFT(R384,3)="BDI",HLOOKUP(R384,DADOS!$T$37:$X$38,2,FALSE),0)),15-11*$X$5)</f>
        <v>0.25</v>
      </c>
      <c r="AA384" s="1"/>
    </row>
    <row r="385" spans="1:27" x14ac:dyDescent="0.25">
      <c r="A385" t="str">
        <f t="shared" si="38"/>
        <v>S</v>
      </c>
      <c r="B385">
        <f t="shared" si="39"/>
        <v>0</v>
      </c>
      <c r="C385">
        <f t="shared" ca="1" si="40"/>
        <v>16</v>
      </c>
      <c r="D385">
        <f t="shared" ca="1" si="41"/>
        <v>0</v>
      </c>
      <c r="E385">
        <f t="shared" ca="1" si="42"/>
        <v>0</v>
      </c>
      <c r="F385">
        <f t="shared" ca="1" si="43"/>
        <v>0</v>
      </c>
      <c r="G385">
        <f t="shared" ca="1" si="44"/>
        <v>7</v>
      </c>
      <c r="H385">
        <f t="shared" ca="1" si="51"/>
        <v>0</v>
      </c>
      <c r="I385">
        <f t="shared" ca="1" si="52"/>
        <v>0</v>
      </c>
      <c r="J385" s="356" t="s">
        <v>103</v>
      </c>
      <c r="K385" s="138" t="str">
        <f t="shared" ca="1" si="45"/>
        <v>16.0.0.7.</v>
      </c>
      <c r="L385" s="357" t="s">
        <v>233</v>
      </c>
      <c r="M385" s="357" t="s">
        <v>476</v>
      </c>
      <c r="N385" s="358" t="s">
        <v>1100</v>
      </c>
      <c r="O385" s="359" t="s">
        <v>470</v>
      </c>
      <c r="P385" s="360">
        <v>4</v>
      </c>
      <c r="Q385" s="195"/>
      <c r="R385" s="198" t="s">
        <v>7</v>
      </c>
      <c r="S385" s="103">
        <f t="shared" si="46"/>
        <v>0</v>
      </c>
      <c r="T385" s="83">
        <f t="shared" si="47"/>
        <v>0</v>
      </c>
      <c r="U385" s="9" t="str">
        <f t="shared" si="48"/>
        <v>SEM VALOR</v>
      </c>
      <c r="V385" s="1" t="str">
        <f ca="1">IF(OR($A385=0,$A385="S",$A385&gt;CFF!$A$9),"",MAX(V$12:OFFSET(V385,-1,0))+1)</f>
        <v/>
      </c>
      <c r="W385" s="4" t="str">
        <f t="shared" si="49"/>
        <v>SINAPI-95249</v>
      </c>
      <c r="X385" s="1">
        <f t="shared" ca="1" si="50"/>
        <v>5428</v>
      </c>
      <c r="Y385" s="103">
        <v>95.04</v>
      </c>
      <c r="Z385" s="113">
        <f ca="1">ROUND(IF(ISNUMBER(R385),R385,IF(LEFT(R385,3)="BDI",HLOOKUP(R385,DADOS!$T$37:$X$38,2,FALSE),0)),15-11*$X$5)</f>
        <v>0.25</v>
      </c>
      <c r="AA385" s="1"/>
    </row>
    <row r="386" spans="1:27" ht="26.4" x14ac:dyDescent="0.25">
      <c r="A386" t="str">
        <f t="shared" si="38"/>
        <v>S</v>
      </c>
      <c r="B386">
        <f t="shared" si="39"/>
        <v>0</v>
      </c>
      <c r="C386">
        <f t="shared" ca="1" si="40"/>
        <v>16</v>
      </c>
      <c r="D386">
        <f t="shared" ca="1" si="41"/>
        <v>0</v>
      </c>
      <c r="E386">
        <f t="shared" ca="1" si="42"/>
        <v>0</v>
      </c>
      <c r="F386">
        <f t="shared" ca="1" si="43"/>
        <v>0</v>
      </c>
      <c r="G386">
        <f t="shared" ca="1" si="44"/>
        <v>8</v>
      </c>
      <c r="H386">
        <f t="shared" ca="1" si="51"/>
        <v>0</v>
      </c>
      <c r="I386">
        <f t="shared" ca="1" si="52"/>
        <v>0</v>
      </c>
      <c r="J386" s="356" t="s">
        <v>103</v>
      </c>
      <c r="K386" s="138" t="str">
        <f t="shared" ca="1" si="45"/>
        <v>16.0.0.8.</v>
      </c>
      <c r="L386" s="357" t="s">
        <v>233</v>
      </c>
      <c r="M386" s="357" t="s">
        <v>477</v>
      </c>
      <c r="N386" s="358" t="s">
        <v>1101</v>
      </c>
      <c r="O386" s="359" t="s">
        <v>470</v>
      </c>
      <c r="P386" s="360">
        <v>1</v>
      </c>
      <c r="Q386" s="195"/>
      <c r="R386" s="198" t="s">
        <v>7</v>
      </c>
      <c r="S386" s="103">
        <f t="shared" si="46"/>
        <v>0</v>
      </c>
      <c r="T386" s="83">
        <f t="shared" si="47"/>
        <v>0</v>
      </c>
      <c r="U386" s="9" t="str">
        <f t="shared" si="48"/>
        <v>SEM VALOR</v>
      </c>
      <c r="V386" s="1" t="str">
        <f ca="1">IF(OR($A386=0,$A386="S",$A386&gt;CFF!$A$9),"",MAX(V$12:OFFSET(V386,-1,0))+1)</f>
        <v/>
      </c>
      <c r="W386" s="4" t="str">
        <f t="shared" si="49"/>
        <v>SINAPI-92705</v>
      </c>
      <c r="X386" s="1">
        <f t="shared" ca="1" si="50"/>
        <v>4350</v>
      </c>
      <c r="Y386" s="103">
        <v>55.2</v>
      </c>
      <c r="Z386" s="113">
        <f ca="1">ROUND(IF(ISNUMBER(R386),R386,IF(LEFT(R386,3)="BDI",HLOOKUP(R386,DADOS!$T$37:$X$38,2,FALSE),0)),15-11*$X$5)</f>
        <v>0.25</v>
      </c>
      <c r="AA386" s="1"/>
    </row>
    <row r="387" spans="1:27" ht="26.4" x14ac:dyDescent="0.25">
      <c r="A387" t="str">
        <f t="shared" si="38"/>
        <v>S</v>
      </c>
      <c r="B387">
        <f t="shared" si="39"/>
        <v>0</v>
      </c>
      <c r="C387">
        <f t="shared" ca="1" si="40"/>
        <v>16</v>
      </c>
      <c r="D387">
        <f t="shared" ca="1" si="41"/>
        <v>0</v>
      </c>
      <c r="E387">
        <f t="shared" ca="1" si="42"/>
        <v>0</v>
      </c>
      <c r="F387">
        <f t="shared" ca="1" si="43"/>
        <v>0</v>
      </c>
      <c r="G387">
        <f t="shared" ca="1" si="44"/>
        <v>9</v>
      </c>
      <c r="H387">
        <f t="shared" ca="1" si="51"/>
        <v>0</v>
      </c>
      <c r="I387">
        <f t="shared" ca="1" si="52"/>
        <v>0</v>
      </c>
      <c r="J387" s="356" t="s">
        <v>103</v>
      </c>
      <c r="K387" s="138" t="str">
        <f t="shared" ca="1" si="45"/>
        <v>16.0.0.9.</v>
      </c>
      <c r="L387" s="357" t="s">
        <v>233</v>
      </c>
      <c r="M387" s="357" t="s">
        <v>478</v>
      </c>
      <c r="N387" s="358" t="s">
        <v>1102</v>
      </c>
      <c r="O387" s="359" t="s">
        <v>470</v>
      </c>
      <c r="P387" s="360">
        <v>8</v>
      </c>
      <c r="Q387" s="195"/>
      <c r="R387" s="198" t="s">
        <v>7</v>
      </c>
      <c r="S387" s="103">
        <f t="shared" si="46"/>
        <v>0</v>
      </c>
      <c r="T387" s="83">
        <f t="shared" si="47"/>
        <v>0</v>
      </c>
      <c r="U387" s="9" t="str">
        <f t="shared" si="48"/>
        <v>SEM VALOR</v>
      </c>
      <c r="V387" s="1" t="str">
        <f ca="1">IF(OR($A387=0,$A387="S",$A387&gt;CFF!$A$9),"",MAX(V$12:OFFSET(V387,-1,0))+1)</f>
        <v/>
      </c>
      <c r="W387" s="4" t="str">
        <f t="shared" si="49"/>
        <v>SINAPI-92695</v>
      </c>
      <c r="X387" s="1">
        <f t="shared" ca="1" si="50"/>
        <v>4340</v>
      </c>
      <c r="Y387" s="103">
        <v>29.5</v>
      </c>
      <c r="Z387" s="113">
        <f ca="1">ROUND(IF(ISNUMBER(R387),R387,IF(LEFT(R387,3)="BDI",HLOOKUP(R387,DADOS!$T$37:$X$38,2,FALSE),0)),15-11*$X$5)</f>
        <v>0.25</v>
      </c>
      <c r="AA387" s="1"/>
    </row>
    <row r="388" spans="1:27" ht="26.4" x14ac:dyDescent="0.25">
      <c r="A388" t="str">
        <f t="shared" si="38"/>
        <v>S</v>
      </c>
      <c r="B388">
        <f t="shared" si="39"/>
        <v>0</v>
      </c>
      <c r="C388">
        <f t="shared" ca="1" si="40"/>
        <v>16</v>
      </c>
      <c r="D388">
        <f t="shared" ca="1" si="41"/>
        <v>0</v>
      </c>
      <c r="E388">
        <f t="shared" ca="1" si="42"/>
        <v>0</v>
      </c>
      <c r="F388">
        <f t="shared" ca="1" si="43"/>
        <v>0</v>
      </c>
      <c r="G388">
        <f t="shared" ca="1" si="44"/>
        <v>10</v>
      </c>
      <c r="H388">
        <f t="shared" ca="1" si="51"/>
        <v>0</v>
      </c>
      <c r="I388">
        <f t="shared" ca="1" si="52"/>
        <v>0</v>
      </c>
      <c r="J388" s="356" t="s">
        <v>103</v>
      </c>
      <c r="K388" s="138" t="str">
        <f t="shared" ca="1" si="45"/>
        <v>16.0.0.10.</v>
      </c>
      <c r="L388" s="357" t="s">
        <v>233</v>
      </c>
      <c r="M388" s="357" t="s">
        <v>479</v>
      </c>
      <c r="N388" s="358" t="s">
        <v>1103</v>
      </c>
      <c r="O388" s="359" t="s">
        <v>470</v>
      </c>
      <c r="P388" s="360">
        <v>2</v>
      </c>
      <c r="Q388" s="195"/>
      <c r="R388" s="198" t="s">
        <v>7</v>
      </c>
      <c r="S388" s="103">
        <f t="shared" si="46"/>
        <v>0</v>
      </c>
      <c r="T388" s="83">
        <f t="shared" si="47"/>
        <v>0</v>
      </c>
      <c r="U388" s="9" t="str">
        <f t="shared" si="48"/>
        <v>SEM VALOR</v>
      </c>
      <c r="V388" s="1" t="str">
        <f ca="1">IF(OR($A388=0,$A388="S",$A388&gt;CFF!$A$9),"",MAX(V$12:OFFSET(V388,-1,0))+1)</f>
        <v/>
      </c>
      <c r="W388" s="4" t="str">
        <f t="shared" si="49"/>
        <v>SINAPI-97548</v>
      </c>
      <c r="X388" s="1">
        <f t="shared" ca="1" si="50"/>
        <v>4862</v>
      </c>
      <c r="Y388" s="103">
        <v>95.74</v>
      </c>
      <c r="Z388" s="113">
        <f ca="1">ROUND(IF(ISNUMBER(R388),R388,IF(LEFT(R388,3)="BDI",HLOOKUP(R388,DADOS!$T$37:$X$38,2,FALSE),0)),15-11*$X$5)</f>
        <v>0.25</v>
      </c>
      <c r="AA388" s="1"/>
    </row>
    <row r="389" spans="1:27" ht="26.4" x14ac:dyDescent="0.25">
      <c r="A389" t="str">
        <f t="shared" si="38"/>
        <v>S</v>
      </c>
      <c r="B389">
        <f t="shared" si="39"/>
        <v>0</v>
      </c>
      <c r="C389">
        <f t="shared" ca="1" si="40"/>
        <v>16</v>
      </c>
      <c r="D389">
        <f t="shared" ca="1" si="41"/>
        <v>0</v>
      </c>
      <c r="E389">
        <f t="shared" ca="1" si="42"/>
        <v>0</v>
      </c>
      <c r="F389">
        <f t="shared" ca="1" si="43"/>
        <v>0</v>
      </c>
      <c r="G389">
        <f t="shared" ca="1" si="44"/>
        <v>11</v>
      </c>
      <c r="H389">
        <f t="shared" ca="1" si="51"/>
        <v>0</v>
      </c>
      <c r="I389">
        <f t="shared" ca="1" si="52"/>
        <v>0</v>
      </c>
      <c r="J389" s="356" t="s">
        <v>103</v>
      </c>
      <c r="K389" s="138" t="str">
        <f t="shared" ca="1" si="45"/>
        <v>16.0.0.11.</v>
      </c>
      <c r="L389" s="357" t="s">
        <v>233</v>
      </c>
      <c r="M389" s="357" t="s">
        <v>480</v>
      </c>
      <c r="N389" s="358" t="s">
        <v>1104</v>
      </c>
      <c r="O389" s="359" t="s">
        <v>470</v>
      </c>
      <c r="P389" s="360">
        <v>6</v>
      </c>
      <c r="Q389" s="195"/>
      <c r="R389" s="198" t="s">
        <v>7</v>
      </c>
      <c r="S389" s="103">
        <f t="shared" si="46"/>
        <v>0</v>
      </c>
      <c r="T389" s="83">
        <f t="shared" si="47"/>
        <v>0</v>
      </c>
      <c r="U389" s="9" t="str">
        <f t="shared" si="48"/>
        <v>SEM VALOR</v>
      </c>
      <c r="V389" s="1" t="str">
        <f ca="1">IF(OR($A389=0,$A389="S",$A389&gt;CFF!$A$9),"",MAX(V$12:OFFSET(V389,-1,0))+1)</f>
        <v/>
      </c>
      <c r="W389" s="4" t="str">
        <f t="shared" si="49"/>
        <v>SINAPI-97549</v>
      </c>
      <c r="X389" s="1">
        <f t="shared" ca="1" si="50"/>
        <v>4863</v>
      </c>
      <c r="Y389" s="103">
        <v>95.74</v>
      </c>
      <c r="Z389" s="113">
        <f ca="1">ROUND(IF(ISNUMBER(R389),R389,IF(LEFT(R389,3)="BDI",HLOOKUP(R389,DADOS!$T$37:$X$38,2,FALSE),0)),15-11*$X$5)</f>
        <v>0.25</v>
      </c>
      <c r="AA389" s="1"/>
    </row>
    <row r="390" spans="1:27" ht="26.4" x14ac:dyDescent="0.25">
      <c r="A390" t="str">
        <f t="shared" si="38"/>
        <v>S</v>
      </c>
      <c r="B390">
        <f t="shared" si="39"/>
        <v>0</v>
      </c>
      <c r="C390">
        <f t="shared" ca="1" si="40"/>
        <v>16</v>
      </c>
      <c r="D390">
        <f t="shared" ca="1" si="41"/>
        <v>0</v>
      </c>
      <c r="E390">
        <f t="shared" ca="1" si="42"/>
        <v>0</v>
      </c>
      <c r="F390">
        <f t="shared" ca="1" si="43"/>
        <v>0</v>
      </c>
      <c r="G390">
        <f t="shared" ca="1" si="44"/>
        <v>12</v>
      </c>
      <c r="H390">
        <f t="shared" ca="1" si="51"/>
        <v>0</v>
      </c>
      <c r="I390">
        <f t="shared" ca="1" si="52"/>
        <v>0</v>
      </c>
      <c r="J390" s="356" t="s">
        <v>103</v>
      </c>
      <c r="K390" s="138" t="str">
        <f t="shared" ca="1" si="45"/>
        <v>16.0.0.12.</v>
      </c>
      <c r="L390" s="357" t="s">
        <v>233</v>
      </c>
      <c r="M390" s="357" t="s">
        <v>481</v>
      </c>
      <c r="N390" s="358" t="s">
        <v>1105</v>
      </c>
      <c r="O390" s="359" t="s">
        <v>470</v>
      </c>
      <c r="P390" s="360">
        <v>2</v>
      </c>
      <c r="Q390" s="195"/>
      <c r="R390" s="198" t="s">
        <v>7</v>
      </c>
      <c r="S390" s="103">
        <f t="shared" si="46"/>
        <v>0</v>
      </c>
      <c r="T390" s="83">
        <f t="shared" si="47"/>
        <v>0</v>
      </c>
      <c r="U390" s="9" t="str">
        <f t="shared" si="48"/>
        <v>SEM VALOR</v>
      </c>
      <c r="V390" s="1" t="str">
        <f ca="1">IF(OR($A390=0,$A390="S",$A390&gt;CFF!$A$9),"",MAX(V$12:OFFSET(V390,-1,0))+1)</f>
        <v/>
      </c>
      <c r="W390" s="4" t="str">
        <f t="shared" si="49"/>
        <v>SINAPI-97547</v>
      </c>
      <c r="X390" s="1">
        <f t="shared" ca="1" si="50"/>
        <v>4861</v>
      </c>
      <c r="Y390" s="103">
        <v>66.63</v>
      </c>
      <c r="Z390" s="113">
        <f ca="1">ROUND(IF(ISNUMBER(R390),R390,IF(LEFT(R390,3)="BDI",HLOOKUP(R390,DADOS!$T$37:$X$38,2,FALSE),0)),15-11*$X$5)</f>
        <v>0.25</v>
      </c>
      <c r="AA390" s="1"/>
    </row>
    <row r="391" spans="1:27" ht="26.4" x14ac:dyDescent="0.25">
      <c r="A391" t="str">
        <f t="shared" si="38"/>
        <v>S</v>
      </c>
      <c r="B391">
        <f t="shared" si="39"/>
        <v>0</v>
      </c>
      <c r="C391">
        <f t="shared" ca="1" si="40"/>
        <v>16</v>
      </c>
      <c r="D391">
        <f t="shared" ca="1" si="41"/>
        <v>0</v>
      </c>
      <c r="E391">
        <f t="shared" ca="1" si="42"/>
        <v>0</v>
      </c>
      <c r="F391">
        <f t="shared" ca="1" si="43"/>
        <v>0</v>
      </c>
      <c r="G391">
        <f t="shared" ca="1" si="44"/>
        <v>13</v>
      </c>
      <c r="H391">
        <f t="shared" ca="1" si="51"/>
        <v>0</v>
      </c>
      <c r="I391">
        <f t="shared" ca="1" si="52"/>
        <v>0</v>
      </c>
      <c r="J391" s="356" t="s">
        <v>103</v>
      </c>
      <c r="K391" s="138" t="str">
        <f t="shared" ca="1" si="45"/>
        <v>16.0.0.13.</v>
      </c>
      <c r="L391" s="357" t="s">
        <v>469</v>
      </c>
      <c r="M391" s="357" t="s">
        <v>825</v>
      </c>
      <c r="N391" s="358" t="s">
        <v>829</v>
      </c>
      <c r="O391" s="359" t="s">
        <v>635</v>
      </c>
      <c r="P391" s="360">
        <v>0.24</v>
      </c>
      <c r="Q391" s="195"/>
      <c r="R391" s="198" t="s">
        <v>7</v>
      </c>
      <c r="S391" s="103">
        <f t="shared" si="46"/>
        <v>0</v>
      </c>
      <c r="T391" s="83">
        <f t="shared" si="47"/>
        <v>0</v>
      </c>
      <c r="U391" s="9" t="str">
        <f t="shared" si="48"/>
        <v>SEM VALOR</v>
      </c>
      <c r="V391" s="1" t="str">
        <f ca="1">IF(OR($A391=0,$A391="S",$A391&gt;CFF!$A$9),"",MAX(V$12:OFFSET(V391,-1,0))+1)</f>
        <v/>
      </c>
      <c r="W391" s="4" t="str">
        <f t="shared" si="49"/>
        <v>FNDE-FNDE 302</v>
      </c>
      <c r="X391" s="1" t="e">
        <f t="shared" ca="1" si="50"/>
        <v>#N/A</v>
      </c>
      <c r="Y391" s="103">
        <v>622.98</v>
      </c>
      <c r="Z391" s="113">
        <f ca="1">ROUND(IF(ISNUMBER(R391),R391,IF(LEFT(R391,3)="BDI",HLOOKUP(R391,DADOS!$T$37:$X$38,2,FALSE),0)),15-11*$X$5)</f>
        <v>0.25</v>
      </c>
      <c r="AA391" s="1"/>
    </row>
    <row r="392" spans="1:27" x14ac:dyDescent="0.25">
      <c r="A392">
        <f t="shared" si="38"/>
        <v>1</v>
      </c>
      <c r="B392">
        <f t="shared" ca="1" si="39"/>
        <v>26</v>
      </c>
      <c r="C392">
        <f t="shared" ca="1" si="40"/>
        <v>17</v>
      </c>
      <c r="D392">
        <f t="shared" ca="1" si="41"/>
        <v>0</v>
      </c>
      <c r="E392">
        <f t="shared" ca="1" si="42"/>
        <v>0</v>
      </c>
      <c r="F392">
        <f t="shared" ca="1" si="43"/>
        <v>0</v>
      </c>
      <c r="G392">
        <f t="shared" ca="1" si="44"/>
        <v>0</v>
      </c>
      <c r="H392">
        <f t="shared" ca="1" si="51"/>
        <v>211</v>
      </c>
      <c r="I392">
        <f t="shared" ca="1" si="52"/>
        <v>26</v>
      </c>
      <c r="J392" s="356" t="s">
        <v>99</v>
      </c>
      <c r="K392" s="138" t="str">
        <f t="shared" ca="1" si="45"/>
        <v>17.</v>
      </c>
      <c r="L392" s="357"/>
      <c r="M392" s="357"/>
      <c r="N392" s="358" t="s">
        <v>830</v>
      </c>
      <c r="O392" s="359" t="s">
        <v>106</v>
      </c>
      <c r="P392" s="360"/>
      <c r="Q392" s="195"/>
      <c r="R392" s="198" t="s">
        <v>7</v>
      </c>
      <c r="S392" s="103">
        <f t="shared" si="46"/>
        <v>0</v>
      </c>
      <c r="T392" s="83">
        <f t="shared" ca="1" si="47"/>
        <v>0</v>
      </c>
      <c r="U392" s="9" t="str">
        <f t="shared" ca="1" si="48"/>
        <v>SEM VALOR</v>
      </c>
      <c r="V392" s="1">
        <f ca="1">IF(OR($A392=0,$A392="S",$A392&gt;CFF!$A$9),"",MAX(V$12:OFFSET(V392,-1,0))+1)</f>
        <v>57</v>
      </c>
      <c r="W392" s="4" t="b">
        <f t="shared" si="49"/>
        <v>0</v>
      </c>
      <c r="X392" s="1" t="str">
        <f t="shared" ca="1" si="50"/>
        <v>X</v>
      </c>
      <c r="Y392" s="103">
        <v>0</v>
      </c>
      <c r="Z392" s="113">
        <f ca="1">ROUND(IF(ISNUMBER(R392),R392,IF(LEFT(R392,3)="BDI",HLOOKUP(R392,DADOS!$T$37:$X$38,2,FALSE),0)),15-11*$X$5)</f>
        <v>0.25</v>
      </c>
      <c r="AA392" s="1"/>
    </row>
    <row r="393" spans="1:27" x14ac:dyDescent="0.25">
      <c r="A393">
        <f>CHOOSE(1+LOG(1+2*(J393="Meta")+4*(J393="Nível 2")+8*(J393="Nível 3")+16*(J393="Nível 4")+32*(J393="Serviço"),2),0,1,2,3,4,"S")</f>
        <v>2</v>
      </c>
      <c r="B393">
        <f ca="1">IF(OR(A393="S",A393=0),0,IF(ISERROR(I393),H393,SMALL(H393:I393,1)))</f>
        <v>3</v>
      </c>
      <c r="C393">
        <f ca="1">IF($A393=1,OFFSET(C393,-1,0)+1,OFFSET(C393,-1,0))</f>
        <v>17</v>
      </c>
      <c r="D393">
        <f ca="1">IF($A393=1,0,IF($A393=2,OFFSET(D393,-1,0)+1,OFFSET(D393,-1,0)))</f>
        <v>1</v>
      </c>
      <c r="E393">
        <f ca="1">IF(AND($A393&lt;=2,$A393&lt;&gt;0),0,IF($A393=3,OFFSET(E393,-1,0)+1,OFFSET(E393,-1,0)))</f>
        <v>0</v>
      </c>
      <c r="F393">
        <f ca="1">IF(AND($A393&lt;=3,$A393&lt;&gt;0),0,IF($A393=4,OFFSET(F393,-1,0)+1,OFFSET(F393,-1,0)))</f>
        <v>0</v>
      </c>
      <c r="G393">
        <f ca="1">IF(AND($A393&lt;=4,$A393&lt;&gt;0),0,IF($A393="S",OFFSET(G393,-1,0)+1,OFFSET(G393,-1,0)))</f>
        <v>0</v>
      </c>
      <c r="H393">
        <f t="shared" ca="1" si="51"/>
        <v>25</v>
      </c>
      <c r="I393">
        <f t="shared" ca="1" si="52"/>
        <v>3</v>
      </c>
      <c r="J393" s="356" t="s">
        <v>100</v>
      </c>
      <c r="K393" s="138" t="str">
        <f ca="1">IF($A393=0,"-",CONCATENATE(C393&amp;".",IF(AND($A$5&gt;=2,$A393&gt;=2),D393&amp;".",""),IF(AND($A$5&gt;=3,$A393&gt;=3),E393&amp;".",""),IF(AND($A$5&gt;=4,$A393&gt;=4),F393&amp;".",""),IF($A393="S",G393&amp;".","")))</f>
        <v>17.1.</v>
      </c>
      <c r="L393" s="357"/>
      <c r="M393" s="357"/>
      <c r="N393" s="358" t="s">
        <v>666</v>
      </c>
      <c r="O393" s="359" t="s">
        <v>106</v>
      </c>
      <c r="P393" s="360"/>
      <c r="Q393" s="195"/>
      <c r="R393" s="198" t="s">
        <v>7</v>
      </c>
      <c r="S393" s="103">
        <f>IF($A393="S",IF($Q$10="Preço Unitário (R$)",PO.CustoUnitario,ROUND(PO.CustoUnitario*(1+$Z393),15-13*$X$6)),0)</f>
        <v>0</v>
      </c>
      <c r="T393" s="83">
        <f ca="1">IF($A393="S",VTOTAL1,IF($A393=0,0,ROUND(SomaAgrup,15-13*$X$7)))</f>
        <v>0</v>
      </c>
      <c r="U393" s="9" t="str">
        <f ca="1">IF($J393="","",IF($N393="","DESCRIÇÃO",IF(AND($J393="Serviço",$O393=""),"UNIDADE",IF($T393&lt;=0,"SEM VALOR",IF(AND($Y393&lt;&gt;"",$Q393&gt;$Y393),"ACIMA REF.","")))))</f>
        <v>SEM VALOR</v>
      </c>
      <c r="V393" s="1">
        <f ca="1">IF(OR($A393=0,$A393="S",$A393&gt;CFF!$A$9),"",MAX(V$12:OFFSET(V393,-1,0))+1)</f>
        <v>58</v>
      </c>
      <c r="W393" s="4" t="b">
        <f>IF(AND($J393="Serviço",$M393&lt;&gt;""),IF($L393="",$M393,CONCATENATE($L393,"-",$M393)))</f>
        <v>0</v>
      </c>
      <c r="X393" s="1" t="str">
        <f ca="1">IF(AND(Fonte&lt;&gt;"",Código&lt;&gt;""),MATCH(Fonte&amp;" "&amp;IF(Fonte="sinapi",SUBSTITUTE(SUBSTITUTE(Código,"/00","/"),"/0","/"),Código),INDIRECT("'[Referência "&amp;_xlnm.Database&amp;".xls]Banco'!$a:$a"),0),"X")</f>
        <v>X</v>
      </c>
      <c r="Y393" s="103">
        <v>0</v>
      </c>
      <c r="Z393" s="113">
        <f ca="1">ROUND(IF(ISNUMBER(R393),R393,IF(LEFT(R393,3)="BDI",HLOOKUP(R393,DADOS!$T$37:$X$38,2,FALSE),0)),15-11*$X$5)</f>
        <v>0.25</v>
      </c>
      <c r="AA393" s="1"/>
    </row>
    <row r="394" spans="1:27" ht="26.4" x14ac:dyDescent="0.25">
      <c r="A394" t="str">
        <f t="shared" si="38"/>
        <v>S</v>
      </c>
      <c r="B394">
        <f t="shared" si="39"/>
        <v>0</v>
      </c>
      <c r="C394">
        <f t="shared" ca="1" si="40"/>
        <v>17</v>
      </c>
      <c r="D394">
        <f t="shared" ca="1" si="41"/>
        <v>1</v>
      </c>
      <c r="E394">
        <f t="shared" ca="1" si="42"/>
        <v>0</v>
      </c>
      <c r="F394">
        <f t="shared" ca="1" si="43"/>
        <v>0</v>
      </c>
      <c r="G394">
        <f t="shared" ca="1" si="44"/>
        <v>1</v>
      </c>
      <c r="H394">
        <f t="shared" ca="1" si="51"/>
        <v>0</v>
      </c>
      <c r="I394">
        <f t="shared" ca="1" si="52"/>
        <v>0</v>
      </c>
      <c r="J394" s="356" t="s">
        <v>103</v>
      </c>
      <c r="K394" s="138" t="str">
        <f t="shared" ca="1" si="45"/>
        <v>17.1.0.1.</v>
      </c>
      <c r="L394" s="357" t="s">
        <v>233</v>
      </c>
      <c r="M394" s="357" t="s">
        <v>482</v>
      </c>
      <c r="N394" s="358" t="s">
        <v>1106</v>
      </c>
      <c r="O394" s="359" t="s">
        <v>470</v>
      </c>
      <c r="P394" s="360">
        <v>6</v>
      </c>
      <c r="Q394" s="195"/>
      <c r="R394" s="198" t="s">
        <v>7</v>
      </c>
      <c r="S394" s="103">
        <f t="shared" si="46"/>
        <v>0</v>
      </c>
      <c r="T394" s="83">
        <f t="shared" si="47"/>
        <v>0</v>
      </c>
      <c r="U394" s="9" t="str">
        <f t="shared" si="48"/>
        <v>SEM VALOR</v>
      </c>
      <c r="V394" s="1" t="str">
        <f ca="1">IF(OR($A394=0,$A394="S",$A394&gt;CFF!$A$9),"",MAX(V$12:OFFSET(V394,-1,0))+1)</f>
        <v/>
      </c>
      <c r="W394" s="4" t="str">
        <f t="shared" si="49"/>
        <v>SINAPI-101909</v>
      </c>
      <c r="X394" s="1">
        <f t="shared" ca="1" si="50"/>
        <v>3462</v>
      </c>
      <c r="Y394" s="103">
        <v>326.33999999999997</v>
      </c>
      <c r="Z394" s="113">
        <f ca="1">ROUND(IF(ISNUMBER(R394),R394,IF(LEFT(R394,3)="BDI",HLOOKUP(R394,DADOS!$T$37:$X$38,2,FALSE),0)),15-11*$X$5)</f>
        <v>0.25</v>
      </c>
      <c r="AA394" s="1"/>
    </row>
    <row r="395" spans="1:27" ht="26.4" x14ac:dyDescent="0.25">
      <c r="A395" t="str">
        <f t="shared" si="38"/>
        <v>S</v>
      </c>
      <c r="B395">
        <f t="shared" si="39"/>
        <v>0</v>
      </c>
      <c r="C395">
        <f t="shared" ca="1" si="40"/>
        <v>17</v>
      </c>
      <c r="D395">
        <f t="shared" ca="1" si="41"/>
        <v>1</v>
      </c>
      <c r="E395">
        <f t="shared" ca="1" si="42"/>
        <v>0</v>
      </c>
      <c r="F395">
        <f t="shared" ca="1" si="43"/>
        <v>0</v>
      </c>
      <c r="G395">
        <f t="shared" ca="1" si="44"/>
        <v>2</v>
      </c>
      <c r="H395">
        <f t="shared" ca="1" si="51"/>
        <v>0</v>
      </c>
      <c r="I395">
        <f t="shared" ca="1" si="52"/>
        <v>0</v>
      </c>
      <c r="J395" s="356" t="s">
        <v>103</v>
      </c>
      <c r="K395" s="138" t="str">
        <f t="shared" ca="1" si="45"/>
        <v>17.1.0.2.</v>
      </c>
      <c r="L395" s="357" t="s">
        <v>233</v>
      </c>
      <c r="M395" s="357" t="s">
        <v>483</v>
      </c>
      <c r="N395" s="358" t="s">
        <v>1107</v>
      </c>
      <c r="O395" s="359" t="s">
        <v>470</v>
      </c>
      <c r="P395" s="360">
        <v>2</v>
      </c>
      <c r="Q395" s="195"/>
      <c r="R395" s="198" t="s">
        <v>7</v>
      </c>
      <c r="S395" s="103">
        <f t="shared" si="46"/>
        <v>0</v>
      </c>
      <c r="T395" s="83">
        <f t="shared" si="47"/>
        <v>0</v>
      </c>
      <c r="U395" s="9" t="str">
        <f t="shared" si="48"/>
        <v>SEM VALOR</v>
      </c>
      <c r="V395" s="1" t="str">
        <f ca="1">IF(OR($A395=0,$A395="S",$A395&gt;CFF!$A$9),"",MAX(V$12:OFFSET(V395,-1,0))+1)</f>
        <v/>
      </c>
      <c r="W395" s="4" t="str">
        <f t="shared" si="49"/>
        <v>SINAPI-101907</v>
      </c>
      <c r="X395" s="1">
        <f t="shared" ca="1" si="50"/>
        <v>3460</v>
      </c>
      <c r="Y395" s="103">
        <v>915.29</v>
      </c>
      <c r="Z395" s="113">
        <f ca="1">ROUND(IF(ISNUMBER(R395),R395,IF(LEFT(R395,3)="BDI",HLOOKUP(R395,DADOS!$T$37:$X$38,2,FALSE),0)),15-11*$X$5)</f>
        <v>0.25</v>
      </c>
      <c r="AA395" s="1"/>
    </row>
    <row r="396" spans="1:27" x14ac:dyDescent="0.25">
      <c r="A396">
        <f>CHOOSE(1+LOG(1+2*(J396="Meta")+4*(J396="Nível 2")+8*(J396="Nível 3")+16*(J396="Nível 4")+32*(J396="Serviço"),2),0,1,2,3,4,"S")</f>
        <v>2</v>
      </c>
      <c r="B396">
        <f ca="1">IF(OR(A396="S",A396=0),0,IF(ISERROR(I396),H396,SMALL(H396:I396,1)))</f>
        <v>3</v>
      </c>
      <c r="C396">
        <f ca="1">IF($A396=1,OFFSET(C396,-1,0)+1,OFFSET(C396,-1,0))</f>
        <v>17</v>
      </c>
      <c r="D396">
        <f ca="1">IF($A396=1,0,IF($A396=2,OFFSET(D396,-1,0)+1,OFFSET(D396,-1,0)))</f>
        <v>2</v>
      </c>
      <c r="E396">
        <f ca="1">IF(AND($A396&lt;=2,$A396&lt;&gt;0),0,IF($A396=3,OFFSET(E396,-1,0)+1,OFFSET(E396,-1,0)))</f>
        <v>0</v>
      </c>
      <c r="F396">
        <f ca="1">IF(AND($A396&lt;=3,$A396&lt;&gt;0),0,IF($A396=4,OFFSET(F396,-1,0)+1,OFFSET(F396,-1,0)))</f>
        <v>0</v>
      </c>
      <c r="G396">
        <f ca="1">IF(AND($A396&lt;=4,$A396&lt;&gt;0),0,IF($A396="S",OFFSET(G396,-1,0)+1,OFFSET(G396,-1,0)))</f>
        <v>0</v>
      </c>
      <c r="H396">
        <f t="shared" ca="1" si="51"/>
        <v>22</v>
      </c>
      <c r="I396">
        <f t="shared" ca="1" si="52"/>
        <v>3</v>
      </c>
      <c r="J396" s="356" t="s">
        <v>100</v>
      </c>
      <c r="K396" s="138" t="str">
        <f ca="1">IF($A396=0,"-",CONCATENATE(C396&amp;".",IF(AND($A$5&gt;=2,$A396&gt;=2),D396&amp;".",""),IF(AND($A$5&gt;=3,$A396&gt;=3),E396&amp;".",""),IF(AND($A$5&gt;=4,$A396&gt;=4),F396&amp;".",""),IF($A396="S",G396&amp;".","")))</f>
        <v>17.2.</v>
      </c>
      <c r="L396" s="357"/>
      <c r="M396" s="357"/>
      <c r="N396" s="358" t="s">
        <v>667</v>
      </c>
      <c r="O396" s="359" t="s">
        <v>106</v>
      </c>
      <c r="P396" s="360"/>
      <c r="Q396" s="195"/>
      <c r="R396" s="198" t="s">
        <v>7</v>
      </c>
      <c r="S396" s="103">
        <f>IF($A396="S",IF($Q$10="Preço Unitário (R$)",PO.CustoUnitario,ROUND(PO.CustoUnitario*(1+$Z396),15-13*$X$6)),0)</f>
        <v>0</v>
      </c>
      <c r="T396" s="83">
        <f ca="1">IF($A396="S",VTOTAL1,IF($A396=0,0,ROUND(SomaAgrup,15-13*$X$7)))</f>
        <v>0</v>
      </c>
      <c r="U396" s="9" t="str">
        <f ca="1">IF($J396="","",IF($N396="","DESCRIÇÃO",IF(AND($J396="Serviço",$O396=""),"UNIDADE",IF($T396&lt;=0,"SEM VALOR",IF(AND($Y396&lt;&gt;"",$Q396&gt;$Y396),"ACIMA REF.","")))))</f>
        <v>SEM VALOR</v>
      </c>
      <c r="V396" s="1">
        <f ca="1">IF(OR($A396=0,$A396="S",$A396&gt;CFF!$A$9),"",MAX(V$12:OFFSET(V396,-1,0))+1)</f>
        <v>59</v>
      </c>
      <c r="W396" s="4" t="b">
        <f>IF(AND($J396="Serviço",$M396&lt;&gt;""),IF($L396="",$M396,CONCATENATE($L396,"-",$M396)))</f>
        <v>0</v>
      </c>
      <c r="X396" s="1" t="str">
        <f ca="1">IF(AND(Fonte&lt;&gt;"",Código&lt;&gt;""),MATCH(Fonte&amp;" "&amp;IF(Fonte="sinapi",SUBSTITUTE(SUBSTITUTE(Código,"/00","/"),"/0","/"),Código),INDIRECT("'[Referência "&amp;_xlnm.Database&amp;".xls]Banco'!$a:$a"),0),"X")</f>
        <v>X</v>
      </c>
      <c r="Y396" s="103">
        <v>0</v>
      </c>
      <c r="Z396" s="113">
        <f ca="1">ROUND(IF(ISNUMBER(R396),R396,IF(LEFT(R396,3)="BDI",HLOOKUP(R396,DADOS!$T$37:$X$38,2,FALSE),0)),15-11*$X$5)</f>
        <v>0.25</v>
      </c>
      <c r="AA396" s="1"/>
    </row>
    <row r="397" spans="1:27" ht="39.6" x14ac:dyDescent="0.25">
      <c r="A397" t="str">
        <f t="shared" si="38"/>
        <v>S</v>
      </c>
      <c r="B397">
        <f t="shared" si="39"/>
        <v>0</v>
      </c>
      <c r="C397">
        <f t="shared" ca="1" si="40"/>
        <v>17</v>
      </c>
      <c r="D397">
        <f t="shared" ca="1" si="41"/>
        <v>2</v>
      </c>
      <c r="E397">
        <f t="shared" ca="1" si="42"/>
        <v>0</v>
      </c>
      <c r="F397">
        <f t="shared" ca="1" si="43"/>
        <v>0</v>
      </c>
      <c r="G397">
        <f t="shared" ca="1" si="44"/>
        <v>1</v>
      </c>
      <c r="H397">
        <f t="shared" ref="H397:H460" ca="1" si="53">IF(OR($A397="S",$A397=0),0,MATCH(0,OFFSET($B397,1,$A397,ROW($A$603)-ROW($A397)),0))</f>
        <v>0</v>
      </c>
      <c r="I397">
        <f t="shared" ref="I397:I460" ca="1" si="54">IF(OR($A397="S",$A397=0),0,MATCH(OFFSET($B397,0,$A397)+1,OFFSET($B397,1,$A397,ROW($A$603)-ROW($A397)),0))</f>
        <v>0</v>
      </c>
      <c r="J397" s="356" t="s">
        <v>103</v>
      </c>
      <c r="K397" s="138" t="str">
        <f t="shared" ca="1" si="45"/>
        <v>17.2.0.1.</v>
      </c>
      <c r="L397" s="357" t="s">
        <v>233</v>
      </c>
      <c r="M397" s="357" t="s">
        <v>484</v>
      </c>
      <c r="N397" s="358" t="s">
        <v>1108</v>
      </c>
      <c r="O397" s="359" t="s">
        <v>470</v>
      </c>
      <c r="P397" s="360">
        <v>1</v>
      </c>
      <c r="Q397" s="195"/>
      <c r="R397" s="198" t="s">
        <v>7</v>
      </c>
      <c r="S397" s="103">
        <f t="shared" si="46"/>
        <v>0</v>
      </c>
      <c r="T397" s="83">
        <f t="shared" si="47"/>
        <v>0</v>
      </c>
      <c r="U397" s="9" t="str">
        <f t="shared" si="48"/>
        <v>SEM VALOR</v>
      </c>
      <c r="V397" s="1" t="str">
        <f ca="1">IF(OR($A397=0,$A397="S",$A397&gt;CFF!$A$9),"",MAX(V$12:OFFSET(V397,-1,0))+1)</f>
        <v/>
      </c>
      <c r="W397" s="4" t="str">
        <f t="shared" si="49"/>
        <v>SINAPI-101912</v>
      </c>
      <c r="X397" s="1">
        <f t="shared" ca="1" si="50"/>
        <v>3465</v>
      </c>
      <c r="Y397" s="103">
        <v>2225.81</v>
      </c>
      <c r="Z397" s="113">
        <f ca="1">ROUND(IF(ISNUMBER(R397),R397,IF(LEFT(R397,3)="BDI",HLOOKUP(R397,DADOS!$T$37:$X$38,2,FALSE),0)),15-11*$X$5)</f>
        <v>0.25</v>
      </c>
      <c r="AA397" s="1"/>
    </row>
    <row r="398" spans="1:27" ht="26.4" x14ac:dyDescent="0.25">
      <c r="A398" t="str">
        <f t="shared" si="38"/>
        <v>S</v>
      </c>
      <c r="B398">
        <f t="shared" si="39"/>
        <v>0</v>
      </c>
      <c r="C398">
        <f t="shared" ca="1" si="40"/>
        <v>17</v>
      </c>
      <c r="D398">
        <f t="shared" ca="1" si="41"/>
        <v>2</v>
      </c>
      <c r="E398">
        <f t="shared" ca="1" si="42"/>
        <v>0</v>
      </c>
      <c r="F398">
        <f t="shared" ca="1" si="43"/>
        <v>0</v>
      </c>
      <c r="G398">
        <f t="shared" ca="1" si="44"/>
        <v>2</v>
      </c>
      <c r="H398">
        <f t="shared" ca="1" si="53"/>
        <v>0</v>
      </c>
      <c r="I398">
        <f t="shared" ca="1" si="54"/>
        <v>0</v>
      </c>
      <c r="J398" s="356" t="s">
        <v>103</v>
      </c>
      <c r="K398" s="138" t="str">
        <f t="shared" ca="1" si="45"/>
        <v>17.2.0.2.</v>
      </c>
      <c r="L398" s="357" t="s">
        <v>233</v>
      </c>
      <c r="M398" s="357" t="s">
        <v>485</v>
      </c>
      <c r="N398" s="358" t="s">
        <v>1109</v>
      </c>
      <c r="O398" s="359" t="s">
        <v>470</v>
      </c>
      <c r="P398" s="360">
        <v>1</v>
      </c>
      <c r="Q398" s="195"/>
      <c r="R398" s="198" t="s">
        <v>7</v>
      </c>
      <c r="S398" s="103">
        <f t="shared" si="46"/>
        <v>0</v>
      </c>
      <c r="T398" s="83">
        <f t="shared" si="47"/>
        <v>0</v>
      </c>
      <c r="U398" s="9" t="str">
        <f t="shared" si="48"/>
        <v>SEM VALOR</v>
      </c>
      <c r="V398" s="1" t="str">
        <f ca="1">IF(OR($A398=0,$A398="S",$A398&gt;CFF!$A$9),"",MAX(V$12:OFFSET(V398,-1,0))+1)</f>
        <v/>
      </c>
      <c r="W398" s="4" t="str">
        <f t="shared" si="49"/>
        <v>SINAPI-101916</v>
      </c>
      <c r="X398" s="1">
        <f t="shared" ca="1" si="50"/>
        <v>3469</v>
      </c>
      <c r="Y398" s="103">
        <v>4251.3</v>
      </c>
      <c r="Z398" s="113">
        <f ca="1">ROUND(IF(ISNUMBER(R398),R398,IF(LEFT(R398,3)="BDI",HLOOKUP(R398,DADOS!$T$37:$X$38,2,FALSE),0)),15-11*$X$5)</f>
        <v>0.25</v>
      </c>
      <c r="AA398" s="1"/>
    </row>
    <row r="399" spans="1:27" x14ac:dyDescent="0.25">
      <c r="A399">
        <f>CHOOSE(1+LOG(1+2*(J399="Meta")+4*(J399="Nível 2")+8*(J399="Nível 3")+16*(J399="Nível 4")+32*(J399="Serviço"),2),0,1,2,3,4,"S")</f>
        <v>2</v>
      </c>
      <c r="B399">
        <f ca="1">IF(OR(A399="S",A399=0),0,IF(ISERROR(I399),H399,SMALL(H399:I399,1)))</f>
        <v>9</v>
      </c>
      <c r="C399">
        <f ca="1">IF($A399=1,OFFSET(C399,-1,0)+1,OFFSET(C399,-1,0))</f>
        <v>17</v>
      </c>
      <c r="D399">
        <f ca="1">IF($A399=1,0,IF($A399=2,OFFSET(D399,-1,0)+1,OFFSET(D399,-1,0)))</f>
        <v>3</v>
      </c>
      <c r="E399">
        <f ca="1">IF(AND($A399&lt;=2,$A399&lt;&gt;0),0,IF($A399=3,OFFSET(E399,-1,0)+1,OFFSET(E399,-1,0)))</f>
        <v>0</v>
      </c>
      <c r="F399">
        <f ca="1">IF(AND($A399&lt;=3,$A399&lt;&gt;0),0,IF($A399=4,OFFSET(F399,-1,0)+1,OFFSET(F399,-1,0)))</f>
        <v>0</v>
      </c>
      <c r="G399">
        <f ca="1">IF(AND($A399&lt;=4,$A399&lt;&gt;0),0,IF($A399="S",OFFSET(G399,-1,0)+1,OFFSET(G399,-1,0)))</f>
        <v>0</v>
      </c>
      <c r="H399">
        <f t="shared" ca="1" si="53"/>
        <v>19</v>
      </c>
      <c r="I399">
        <f t="shared" ca="1" si="54"/>
        <v>9</v>
      </c>
      <c r="J399" s="356" t="s">
        <v>100</v>
      </c>
      <c r="K399" s="138" t="str">
        <f ca="1">IF($A399=0,"-",CONCATENATE(C399&amp;".",IF(AND($A$5&gt;=2,$A399&gt;=2),D399&amp;".",""),IF(AND($A$5&gt;=3,$A399&gt;=3),E399&amp;".",""),IF(AND($A$5&gt;=4,$A399&gt;=4),F399&amp;".",""),IF($A399="S",G399&amp;".","")))</f>
        <v>17.3.</v>
      </c>
      <c r="L399" s="357"/>
      <c r="M399" s="357"/>
      <c r="N399" s="358" t="s">
        <v>418</v>
      </c>
      <c r="O399" s="359" t="s">
        <v>106</v>
      </c>
      <c r="P399" s="360"/>
      <c r="Q399" s="195"/>
      <c r="R399" s="198" t="s">
        <v>7</v>
      </c>
      <c r="S399" s="103">
        <f>IF($A399="S",IF($Q$10="Preço Unitário (R$)",PO.CustoUnitario,ROUND(PO.CustoUnitario*(1+$Z399),15-13*$X$6)),0)</f>
        <v>0</v>
      </c>
      <c r="T399" s="83">
        <f ca="1">IF($A399="S",VTOTAL1,IF($A399=0,0,ROUND(SomaAgrup,15-13*$X$7)))</f>
        <v>0</v>
      </c>
      <c r="U399" s="9" t="str">
        <f ca="1">IF($J399="","",IF($N399="","DESCRIÇÃO",IF(AND($J399="Serviço",$O399=""),"UNIDADE",IF($T399&lt;=0,"SEM VALOR",IF(AND($Y399&lt;&gt;"",$Q399&gt;$Y399),"ACIMA REF.","")))))</f>
        <v>SEM VALOR</v>
      </c>
      <c r="V399" s="1">
        <f ca="1">IF(OR($A399=0,$A399="S",$A399&gt;CFF!$A$9),"",MAX(V$12:OFFSET(V399,-1,0))+1)</f>
        <v>60</v>
      </c>
      <c r="W399" s="4" t="b">
        <f>IF(AND($J399="Serviço",$M399&lt;&gt;""),IF($L399="",$M399,CONCATENATE($L399,"-",$M399)))</f>
        <v>0</v>
      </c>
      <c r="X399" s="1" t="str">
        <f ca="1">IF(AND(Fonte&lt;&gt;"",Código&lt;&gt;""),MATCH(Fonte&amp;" "&amp;IF(Fonte="sinapi",SUBSTITUTE(SUBSTITUTE(Código,"/00","/"),"/0","/"),Código),INDIRECT("'[Referência "&amp;_xlnm.Database&amp;".xls]Banco'!$a:$a"),0),"X")</f>
        <v>X</v>
      </c>
      <c r="Y399" s="103">
        <v>0</v>
      </c>
      <c r="Z399" s="113">
        <f ca="1">ROUND(IF(ISNUMBER(R399),R399,IF(LEFT(R399,3)="BDI",HLOOKUP(R399,DADOS!$T$37:$X$38,2,FALSE),0)),15-11*$X$5)</f>
        <v>0.25</v>
      </c>
      <c r="AA399" s="1"/>
    </row>
    <row r="400" spans="1:27" x14ac:dyDescent="0.25">
      <c r="A400" t="str">
        <f t="shared" si="38"/>
        <v>S</v>
      </c>
      <c r="B400">
        <f t="shared" si="39"/>
        <v>0</v>
      </c>
      <c r="C400">
        <f t="shared" ca="1" si="40"/>
        <v>17</v>
      </c>
      <c r="D400">
        <f t="shared" ca="1" si="41"/>
        <v>3</v>
      </c>
      <c r="E400">
        <f t="shared" ca="1" si="42"/>
        <v>0</v>
      </c>
      <c r="F400">
        <f t="shared" ca="1" si="43"/>
        <v>0</v>
      </c>
      <c r="G400">
        <f t="shared" ca="1" si="44"/>
        <v>1</v>
      </c>
      <c r="H400">
        <f t="shared" ca="1" si="53"/>
        <v>0</v>
      </c>
      <c r="I400">
        <f t="shared" ca="1" si="54"/>
        <v>0</v>
      </c>
      <c r="J400" s="356" t="s">
        <v>103</v>
      </c>
      <c r="K400" s="138" t="str">
        <f t="shared" ca="1" si="45"/>
        <v>17.3.0.1.</v>
      </c>
      <c r="L400" s="357" t="s">
        <v>233</v>
      </c>
      <c r="M400" s="357" t="s">
        <v>402</v>
      </c>
      <c r="N400" s="358" t="s">
        <v>1039</v>
      </c>
      <c r="O400" s="359" t="s">
        <v>470</v>
      </c>
      <c r="P400" s="360">
        <v>5</v>
      </c>
      <c r="Q400" s="195"/>
      <c r="R400" s="198" t="s">
        <v>7</v>
      </c>
      <c r="S400" s="103">
        <f t="shared" si="46"/>
        <v>0</v>
      </c>
      <c r="T400" s="83">
        <f t="shared" si="47"/>
        <v>0</v>
      </c>
      <c r="U400" s="9" t="str">
        <f t="shared" si="48"/>
        <v>SEM VALOR</v>
      </c>
      <c r="V400" s="1" t="str">
        <f ca="1">IF(OR($A400=0,$A400="S",$A400&gt;CFF!$A$9),"",MAX(V$12:OFFSET(V400,-1,0))+1)</f>
        <v/>
      </c>
      <c r="W400" s="4" t="str">
        <f t="shared" si="49"/>
        <v>SINAPI-94499</v>
      </c>
      <c r="X400" s="1">
        <f t="shared" ca="1" si="50"/>
        <v>5415</v>
      </c>
      <c r="Y400" s="103">
        <v>449.48</v>
      </c>
      <c r="Z400" s="113">
        <f ca="1">ROUND(IF(ISNUMBER(R400),R400,IF(LEFT(R400,3)="BDI",HLOOKUP(R400,DADOS!$T$37:$X$38,2,FALSE),0)),15-11*$X$5)</f>
        <v>0.25</v>
      </c>
      <c r="AA400" s="1"/>
    </row>
    <row r="401" spans="1:27" ht="26.4" x14ac:dyDescent="0.25">
      <c r="A401" t="str">
        <f t="shared" si="38"/>
        <v>S</v>
      </c>
      <c r="B401">
        <f t="shared" si="39"/>
        <v>0</v>
      </c>
      <c r="C401">
        <f t="shared" ca="1" si="40"/>
        <v>17</v>
      </c>
      <c r="D401">
        <f t="shared" ca="1" si="41"/>
        <v>3</v>
      </c>
      <c r="E401">
        <f t="shared" ca="1" si="42"/>
        <v>0</v>
      </c>
      <c r="F401">
        <f t="shared" ca="1" si="43"/>
        <v>0</v>
      </c>
      <c r="G401">
        <f t="shared" ca="1" si="44"/>
        <v>2</v>
      </c>
      <c r="H401">
        <f t="shared" ca="1" si="53"/>
        <v>0</v>
      </c>
      <c r="I401">
        <f t="shared" ca="1" si="54"/>
        <v>0</v>
      </c>
      <c r="J401" s="356" t="s">
        <v>103</v>
      </c>
      <c r="K401" s="138" t="str">
        <f t="shared" ca="1" si="45"/>
        <v>17.3.0.2.</v>
      </c>
      <c r="L401" s="357" t="s">
        <v>233</v>
      </c>
      <c r="M401" s="357" t="s">
        <v>486</v>
      </c>
      <c r="N401" s="358" t="s">
        <v>1110</v>
      </c>
      <c r="O401" s="359" t="s">
        <v>470</v>
      </c>
      <c r="P401" s="360">
        <v>3</v>
      </c>
      <c r="Q401" s="195"/>
      <c r="R401" s="198" t="s">
        <v>7</v>
      </c>
      <c r="S401" s="103">
        <f t="shared" si="46"/>
        <v>0</v>
      </c>
      <c r="T401" s="83">
        <f t="shared" si="47"/>
        <v>0</v>
      </c>
      <c r="U401" s="9" t="str">
        <f t="shared" si="48"/>
        <v>SEM VALOR</v>
      </c>
      <c r="V401" s="1" t="str">
        <f ca="1">IF(OR($A401=0,$A401="S",$A401&gt;CFF!$A$9),"",MAX(V$12:OFFSET(V401,-1,0))+1)</f>
        <v/>
      </c>
      <c r="W401" s="4" t="str">
        <f t="shared" si="49"/>
        <v>SINAPI-99624</v>
      </c>
      <c r="X401" s="1">
        <f t="shared" ca="1" si="50"/>
        <v>5438</v>
      </c>
      <c r="Y401" s="103">
        <v>685.04</v>
      </c>
      <c r="Z401" s="113">
        <f ca="1">ROUND(IF(ISNUMBER(R401),R401,IF(LEFT(R401,3)="BDI",HLOOKUP(R401,DADOS!$T$37:$X$38,2,FALSE),0)),15-11*$X$5)</f>
        <v>0.25</v>
      </c>
      <c r="AA401" s="1"/>
    </row>
    <row r="402" spans="1:27" x14ac:dyDescent="0.25">
      <c r="A402" t="str">
        <f t="shared" si="38"/>
        <v>S</v>
      </c>
      <c r="B402">
        <f t="shared" si="39"/>
        <v>0</v>
      </c>
      <c r="C402">
        <f t="shared" ca="1" si="40"/>
        <v>17</v>
      </c>
      <c r="D402">
        <f t="shared" ca="1" si="41"/>
        <v>3</v>
      </c>
      <c r="E402">
        <f t="shared" ca="1" si="42"/>
        <v>0</v>
      </c>
      <c r="F402">
        <f t="shared" ca="1" si="43"/>
        <v>0</v>
      </c>
      <c r="G402">
        <f t="shared" ca="1" si="44"/>
        <v>3</v>
      </c>
      <c r="H402">
        <f t="shared" ca="1" si="53"/>
        <v>0</v>
      </c>
      <c r="I402">
        <f t="shared" ca="1" si="54"/>
        <v>0</v>
      </c>
      <c r="J402" s="356" t="s">
        <v>103</v>
      </c>
      <c r="K402" s="138" t="str">
        <f t="shared" ca="1" si="45"/>
        <v>17.3.0.3.</v>
      </c>
      <c r="L402" s="357" t="s">
        <v>233</v>
      </c>
      <c r="M402" s="357" t="s">
        <v>487</v>
      </c>
      <c r="N402" s="358" t="s">
        <v>1111</v>
      </c>
      <c r="O402" s="359" t="s">
        <v>470</v>
      </c>
      <c r="P402" s="360">
        <v>1</v>
      </c>
      <c r="Q402" s="195"/>
      <c r="R402" s="198" t="s">
        <v>7</v>
      </c>
      <c r="S402" s="103">
        <f t="shared" si="46"/>
        <v>0</v>
      </c>
      <c r="T402" s="83">
        <f t="shared" si="47"/>
        <v>0</v>
      </c>
      <c r="U402" s="9" t="str">
        <f t="shared" si="48"/>
        <v>SEM VALOR</v>
      </c>
      <c r="V402" s="1" t="str">
        <f ca="1">IF(OR($A402=0,$A402="S",$A402&gt;CFF!$A$9),"",MAX(V$12:OFFSET(V402,-1,0))+1)</f>
        <v/>
      </c>
      <c r="W402" s="4" t="str">
        <f t="shared" si="49"/>
        <v>SINAPI-101917</v>
      </c>
      <c r="X402" s="1">
        <f t="shared" ca="1" si="50"/>
        <v>3470</v>
      </c>
      <c r="Y402" s="103">
        <v>227.78</v>
      </c>
      <c r="Z402" s="113">
        <f ca="1">ROUND(IF(ISNUMBER(R402),R402,IF(LEFT(R402,3)="BDI",HLOOKUP(R402,DADOS!$T$37:$X$38,2,FALSE),0)),15-11*$X$5)</f>
        <v>0.25</v>
      </c>
      <c r="AA402" s="1"/>
    </row>
    <row r="403" spans="1:27" x14ac:dyDescent="0.25">
      <c r="A403" t="str">
        <f t="shared" si="38"/>
        <v>S</v>
      </c>
      <c r="B403">
        <f t="shared" si="39"/>
        <v>0</v>
      </c>
      <c r="C403">
        <f t="shared" ca="1" si="40"/>
        <v>17</v>
      </c>
      <c r="D403">
        <f t="shared" ca="1" si="41"/>
        <v>3</v>
      </c>
      <c r="E403">
        <f t="shared" ca="1" si="42"/>
        <v>0</v>
      </c>
      <c r="F403">
        <f t="shared" ca="1" si="43"/>
        <v>0</v>
      </c>
      <c r="G403">
        <f t="shared" ca="1" si="44"/>
        <v>4</v>
      </c>
      <c r="H403">
        <f t="shared" ca="1" si="53"/>
        <v>0</v>
      </c>
      <c r="I403">
        <f t="shared" ca="1" si="54"/>
        <v>0</v>
      </c>
      <c r="J403" s="356" t="s">
        <v>103</v>
      </c>
      <c r="K403" s="138" t="str">
        <f t="shared" ca="1" si="45"/>
        <v>17.3.0.4.</v>
      </c>
      <c r="L403" s="357" t="s">
        <v>469</v>
      </c>
      <c r="M403" s="357" t="s">
        <v>831</v>
      </c>
      <c r="N403" s="358" t="s">
        <v>835</v>
      </c>
      <c r="O403" s="359" t="s">
        <v>782</v>
      </c>
      <c r="P403" s="360">
        <v>1</v>
      </c>
      <c r="Q403" s="195"/>
      <c r="R403" s="198" t="s">
        <v>7</v>
      </c>
      <c r="S403" s="103">
        <f t="shared" si="46"/>
        <v>0</v>
      </c>
      <c r="T403" s="83">
        <f t="shared" si="47"/>
        <v>0</v>
      </c>
      <c r="U403" s="9" t="str">
        <f t="shared" si="48"/>
        <v>SEM VALOR</v>
      </c>
      <c r="V403" s="1" t="str">
        <f ca="1">IF(OR($A403=0,$A403="S",$A403&gt;CFF!$A$9),"",MAX(V$12:OFFSET(V403,-1,0))+1)</f>
        <v/>
      </c>
      <c r="W403" s="4" t="str">
        <f t="shared" si="49"/>
        <v>FNDE-FNDE 332</v>
      </c>
      <c r="X403" s="1" t="e">
        <f t="shared" ca="1" si="50"/>
        <v>#N/A</v>
      </c>
      <c r="Y403" s="103">
        <v>7030.53</v>
      </c>
      <c r="Z403" s="113">
        <f ca="1">ROUND(IF(ISNUMBER(R403),R403,IF(LEFT(R403,3)="BDI",HLOOKUP(R403,DADOS!$T$37:$X$38,2,FALSE),0)),15-11*$X$5)</f>
        <v>0.25</v>
      </c>
      <c r="AA403" s="1"/>
    </row>
    <row r="404" spans="1:27" x14ac:dyDescent="0.25">
      <c r="A404" t="str">
        <f t="shared" si="38"/>
        <v>S</v>
      </c>
      <c r="B404">
        <f t="shared" si="39"/>
        <v>0</v>
      </c>
      <c r="C404">
        <f t="shared" ca="1" si="40"/>
        <v>17</v>
      </c>
      <c r="D404">
        <f t="shared" ca="1" si="41"/>
        <v>3</v>
      </c>
      <c r="E404">
        <f t="shared" ca="1" si="42"/>
        <v>0</v>
      </c>
      <c r="F404">
        <f t="shared" ca="1" si="43"/>
        <v>0</v>
      </c>
      <c r="G404">
        <f t="shared" ca="1" si="44"/>
        <v>5</v>
      </c>
      <c r="H404">
        <f t="shared" ca="1" si="53"/>
        <v>0</v>
      </c>
      <c r="I404">
        <f t="shared" ca="1" si="54"/>
        <v>0</v>
      </c>
      <c r="J404" s="356" t="s">
        <v>103</v>
      </c>
      <c r="K404" s="138" t="str">
        <f t="shared" ca="1" si="45"/>
        <v>17.3.0.5.</v>
      </c>
      <c r="L404" s="357" t="s">
        <v>469</v>
      </c>
      <c r="M404" s="357" t="s">
        <v>832</v>
      </c>
      <c r="N404" s="358" t="s">
        <v>836</v>
      </c>
      <c r="O404" s="359" t="s">
        <v>816</v>
      </c>
      <c r="P404" s="360">
        <v>1</v>
      </c>
      <c r="Q404" s="195"/>
      <c r="R404" s="198" t="s">
        <v>7</v>
      </c>
      <c r="S404" s="103">
        <f t="shared" si="46"/>
        <v>0</v>
      </c>
      <c r="T404" s="83">
        <f t="shared" si="47"/>
        <v>0</v>
      </c>
      <c r="U404" s="9" t="str">
        <f t="shared" si="48"/>
        <v>SEM VALOR</v>
      </c>
      <c r="V404" s="1" t="str">
        <f ca="1">IF(OR($A404=0,$A404="S",$A404&gt;CFF!$A$9),"",MAX(V$12:OFFSET(V404,-1,0))+1)</f>
        <v/>
      </c>
      <c r="W404" s="4" t="str">
        <f t="shared" si="49"/>
        <v>FNDE-FNDE 112</v>
      </c>
      <c r="X404" s="1" t="e">
        <f t="shared" ca="1" si="50"/>
        <v>#N/A</v>
      </c>
      <c r="Y404" s="103">
        <v>619.80999999999995</v>
      </c>
      <c r="Z404" s="113">
        <f ca="1">ROUND(IF(ISNUMBER(R404),R404,IF(LEFT(R404,3)="BDI",HLOOKUP(R404,DADOS!$T$37:$X$38,2,FALSE),0)),15-11*$X$5)</f>
        <v>0.25</v>
      </c>
      <c r="AA404" s="1"/>
    </row>
    <row r="405" spans="1:27" x14ac:dyDescent="0.25">
      <c r="A405" t="str">
        <f t="shared" si="38"/>
        <v>S</v>
      </c>
      <c r="B405">
        <f t="shared" si="39"/>
        <v>0</v>
      </c>
      <c r="C405">
        <f t="shared" ca="1" si="40"/>
        <v>17</v>
      </c>
      <c r="D405">
        <f t="shared" ca="1" si="41"/>
        <v>3</v>
      </c>
      <c r="E405">
        <f t="shared" ca="1" si="42"/>
        <v>0</v>
      </c>
      <c r="F405">
        <f t="shared" ca="1" si="43"/>
        <v>0</v>
      </c>
      <c r="G405">
        <f t="shared" ca="1" si="44"/>
        <v>6</v>
      </c>
      <c r="H405">
        <f t="shared" ca="1" si="53"/>
        <v>0</v>
      </c>
      <c r="I405">
        <f t="shared" ca="1" si="54"/>
        <v>0</v>
      </c>
      <c r="J405" s="356" t="s">
        <v>103</v>
      </c>
      <c r="K405" s="138" t="str">
        <f t="shared" ca="1" si="45"/>
        <v>17.3.0.6.</v>
      </c>
      <c r="L405" s="357" t="s">
        <v>469</v>
      </c>
      <c r="M405" s="357" t="s">
        <v>833</v>
      </c>
      <c r="N405" s="358" t="s">
        <v>837</v>
      </c>
      <c r="O405" s="359" t="s">
        <v>782</v>
      </c>
      <c r="P405" s="360">
        <v>1</v>
      </c>
      <c r="Q405" s="195"/>
      <c r="R405" s="198" t="s">
        <v>7</v>
      </c>
      <c r="S405" s="103">
        <f t="shared" si="46"/>
        <v>0</v>
      </c>
      <c r="T405" s="83">
        <f t="shared" si="47"/>
        <v>0</v>
      </c>
      <c r="U405" s="9" t="str">
        <f t="shared" si="48"/>
        <v>SEM VALOR</v>
      </c>
      <c r="V405" s="1" t="str">
        <f ca="1">IF(OR($A405=0,$A405="S",$A405&gt;CFF!$A$9),"",MAX(V$12:OFFSET(V405,-1,0))+1)</f>
        <v/>
      </c>
      <c r="W405" s="4" t="str">
        <f t="shared" si="49"/>
        <v>FNDE-FNDE 114</v>
      </c>
      <c r="X405" s="1" t="e">
        <f t="shared" ca="1" si="50"/>
        <v>#N/A</v>
      </c>
      <c r="Y405" s="103">
        <v>3517.28</v>
      </c>
      <c r="Z405" s="113">
        <f ca="1">ROUND(IF(ISNUMBER(R405),R405,IF(LEFT(R405,3)="BDI",HLOOKUP(R405,DADOS!$T$37:$X$38,2,FALSE),0)),15-11*$X$5)</f>
        <v>0.25</v>
      </c>
      <c r="AA405" s="1"/>
    </row>
    <row r="406" spans="1:27" ht="26.4" x14ac:dyDescent="0.25">
      <c r="A406" t="str">
        <f t="shared" si="38"/>
        <v>S</v>
      </c>
      <c r="B406">
        <f t="shared" si="39"/>
        <v>0</v>
      </c>
      <c r="C406">
        <f t="shared" ca="1" si="40"/>
        <v>17</v>
      </c>
      <c r="D406">
        <f t="shared" ca="1" si="41"/>
        <v>3</v>
      </c>
      <c r="E406">
        <f t="shared" ca="1" si="42"/>
        <v>0</v>
      </c>
      <c r="F406">
        <f t="shared" ca="1" si="43"/>
        <v>0</v>
      </c>
      <c r="G406">
        <f t="shared" ca="1" si="44"/>
        <v>7</v>
      </c>
      <c r="H406">
        <f t="shared" ca="1" si="53"/>
        <v>0</v>
      </c>
      <c r="I406">
        <f t="shared" ca="1" si="54"/>
        <v>0</v>
      </c>
      <c r="J406" s="356" t="s">
        <v>103</v>
      </c>
      <c r="K406" s="138" t="str">
        <f t="shared" ca="1" si="45"/>
        <v>17.3.0.7.</v>
      </c>
      <c r="L406" s="357" t="s">
        <v>233</v>
      </c>
      <c r="M406" s="357" t="s">
        <v>488</v>
      </c>
      <c r="N406" s="358" t="s">
        <v>1112</v>
      </c>
      <c r="O406" s="359" t="s">
        <v>470</v>
      </c>
      <c r="P406" s="360">
        <v>2</v>
      </c>
      <c r="Q406" s="195"/>
      <c r="R406" s="198" t="s">
        <v>7</v>
      </c>
      <c r="S406" s="103">
        <f t="shared" si="46"/>
        <v>0</v>
      </c>
      <c r="T406" s="83">
        <f t="shared" si="47"/>
        <v>0</v>
      </c>
      <c r="U406" s="9" t="str">
        <f t="shared" si="48"/>
        <v>SEM VALOR</v>
      </c>
      <c r="V406" s="1" t="str">
        <f ca="1">IF(OR($A406=0,$A406="S",$A406&gt;CFF!$A$9),"",MAX(V$12:OFFSET(V406,-1,0))+1)</f>
        <v/>
      </c>
      <c r="W406" s="4" t="str">
        <f t="shared" si="49"/>
        <v>SINAPI-102111</v>
      </c>
      <c r="X406" s="1">
        <f t="shared" ca="1" si="50"/>
        <v>5591</v>
      </c>
      <c r="Y406" s="103">
        <v>1414.4</v>
      </c>
      <c r="Z406" s="113">
        <f ca="1">ROUND(IF(ISNUMBER(R406),R406,IF(LEFT(R406,3)="BDI",HLOOKUP(R406,DADOS!$T$37:$X$38,2,FALSE),0)),15-11*$X$5)</f>
        <v>0.25</v>
      </c>
      <c r="AA406" s="1"/>
    </row>
    <row r="407" spans="1:27" x14ac:dyDescent="0.25">
      <c r="A407" t="str">
        <f t="shared" si="38"/>
        <v>S</v>
      </c>
      <c r="B407">
        <f t="shared" si="39"/>
        <v>0</v>
      </c>
      <c r="C407">
        <f t="shared" ca="1" si="40"/>
        <v>17</v>
      </c>
      <c r="D407">
        <f t="shared" ca="1" si="41"/>
        <v>3</v>
      </c>
      <c r="E407">
        <f t="shared" ca="1" si="42"/>
        <v>0</v>
      </c>
      <c r="F407">
        <f t="shared" ca="1" si="43"/>
        <v>0</v>
      </c>
      <c r="G407">
        <f t="shared" ca="1" si="44"/>
        <v>8</v>
      </c>
      <c r="H407">
        <f t="shared" ca="1" si="53"/>
        <v>0</v>
      </c>
      <c r="I407">
        <f t="shared" ca="1" si="54"/>
        <v>0</v>
      </c>
      <c r="J407" s="356" t="s">
        <v>103</v>
      </c>
      <c r="K407" s="138" t="str">
        <f t="shared" ca="1" si="45"/>
        <v>17.3.0.8.</v>
      </c>
      <c r="L407" s="357" t="s">
        <v>469</v>
      </c>
      <c r="M407" s="357" t="s">
        <v>834</v>
      </c>
      <c r="N407" s="358" t="s">
        <v>668</v>
      </c>
      <c r="O407" s="359" t="s">
        <v>782</v>
      </c>
      <c r="P407" s="360">
        <v>1</v>
      </c>
      <c r="Q407" s="195"/>
      <c r="R407" s="198" t="s">
        <v>7</v>
      </c>
      <c r="S407" s="103">
        <f t="shared" si="46"/>
        <v>0</v>
      </c>
      <c r="T407" s="83">
        <f t="shared" si="47"/>
        <v>0</v>
      </c>
      <c r="U407" s="9" t="str">
        <f t="shared" si="48"/>
        <v>SEM VALOR</v>
      </c>
      <c r="V407" s="1" t="str">
        <f ca="1">IF(OR($A407=0,$A407="S",$A407&gt;CFF!$A$9),"",MAX(V$12:OFFSET(V407,-1,0))+1)</f>
        <v/>
      </c>
      <c r="W407" s="4" t="str">
        <f t="shared" si="49"/>
        <v>FNDE-FNDE 67</v>
      </c>
      <c r="X407" s="1" t="e">
        <f t="shared" ca="1" si="50"/>
        <v>#N/A</v>
      </c>
      <c r="Y407" s="103">
        <v>4963.58</v>
      </c>
      <c r="Z407" s="113">
        <f ca="1">ROUND(IF(ISNUMBER(R407),R407,IF(LEFT(R407,3)="BDI",HLOOKUP(R407,DADOS!$T$37:$X$38,2,FALSE),0)),15-11*$X$5)</f>
        <v>0.25</v>
      </c>
      <c r="AA407" s="1"/>
    </row>
    <row r="408" spans="1:27" x14ac:dyDescent="0.25">
      <c r="A408">
        <f>CHOOSE(1+LOG(1+2*(J408="Meta")+4*(J408="Nível 2")+8*(J408="Nível 3")+16*(J408="Nível 4")+32*(J408="Serviço"),2),0,1,2,3,4,"S")</f>
        <v>2</v>
      </c>
      <c r="B408">
        <f ca="1">IF(OR(A408="S",A408=0),0,IF(ISERROR(I408),H408,SMALL(H408:I408,1)))</f>
        <v>6</v>
      </c>
      <c r="C408">
        <f ca="1">IF($A408=1,OFFSET(C408,-1,0)+1,OFFSET(C408,-1,0))</f>
        <v>17</v>
      </c>
      <c r="D408">
        <f ca="1">IF($A408=1,0,IF($A408=2,OFFSET(D408,-1,0)+1,OFFSET(D408,-1,0)))</f>
        <v>4</v>
      </c>
      <c r="E408">
        <f ca="1">IF(AND($A408&lt;=2,$A408&lt;&gt;0),0,IF($A408=3,OFFSET(E408,-1,0)+1,OFFSET(E408,-1,0)))</f>
        <v>0</v>
      </c>
      <c r="F408">
        <f ca="1">IF(AND($A408&lt;=3,$A408&lt;&gt;0),0,IF($A408=4,OFFSET(F408,-1,0)+1,OFFSET(F408,-1,0)))</f>
        <v>0</v>
      </c>
      <c r="G408">
        <f ca="1">IF(AND($A408&lt;=4,$A408&lt;&gt;0),0,IF($A408="S",OFFSET(G408,-1,0)+1,OFFSET(G408,-1,0)))</f>
        <v>0</v>
      </c>
      <c r="H408">
        <f t="shared" ca="1" si="53"/>
        <v>10</v>
      </c>
      <c r="I408">
        <f t="shared" ca="1" si="54"/>
        <v>6</v>
      </c>
      <c r="J408" s="356" t="s">
        <v>100</v>
      </c>
      <c r="K408" s="138" t="str">
        <f ca="1">IF($A408=0,"-",CONCATENATE(C408&amp;".",IF(AND($A$5&gt;=2,$A408&gt;=2),D408&amp;".",""),IF(AND($A$5&gt;=3,$A408&gt;=3),E408&amp;".",""),IF(AND($A$5&gt;=4,$A408&gt;=4),F408&amp;".",""),IF($A408="S",G408&amp;".","")))</f>
        <v>17.4.</v>
      </c>
      <c r="L408" s="357"/>
      <c r="M408" s="357"/>
      <c r="N408" s="358" t="s">
        <v>669</v>
      </c>
      <c r="O408" s="359" t="s">
        <v>106</v>
      </c>
      <c r="P408" s="360"/>
      <c r="Q408" s="195"/>
      <c r="R408" s="198" t="s">
        <v>7</v>
      </c>
      <c r="S408" s="103">
        <f>IF($A408="S",IF($Q$10="Preço Unitário (R$)",PO.CustoUnitario,ROUND(PO.CustoUnitario*(1+$Z408),15-13*$X$6)),0)</f>
        <v>0</v>
      </c>
      <c r="T408" s="83">
        <f ca="1">IF($A408="S",VTOTAL1,IF($A408=0,0,ROUND(SomaAgrup,15-13*$X$7)))</f>
        <v>0</v>
      </c>
      <c r="U408" s="9" t="str">
        <f ca="1">IF($J408="","",IF($N408="","DESCRIÇÃO",IF(AND($J408="Serviço",$O408=""),"UNIDADE",IF($T408&lt;=0,"SEM VALOR",IF(AND($Y408&lt;&gt;"",$Q408&gt;$Y408),"ACIMA REF.","")))))</f>
        <v>SEM VALOR</v>
      </c>
      <c r="V408" s="1">
        <f ca="1">IF(OR($A408=0,$A408="S",$A408&gt;CFF!$A$9),"",MAX(V$12:OFFSET(V408,-1,0))+1)</f>
        <v>61</v>
      </c>
      <c r="W408" s="4" t="b">
        <f>IF(AND($J408="Serviço",$M408&lt;&gt;""),IF($L408="",$M408,CONCATENATE($L408,"-",$M408)))</f>
        <v>0</v>
      </c>
      <c r="X408" s="1" t="str">
        <f ca="1">IF(AND(Fonte&lt;&gt;"",Código&lt;&gt;""),MATCH(Fonte&amp;" "&amp;IF(Fonte="sinapi",SUBSTITUTE(SUBSTITUTE(Código,"/00","/"),"/0","/"),Código),INDIRECT("'[Referência "&amp;_xlnm.Database&amp;".xls]Banco'!$a:$a"),0),"X")</f>
        <v>X</v>
      </c>
      <c r="Y408" s="103">
        <v>0</v>
      </c>
      <c r="Z408" s="113">
        <f ca="1">ROUND(IF(ISNUMBER(R408),R408,IF(LEFT(R408,3)="BDI",HLOOKUP(R408,DADOS!$T$37:$X$38,2,FALSE),0)),15-11*$X$5)</f>
        <v>0.25</v>
      </c>
      <c r="AA408" s="1"/>
    </row>
    <row r="409" spans="1:27" ht="26.4" x14ac:dyDescent="0.25">
      <c r="A409" t="str">
        <f t="shared" si="38"/>
        <v>S</v>
      </c>
      <c r="B409">
        <f t="shared" si="39"/>
        <v>0</v>
      </c>
      <c r="C409">
        <f t="shared" ca="1" si="40"/>
        <v>17</v>
      </c>
      <c r="D409">
        <f t="shared" ca="1" si="41"/>
        <v>4</v>
      </c>
      <c r="E409">
        <f t="shared" ca="1" si="42"/>
        <v>0</v>
      </c>
      <c r="F409">
        <f t="shared" ca="1" si="43"/>
        <v>0</v>
      </c>
      <c r="G409">
        <f t="shared" ca="1" si="44"/>
        <v>1</v>
      </c>
      <c r="H409">
        <f t="shared" ca="1" si="53"/>
        <v>0</v>
      </c>
      <c r="I409">
        <f t="shared" ca="1" si="54"/>
        <v>0</v>
      </c>
      <c r="J409" s="356" t="s">
        <v>103</v>
      </c>
      <c r="K409" s="138" t="str">
        <f t="shared" ca="1" si="45"/>
        <v>17.4.0.1.</v>
      </c>
      <c r="L409" s="357" t="s">
        <v>233</v>
      </c>
      <c r="M409" s="357" t="s">
        <v>489</v>
      </c>
      <c r="N409" s="358" t="s">
        <v>1113</v>
      </c>
      <c r="O409" s="359" t="s">
        <v>470</v>
      </c>
      <c r="P409" s="360">
        <v>7</v>
      </c>
      <c r="Q409" s="195"/>
      <c r="R409" s="198" t="s">
        <v>7</v>
      </c>
      <c r="S409" s="103">
        <f t="shared" si="46"/>
        <v>0</v>
      </c>
      <c r="T409" s="83">
        <f t="shared" si="47"/>
        <v>0</v>
      </c>
      <c r="U409" s="9" t="str">
        <f t="shared" si="48"/>
        <v>SEM VALOR</v>
      </c>
      <c r="V409" s="1" t="str">
        <f ca="1">IF(OR($A409=0,$A409="S",$A409&gt;CFF!$A$9),"",MAX(V$12:OFFSET(V409,-1,0))+1)</f>
        <v/>
      </c>
      <c r="W409" s="4" t="str">
        <f t="shared" si="49"/>
        <v>SINAPI-94473</v>
      </c>
      <c r="X409" s="1">
        <f t="shared" ca="1" si="50"/>
        <v>4490</v>
      </c>
      <c r="Y409" s="103">
        <v>141.94999999999999</v>
      </c>
      <c r="Z409" s="113">
        <f ca="1">ROUND(IF(ISNUMBER(R409),R409,IF(LEFT(R409,3)="BDI",HLOOKUP(R409,DADOS!$T$37:$X$38,2,FALSE),0)),15-11*$X$5)</f>
        <v>0.25</v>
      </c>
      <c r="AA409" s="1"/>
    </row>
    <row r="410" spans="1:27" ht="26.4" x14ac:dyDescent="0.25">
      <c r="A410" t="str">
        <f t="shared" si="38"/>
        <v>S</v>
      </c>
      <c r="B410">
        <f t="shared" si="39"/>
        <v>0</v>
      </c>
      <c r="C410">
        <f t="shared" ca="1" si="40"/>
        <v>17</v>
      </c>
      <c r="D410">
        <f t="shared" ca="1" si="41"/>
        <v>4</v>
      </c>
      <c r="E410">
        <f t="shared" ca="1" si="42"/>
        <v>0</v>
      </c>
      <c r="F410">
        <f t="shared" ca="1" si="43"/>
        <v>0</v>
      </c>
      <c r="G410">
        <f t="shared" ca="1" si="44"/>
        <v>2</v>
      </c>
      <c r="H410">
        <f t="shared" ca="1" si="53"/>
        <v>0</v>
      </c>
      <c r="I410">
        <f t="shared" ca="1" si="54"/>
        <v>0</v>
      </c>
      <c r="J410" s="356" t="s">
        <v>103</v>
      </c>
      <c r="K410" s="138" t="str">
        <f t="shared" ca="1" si="45"/>
        <v>17.4.0.2.</v>
      </c>
      <c r="L410" s="357" t="s">
        <v>233</v>
      </c>
      <c r="M410" s="357" t="s">
        <v>490</v>
      </c>
      <c r="N410" s="358" t="s">
        <v>1114</v>
      </c>
      <c r="O410" s="359" t="s">
        <v>590</v>
      </c>
      <c r="P410" s="360">
        <v>63</v>
      </c>
      <c r="Q410" s="195"/>
      <c r="R410" s="198" t="s">
        <v>7</v>
      </c>
      <c r="S410" s="103">
        <f t="shared" si="46"/>
        <v>0</v>
      </c>
      <c r="T410" s="83">
        <f t="shared" si="47"/>
        <v>0</v>
      </c>
      <c r="U410" s="9" t="str">
        <f t="shared" si="48"/>
        <v>SEM VALOR</v>
      </c>
      <c r="V410" s="1" t="str">
        <f ca="1">IF(OR($A410=0,$A410="S",$A410&gt;CFF!$A$9),"",MAX(V$12:OFFSET(V410,-1,0))+1)</f>
        <v/>
      </c>
      <c r="W410" s="4" t="str">
        <f t="shared" si="49"/>
        <v>SINAPI-92367</v>
      </c>
      <c r="X410" s="1">
        <f t="shared" ca="1" si="50"/>
        <v>3656</v>
      </c>
      <c r="Y410" s="103">
        <v>127.21</v>
      </c>
      <c r="Z410" s="113">
        <f ca="1">ROUND(IF(ISNUMBER(R410),R410,IF(LEFT(R410,3)="BDI",HLOOKUP(R410,DADOS!$T$37:$X$38,2,FALSE),0)),15-11*$X$5)</f>
        <v>0.25</v>
      </c>
      <c r="AA410" s="1"/>
    </row>
    <row r="411" spans="1:27" ht="26.4" x14ac:dyDescent="0.25">
      <c r="A411" t="str">
        <f t="shared" si="38"/>
        <v>S</v>
      </c>
      <c r="B411">
        <f t="shared" si="39"/>
        <v>0</v>
      </c>
      <c r="C411">
        <f t="shared" ca="1" si="40"/>
        <v>17</v>
      </c>
      <c r="D411">
        <f t="shared" ca="1" si="41"/>
        <v>4</v>
      </c>
      <c r="E411">
        <f t="shared" ca="1" si="42"/>
        <v>0</v>
      </c>
      <c r="F411">
        <f t="shared" ca="1" si="43"/>
        <v>0</v>
      </c>
      <c r="G411">
        <f t="shared" ca="1" si="44"/>
        <v>3</v>
      </c>
      <c r="H411">
        <f t="shared" ca="1" si="53"/>
        <v>0</v>
      </c>
      <c r="I411">
        <f t="shared" ca="1" si="54"/>
        <v>0</v>
      </c>
      <c r="J411" s="356" t="s">
        <v>103</v>
      </c>
      <c r="K411" s="138" t="str">
        <f t="shared" ca="1" si="45"/>
        <v>17.4.0.3.</v>
      </c>
      <c r="L411" s="357" t="s">
        <v>233</v>
      </c>
      <c r="M411" s="357" t="s">
        <v>491</v>
      </c>
      <c r="N411" s="358" t="s">
        <v>1115</v>
      </c>
      <c r="O411" s="359" t="s">
        <v>470</v>
      </c>
      <c r="P411" s="360">
        <v>1</v>
      </c>
      <c r="Q411" s="195"/>
      <c r="R411" s="198" t="s">
        <v>7</v>
      </c>
      <c r="S411" s="103">
        <f t="shared" si="46"/>
        <v>0</v>
      </c>
      <c r="T411" s="83">
        <f t="shared" si="47"/>
        <v>0</v>
      </c>
      <c r="U411" s="9" t="str">
        <f t="shared" si="48"/>
        <v>SEM VALOR</v>
      </c>
      <c r="V411" s="1" t="str">
        <f ca="1">IF(OR($A411=0,$A411="S",$A411&gt;CFF!$A$9),"",MAX(V$12:OFFSET(V411,-1,0))+1)</f>
        <v/>
      </c>
      <c r="W411" s="4" t="str">
        <f t="shared" si="49"/>
        <v>SINAPI-94474</v>
      </c>
      <c r="X411" s="1">
        <f t="shared" ca="1" si="50"/>
        <v>4491</v>
      </c>
      <c r="Y411" s="103">
        <v>153.55000000000001</v>
      </c>
      <c r="Z411" s="113">
        <f ca="1">ROUND(IF(ISNUMBER(R411),R411,IF(LEFT(R411,3)="BDI",HLOOKUP(R411,DADOS!$T$37:$X$38,2,FALSE),0)),15-11*$X$5)</f>
        <v>0.25</v>
      </c>
      <c r="AA411" s="1"/>
    </row>
    <row r="412" spans="1:27" ht="26.4" x14ac:dyDescent="0.25">
      <c r="A412" t="str">
        <f t="shared" si="38"/>
        <v>S</v>
      </c>
      <c r="B412">
        <f t="shared" si="39"/>
        <v>0</v>
      </c>
      <c r="C412">
        <f t="shared" ca="1" si="40"/>
        <v>17</v>
      </c>
      <c r="D412">
        <f t="shared" ca="1" si="41"/>
        <v>4</v>
      </c>
      <c r="E412">
        <f t="shared" ca="1" si="42"/>
        <v>0</v>
      </c>
      <c r="F412">
        <f t="shared" ca="1" si="43"/>
        <v>0</v>
      </c>
      <c r="G412">
        <f t="shared" ca="1" si="44"/>
        <v>4</v>
      </c>
      <c r="H412">
        <f t="shared" ca="1" si="53"/>
        <v>0</v>
      </c>
      <c r="I412">
        <f t="shared" ca="1" si="54"/>
        <v>0</v>
      </c>
      <c r="J412" s="356" t="s">
        <v>103</v>
      </c>
      <c r="K412" s="138" t="str">
        <f t="shared" ca="1" si="45"/>
        <v>17.4.0.4.</v>
      </c>
      <c r="L412" s="357" t="s">
        <v>233</v>
      </c>
      <c r="M412" s="357" t="s">
        <v>492</v>
      </c>
      <c r="N412" s="358" t="s">
        <v>1116</v>
      </c>
      <c r="O412" s="359" t="s">
        <v>470</v>
      </c>
      <c r="P412" s="360">
        <v>2</v>
      </c>
      <c r="Q412" s="195"/>
      <c r="R412" s="198" t="s">
        <v>7</v>
      </c>
      <c r="S412" s="103">
        <f t="shared" si="46"/>
        <v>0</v>
      </c>
      <c r="T412" s="83">
        <f t="shared" si="47"/>
        <v>0</v>
      </c>
      <c r="U412" s="9" t="str">
        <f t="shared" si="48"/>
        <v>SEM VALOR</v>
      </c>
      <c r="V412" s="1" t="str">
        <f ca="1">IF(OR($A412=0,$A412="S",$A412&gt;CFF!$A$9),"",MAX(V$12:OFFSET(V412,-1,0))+1)</f>
        <v/>
      </c>
      <c r="W412" s="4" t="str">
        <f t="shared" si="49"/>
        <v>SINAPI-92665</v>
      </c>
      <c r="X412" s="1">
        <f t="shared" ca="1" si="50"/>
        <v>4315</v>
      </c>
      <c r="Y412" s="103">
        <v>89.3</v>
      </c>
      <c r="Z412" s="113">
        <f ca="1">ROUND(IF(ISNUMBER(R412),R412,IF(LEFT(R412,3)="BDI",HLOOKUP(R412,DADOS!$T$37:$X$38,2,FALSE),0)),15-11*$X$5)</f>
        <v>0.25</v>
      </c>
      <c r="AA412" s="1"/>
    </row>
    <row r="413" spans="1:27" ht="26.4" x14ac:dyDescent="0.25">
      <c r="A413" t="str">
        <f t="shared" si="38"/>
        <v>S</v>
      </c>
      <c r="B413">
        <f t="shared" si="39"/>
        <v>0</v>
      </c>
      <c r="C413">
        <f t="shared" ca="1" si="40"/>
        <v>17</v>
      </c>
      <c r="D413">
        <f t="shared" ca="1" si="41"/>
        <v>4</v>
      </c>
      <c r="E413">
        <f t="shared" ca="1" si="42"/>
        <v>0</v>
      </c>
      <c r="F413">
        <f t="shared" ca="1" si="43"/>
        <v>0</v>
      </c>
      <c r="G413">
        <f t="shared" ca="1" si="44"/>
        <v>5</v>
      </c>
      <c r="H413">
        <f t="shared" ca="1" si="53"/>
        <v>0</v>
      </c>
      <c r="I413">
        <f t="shared" ca="1" si="54"/>
        <v>0</v>
      </c>
      <c r="J413" s="356" t="s">
        <v>103</v>
      </c>
      <c r="K413" s="138" t="str">
        <f t="shared" ca="1" si="45"/>
        <v>17.4.0.5.</v>
      </c>
      <c r="L413" s="357" t="s">
        <v>233</v>
      </c>
      <c r="M413" s="357" t="s">
        <v>493</v>
      </c>
      <c r="N413" s="358" t="s">
        <v>1117</v>
      </c>
      <c r="O413" s="359" t="s">
        <v>470</v>
      </c>
      <c r="P413" s="360">
        <v>4</v>
      </c>
      <c r="Q413" s="195"/>
      <c r="R413" s="198" t="s">
        <v>7</v>
      </c>
      <c r="S413" s="103">
        <f t="shared" si="46"/>
        <v>0</v>
      </c>
      <c r="T413" s="83">
        <f t="shared" si="47"/>
        <v>0</v>
      </c>
      <c r="U413" s="9" t="str">
        <f t="shared" si="48"/>
        <v>SEM VALOR</v>
      </c>
      <c r="V413" s="1" t="str">
        <f ca="1">IF(OR($A413=0,$A413="S",$A413&gt;CFF!$A$9),"",MAX(V$12:OFFSET(V413,-1,0))+1)</f>
        <v/>
      </c>
      <c r="W413" s="4" t="str">
        <f t="shared" si="49"/>
        <v>SINAPI-92642</v>
      </c>
      <c r="X413" s="1">
        <f t="shared" ca="1" si="50"/>
        <v>4305</v>
      </c>
      <c r="Y413" s="103">
        <v>243.96</v>
      </c>
      <c r="Z413" s="113">
        <f ca="1">ROUND(IF(ISNUMBER(R413),R413,IF(LEFT(R413,3)="BDI",HLOOKUP(R413,DADOS!$T$37:$X$38,2,FALSE),0)),15-11*$X$5)</f>
        <v>0.25</v>
      </c>
      <c r="AA413" s="1"/>
    </row>
    <row r="414" spans="1:27" x14ac:dyDescent="0.25">
      <c r="A414">
        <f>CHOOSE(1+LOG(1+2*(J414="Meta")+4*(J414="Nível 2")+8*(J414="Nível 3")+16*(J414="Nível 4")+32*(J414="Serviço"),2),0,1,2,3,4,"S")</f>
        <v>2</v>
      </c>
      <c r="B414">
        <f ca="1">IF(OR(A414="S",A414=0),0,IF(ISERROR(I414),H414,SMALL(H414:I414,1)))</f>
        <v>4</v>
      </c>
      <c r="C414">
        <f ca="1">IF($A414=1,OFFSET(C414,-1,0)+1,OFFSET(C414,-1,0))</f>
        <v>17</v>
      </c>
      <c r="D414">
        <f ca="1">IF($A414=1,0,IF($A414=2,OFFSET(D414,-1,0)+1,OFFSET(D414,-1,0)))</f>
        <v>5</v>
      </c>
      <c r="E414">
        <f ca="1">IF(AND($A414&lt;=2,$A414&lt;&gt;0),0,IF($A414=3,OFFSET(E414,-1,0)+1,OFFSET(E414,-1,0)))</f>
        <v>0</v>
      </c>
      <c r="F414">
        <f ca="1">IF(AND($A414&lt;=3,$A414&lt;&gt;0),0,IF($A414=4,OFFSET(F414,-1,0)+1,OFFSET(F414,-1,0)))</f>
        <v>0</v>
      </c>
      <c r="G414">
        <f ca="1">IF(AND($A414&lt;=4,$A414&lt;&gt;0),0,IF($A414="S",OFFSET(G414,-1,0)+1,OFFSET(G414,-1,0)))</f>
        <v>0</v>
      </c>
      <c r="H414">
        <f t="shared" ca="1" si="53"/>
        <v>4</v>
      </c>
      <c r="I414">
        <f t="shared" ca="1" si="54"/>
        <v>49</v>
      </c>
      <c r="J414" s="356" t="s">
        <v>100</v>
      </c>
      <c r="K414" s="138" t="str">
        <f ca="1">IF($A414=0,"-",CONCATENATE(C414&amp;".",IF(AND($A$5&gt;=2,$A414&gt;=2),D414&amp;".",""),IF(AND($A$5&gt;=3,$A414&gt;=3),E414&amp;".",""),IF(AND($A$5&gt;=4,$A414&gt;=4),F414&amp;".",""),IF($A414="S",G414&amp;".","")))</f>
        <v>17.5.</v>
      </c>
      <c r="L414" s="357"/>
      <c r="M414" s="357"/>
      <c r="N414" s="358" t="s">
        <v>670</v>
      </c>
      <c r="O414" s="359" t="s">
        <v>106</v>
      </c>
      <c r="P414" s="360"/>
      <c r="Q414" s="195"/>
      <c r="R414" s="198" t="s">
        <v>7</v>
      </c>
      <c r="S414" s="103">
        <f>IF($A414="S",IF($Q$10="Preço Unitário (R$)",PO.CustoUnitario,ROUND(PO.CustoUnitario*(1+$Z414),15-13*$X$6)),0)</f>
        <v>0</v>
      </c>
      <c r="T414" s="83">
        <f ca="1">IF($A414="S",VTOTAL1,IF($A414=0,0,ROUND(SomaAgrup,15-13*$X$7)))</f>
        <v>0</v>
      </c>
      <c r="U414" s="9" t="str">
        <f ca="1">IF($J414="","",IF($N414="","DESCRIÇÃO",IF(AND($J414="Serviço",$O414=""),"UNIDADE",IF($T414&lt;=0,"SEM VALOR",IF(AND($Y414&lt;&gt;"",$Q414&gt;$Y414),"ACIMA REF.","")))))</f>
        <v>SEM VALOR</v>
      </c>
      <c r="V414" s="1">
        <f ca="1">IF(OR($A414=0,$A414="S",$A414&gt;CFF!$A$9),"",MAX(V$12:OFFSET(V414,-1,0))+1)</f>
        <v>62</v>
      </c>
      <c r="W414" s="4" t="b">
        <f>IF(AND($J414="Serviço",$M414&lt;&gt;""),IF($L414="",$M414,CONCATENATE($L414,"-",$M414)))</f>
        <v>0</v>
      </c>
      <c r="X414" s="1" t="str">
        <f ca="1">IF(AND(Fonte&lt;&gt;"",Código&lt;&gt;""),MATCH(Fonte&amp;" "&amp;IF(Fonte="sinapi",SUBSTITUTE(SUBSTITUTE(Código,"/00","/"),"/0","/"),Código),INDIRECT("'[Referência "&amp;_xlnm.Database&amp;".xls]Banco'!$a:$a"),0),"X")</f>
        <v>X</v>
      </c>
      <c r="Y414" s="103">
        <v>0</v>
      </c>
      <c r="Z414" s="113">
        <f ca="1">ROUND(IF(ISNUMBER(R414),R414,IF(LEFT(R414,3)="BDI",HLOOKUP(R414,DADOS!$T$37:$X$38,2,FALSE),0)),15-11*$X$5)</f>
        <v>0.25</v>
      </c>
      <c r="AA414" s="1"/>
    </row>
    <row r="415" spans="1:27" ht="26.4" x14ac:dyDescent="0.25">
      <c r="A415" t="str">
        <f t="shared" si="38"/>
        <v>S</v>
      </c>
      <c r="B415">
        <f t="shared" si="39"/>
        <v>0</v>
      </c>
      <c r="C415">
        <f t="shared" ca="1" si="40"/>
        <v>17</v>
      </c>
      <c r="D415">
        <f t="shared" ca="1" si="41"/>
        <v>5</v>
      </c>
      <c r="E415">
        <f t="shared" ca="1" si="42"/>
        <v>0</v>
      </c>
      <c r="F415">
        <f t="shared" ca="1" si="43"/>
        <v>0</v>
      </c>
      <c r="G415">
        <f t="shared" ca="1" si="44"/>
        <v>1</v>
      </c>
      <c r="H415">
        <f t="shared" ca="1" si="53"/>
        <v>0</v>
      </c>
      <c r="I415">
        <f t="shared" ca="1" si="54"/>
        <v>0</v>
      </c>
      <c r="J415" s="356" t="s">
        <v>103</v>
      </c>
      <c r="K415" s="138" t="str">
        <f t="shared" ca="1" si="45"/>
        <v>17.5.0.1.</v>
      </c>
      <c r="L415" s="357" t="s">
        <v>233</v>
      </c>
      <c r="M415" s="357" t="s">
        <v>494</v>
      </c>
      <c r="N415" s="358" t="s">
        <v>1118</v>
      </c>
      <c r="O415" s="359" t="s">
        <v>470</v>
      </c>
      <c r="P415" s="360">
        <v>36</v>
      </c>
      <c r="Q415" s="195"/>
      <c r="R415" s="198" t="s">
        <v>7</v>
      </c>
      <c r="S415" s="103">
        <f t="shared" si="46"/>
        <v>0</v>
      </c>
      <c r="T415" s="83">
        <f t="shared" si="47"/>
        <v>0</v>
      </c>
      <c r="U415" s="9" t="str">
        <f t="shared" si="48"/>
        <v>SEM VALOR</v>
      </c>
      <c r="V415" s="1" t="str">
        <f ca="1">IF(OR($A415=0,$A415="S",$A415&gt;CFF!$A$9),"",MAX(V$12:OFFSET(V415,-1,0))+1)</f>
        <v/>
      </c>
      <c r="W415" s="4" t="str">
        <f t="shared" si="49"/>
        <v>SINAPI-97599</v>
      </c>
      <c r="X415" s="1">
        <f t="shared" ca="1" si="50"/>
        <v>3258</v>
      </c>
      <c r="Y415" s="103">
        <v>23.69</v>
      </c>
      <c r="Z415" s="113">
        <f ca="1">ROUND(IF(ISNUMBER(R415),R415,IF(LEFT(R415,3)="BDI",HLOOKUP(R415,DADOS!$T$37:$X$38,2,FALSE),0)),15-11*$X$5)</f>
        <v>0.25</v>
      </c>
      <c r="AA415" s="1"/>
    </row>
    <row r="416" spans="1:27" x14ac:dyDescent="0.25">
      <c r="A416" t="str">
        <f t="shared" si="38"/>
        <v>S</v>
      </c>
      <c r="B416">
        <f t="shared" si="39"/>
        <v>0</v>
      </c>
      <c r="C416">
        <f t="shared" ca="1" si="40"/>
        <v>17</v>
      </c>
      <c r="D416">
        <f t="shared" ca="1" si="41"/>
        <v>5</v>
      </c>
      <c r="E416">
        <f t="shared" ca="1" si="42"/>
        <v>0</v>
      </c>
      <c r="F416">
        <f t="shared" ca="1" si="43"/>
        <v>0</v>
      </c>
      <c r="G416">
        <f t="shared" ca="1" si="44"/>
        <v>2</v>
      </c>
      <c r="H416">
        <f t="shared" ca="1" si="53"/>
        <v>0</v>
      </c>
      <c r="I416">
        <f t="shared" ca="1" si="54"/>
        <v>0</v>
      </c>
      <c r="J416" s="356" t="s">
        <v>103</v>
      </c>
      <c r="K416" s="138" t="str">
        <f t="shared" ca="1" si="45"/>
        <v>17.5.0.2.</v>
      </c>
      <c r="L416" s="357" t="s">
        <v>469</v>
      </c>
      <c r="M416" s="357" t="s">
        <v>839</v>
      </c>
      <c r="N416" s="358" t="s">
        <v>838</v>
      </c>
      <c r="O416" s="359" t="s">
        <v>782</v>
      </c>
      <c r="P416" s="360">
        <v>34</v>
      </c>
      <c r="Q416" s="195"/>
      <c r="R416" s="198" t="s">
        <v>7</v>
      </c>
      <c r="S416" s="103">
        <f t="shared" si="46"/>
        <v>0</v>
      </c>
      <c r="T416" s="83">
        <f t="shared" si="47"/>
        <v>0</v>
      </c>
      <c r="U416" s="9" t="str">
        <f t="shared" si="48"/>
        <v>SEM VALOR</v>
      </c>
      <c r="V416" s="1" t="str">
        <f ca="1">IF(OR($A416=0,$A416="S",$A416&gt;CFF!$A$9),"",MAX(V$12:OFFSET(V416,-1,0))+1)</f>
        <v/>
      </c>
      <c r="W416" s="4" t="str">
        <f t="shared" si="49"/>
        <v>FNDE-FNDE 303</v>
      </c>
      <c r="X416" s="1" t="e">
        <f t="shared" ca="1" si="50"/>
        <v>#N/A</v>
      </c>
      <c r="Y416" s="103">
        <v>59.84</v>
      </c>
      <c r="Z416" s="113">
        <f ca="1">ROUND(IF(ISNUMBER(R416),R416,IF(LEFT(R416,3)="BDI",HLOOKUP(R416,DADOS!$T$37:$X$38,2,FALSE),0)),15-11*$X$5)</f>
        <v>0.25</v>
      </c>
      <c r="AA416" s="1"/>
    </row>
    <row r="417" spans="1:27" ht="26.4" x14ac:dyDescent="0.25">
      <c r="A417" t="str">
        <f t="shared" si="38"/>
        <v>S</v>
      </c>
      <c r="B417">
        <f t="shared" si="39"/>
        <v>0</v>
      </c>
      <c r="C417">
        <f t="shared" ca="1" si="40"/>
        <v>17</v>
      </c>
      <c r="D417">
        <f t="shared" ca="1" si="41"/>
        <v>5</v>
      </c>
      <c r="E417">
        <f t="shared" ca="1" si="42"/>
        <v>0</v>
      </c>
      <c r="F417">
        <f t="shared" ca="1" si="43"/>
        <v>0</v>
      </c>
      <c r="G417">
        <f t="shared" ca="1" si="44"/>
        <v>3</v>
      </c>
      <c r="H417">
        <f t="shared" ca="1" si="53"/>
        <v>0</v>
      </c>
      <c r="I417">
        <f t="shared" ca="1" si="54"/>
        <v>0</v>
      </c>
      <c r="J417" s="356" t="s">
        <v>103</v>
      </c>
      <c r="K417" s="138" t="str">
        <f t="shared" ca="1" si="45"/>
        <v>17.5.0.3.</v>
      </c>
      <c r="L417" s="357" t="s">
        <v>233</v>
      </c>
      <c r="M417" s="357" t="s">
        <v>495</v>
      </c>
      <c r="N417" s="358" t="s">
        <v>1119</v>
      </c>
      <c r="O417" s="359" t="s">
        <v>635</v>
      </c>
      <c r="P417" s="360">
        <v>5</v>
      </c>
      <c r="Q417" s="195"/>
      <c r="R417" s="198" t="s">
        <v>7</v>
      </c>
      <c r="S417" s="103">
        <f t="shared" si="46"/>
        <v>0</v>
      </c>
      <c r="T417" s="83">
        <f t="shared" si="47"/>
        <v>0</v>
      </c>
      <c r="U417" s="9" t="str">
        <f t="shared" si="48"/>
        <v>SEM VALOR</v>
      </c>
      <c r="V417" s="1" t="str">
        <f ca="1">IF(OR($A417=0,$A417="S",$A417&gt;CFF!$A$9),"",MAX(V$12:OFFSET(V417,-1,0))+1)</f>
        <v/>
      </c>
      <c r="W417" s="4" t="str">
        <f t="shared" si="49"/>
        <v>SINAPI-102520</v>
      </c>
      <c r="X417" s="1">
        <f t="shared" ca="1" si="50"/>
        <v>6396</v>
      </c>
      <c r="Y417" s="103">
        <v>106.35</v>
      </c>
      <c r="Z417" s="113">
        <f ca="1">ROUND(IF(ISNUMBER(R417),R417,IF(LEFT(R417,3)="BDI",HLOOKUP(R417,DADOS!$T$37:$X$38,2,FALSE),0)),15-11*$X$5)</f>
        <v>0.25</v>
      </c>
      <c r="AA417" s="1"/>
    </row>
    <row r="418" spans="1:27" x14ac:dyDescent="0.25">
      <c r="A418">
        <f t="shared" si="38"/>
        <v>1</v>
      </c>
      <c r="B418">
        <f t="shared" ca="1" si="39"/>
        <v>60</v>
      </c>
      <c r="C418">
        <f t="shared" ca="1" si="40"/>
        <v>18</v>
      </c>
      <c r="D418">
        <f t="shared" ca="1" si="41"/>
        <v>0</v>
      </c>
      <c r="E418">
        <f t="shared" ca="1" si="42"/>
        <v>0</v>
      </c>
      <c r="F418">
        <f t="shared" ca="1" si="43"/>
        <v>0</v>
      </c>
      <c r="G418">
        <f t="shared" ca="1" si="44"/>
        <v>0</v>
      </c>
      <c r="H418">
        <f t="shared" ca="1" si="53"/>
        <v>185</v>
      </c>
      <c r="I418">
        <f t="shared" ca="1" si="54"/>
        <v>60</v>
      </c>
      <c r="J418" s="356" t="s">
        <v>99</v>
      </c>
      <c r="K418" s="138" t="str">
        <f t="shared" ca="1" si="45"/>
        <v>18.</v>
      </c>
      <c r="L418" s="357"/>
      <c r="M418" s="357"/>
      <c r="N418" s="358" t="s">
        <v>496</v>
      </c>
      <c r="O418" s="359" t="s">
        <v>106</v>
      </c>
      <c r="P418" s="360"/>
      <c r="Q418" s="195"/>
      <c r="R418" s="198" t="s">
        <v>7</v>
      </c>
      <c r="S418" s="103">
        <f t="shared" si="46"/>
        <v>0</v>
      </c>
      <c r="T418" s="83">
        <f t="shared" ca="1" si="47"/>
        <v>0</v>
      </c>
      <c r="U418" s="9" t="str">
        <f t="shared" ca="1" si="48"/>
        <v>SEM VALOR</v>
      </c>
      <c r="V418" s="1">
        <f ca="1">IF(OR($A418=0,$A418="S",$A418&gt;CFF!$A$9),"",MAX(V$12:OFFSET(V418,-1,0))+1)</f>
        <v>63</v>
      </c>
      <c r="W418" s="4" t="b">
        <f t="shared" si="49"/>
        <v>0</v>
      </c>
      <c r="X418" s="1" t="str">
        <f t="shared" ca="1" si="50"/>
        <v>X</v>
      </c>
      <c r="Y418" s="103">
        <v>0</v>
      </c>
      <c r="Z418" s="113">
        <f ca="1">ROUND(IF(ISNUMBER(R418),R418,IF(LEFT(R418,3)="BDI",HLOOKUP(R418,DADOS!$T$37:$X$38,2,FALSE),0)),15-11*$X$5)</f>
        <v>0.25</v>
      </c>
      <c r="AA418" s="1"/>
    </row>
    <row r="419" spans="1:27" x14ac:dyDescent="0.25">
      <c r="A419">
        <f t="shared" si="38"/>
        <v>2</v>
      </c>
      <c r="B419">
        <f t="shared" ca="1" si="39"/>
        <v>5</v>
      </c>
      <c r="C419">
        <f t="shared" ca="1" si="40"/>
        <v>18</v>
      </c>
      <c r="D419">
        <f t="shared" ca="1" si="41"/>
        <v>1</v>
      </c>
      <c r="E419">
        <f t="shared" ca="1" si="42"/>
        <v>0</v>
      </c>
      <c r="F419">
        <f t="shared" ca="1" si="43"/>
        <v>0</v>
      </c>
      <c r="G419">
        <f t="shared" ca="1" si="44"/>
        <v>0</v>
      </c>
      <c r="H419">
        <f t="shared" ca="1" si="53"/>
        <v>59</v>
      </c>
      <c r="I419">
        <f t="shared" ca="1" si="54"/>
        <v>5</v>
      </c>
      <c r="J419" s="356" t="s">
        <v>100</v>
      </c>
      <c r="K419" s="138" t="str">
        <f t="shared" ca="1" si="45"/>
        <v>18.1.</v>
      </c>
      <c r="L419" s="357"/>
      <c r="M419" s="357"/>
      <c r="N419" s="358" t="s">
        <v>497</v>
      </c>
      <c r="O419" s="359" t="s">
        <v>106</v>
      </c>
      <c r="P419" s="360"/>
      <c r="Q419" s="195"/>
      <c r="R419" s="198" t="s">
        <v>7</v>
      </c>
      <c r="S419" s="103">
        <f t="shared" si="46"/>
        <v>0</v>
      </c>
      <c r="T419" s="83">
        <f t="shared" ca="1" si="47"/>
        <v>0</v>
      </c>
      <c r="U419" s="9" t="str">
        <f t="shared" ca="1" si="48"/>
        <v>SEM VALOR</v>
      </c>
      <c r="V419" s="1">
        <f ca="1">IF(OR($A419=0,$A419="S",$A419&gt;CFF!$A$9),"",MAX(V$12:OFFSET(V419,-1,0))+1)</f>
        <v>64</v>
      </c>
      <c r="W419" s="4" t="b">
        <f t="shared" si="49"/>
        <v>0</v>
      </c>
      <c r="X419" s="1" t="str">
        <f t="shared" ca="1" si="50"/>
        <v>X</v>
      </c>
      <c r="Y419" s="103">
        <v>0</v>
      </c>
      <c r="Z419" s="113">
        <f ca="1">ROUND(IF(ISNUMBER(R419),R419,IF(LEFT(R419,3)="BDI",HLOOKUP(R419,DADOS!$T$37:$X$38,2,FALSE),0)),15-11*$X$5)</f>
        <v>0.25</v>
      </c>
      <c r="AA419" s="1"/>
    </row>
    <row r="420" spans="1:27" ht="26.4" x14ac:dyDescent="0.25">
      <c r="A420" t="str">
        <f t="shared" si="38"/>
        <v>S</v>
      </c>
      <c r="B420">
        <f t="shared" si="39"/>
        <v>0</v>
      </c>
      <c r="C420">
        <f t="shared" ca="1" si="40"/>
        <v>18</v>
      </c>
      <c r="D420">
        <f t="shared" ca="1" si="41"/>
        <v>1</v>
      </c>
      <c r="E420">
        <f t="shared" ca="1" si="42"/>
        <v>0</v>
      </c>
      <c r="F420">
        <f t="shared" ca="1" si="43"/>
        <v>0</v>
      </c>
      <c r="G420">
        <f t="shared" ca="1" si="44"/>
        <v>1</v>
      </c>
      <c r="H420">
        <f t="shared" ca="1" si="53"/>
        <v>0</v>
      </c>
      <c r="I420">
        <f t="shared" ca="1" si="54"/>
        <v>0</v>
      </c>
      <c r="J420" s="356" t="s">
        <v>103</v>
      </c>
      <c r="K420" s="138" t="str">
        <f t="shared" ca="1" si="45"/>
        <v>18.1.0.1.</v>
      </c>
      <c r="L420" s="357" t="s">
        <v>233</v>
      </c>
      <c r="M420" s="357" t="s">
        <v>498</v>
      </c>
      <c r="N420" s="358" t="s">
        <v>1120</v>
      </c>
      <c r="O420" s="359" t="s">
        <v>470</v>
      </c>
      <c r="P420" s="360">
        <v>1</v>
      </c>
      <c r="Q420" s="195"/>
      <c r="R420" s="198" t="s">
        <v>7</v>
      </c>
      <c r="S420" s="103">
        <f t="shared" si="46"/>
        <v>0</v>
      </c>
      <c r="T420" s="83">
        <f t="shared" si="47"/>
        <v>0</v>
      </c>
      <c r="U420" s="9" t="str">
        <f t="shared" si="48"/>
        <v>SEM VALOR</v>
      </c>
      <c r="V420" s="1" t="str">
        <f ca="1">IF(OR($A420=0,$A420="S",$A420&gt;CFF!$A$9),"",MAX(V$12:OFFSET(V420,-1,0))+1)</f>
        <v/>
      </c>
      <c r="W420" s="4" t="str">
        <f t="shared" si="49"/>
        <v>SINAPI-101875</v>
      </c>
      <c r="X420" s="1">
        <f t="shared" ca="1" si="50"/>
        <v>3138</v>
      </c>
      <c r="Y420" s="103">
        <v>512.79999999999995</v>
      </c>
      <c r="Z420" s="113">
        <f ca="1">ROUND(IF(ISNUMBER(R420),R420,IF(LEFT(R420,3)="BDI",HLOOKUP(R420,DADOS!$T$37:$X$38,2,FALSE),0)),15-11*$X$5)</f>
        <v>0.25</v>
      </c>
      <c r="AA420" s="1"/>
    </row>
    <row r="421" spans="1:27" ht="26.4" x14ac:dyDescent="0.25">
      <c r="A421" t="str">
        <f t="shared" si="38"/>
        <v>S</v>
      </c>
      <c r="B421">
        <f t="shared" si="39"/>
        <v>0</v>
      </c>
      <c r="C421">
        <f t="shared" ca="1" si="40"/>
        <v>18</v>
      </c>
      <c r="D421">
        <f t="shared" ca="1" si="41"/>
        <v>1</v>
      </c>
      <c r="E421">
        <f t="shared" ca="1" si="42"/>
        <v>0</v>
      </c>
      <c r="F421">
        <f t="shared" ca="1" si="43"/>
        <v>0</v>
      </c>
      <c r="G421">
        <f t="shared" ca="1" si="44"/>
        <v>2</v>
      </c>
      <c r="H421">
        <f t="shared" ca="1" si="53"/>
        <v>0</v>
      </c>
      <c r="I421">
        <f t="shared" ca="1" si="54"/>
        <v>0</v>
      </c>
      <c r="J421" s="356" t="s">
        <v>103</v>
      </c>
      <c r="K421" s="138" t="str">
        <f t="shared" ca="1" si="45"/>
        <v>18.1.0.2.</v>
      </c>
      <c r="L421" s="357" t="s">
        <v>233</v>
      </c>
      <c r="M421" s="357" t="s">
        <v>499</v>
      </c>
      <c r="N421" s="358" t="s">
        <v>1121</v>
      </c>
      <c r="O421" s="359" t="s">
        <v>470</v>
      </c>
      <c r="P421" s="360">
        <v>2</v>
      </c>
      <c r="Q421" s="195"/>
      <c r="R421" s="198" t="s">
        <v>7</v>
      </c>
      <c r="S421" s="103">
        <f t="shared" si="46"/>
        <v>0</v>
      </c>
      <c r="T421" s="83">
        <f t="shared" si="47"/>
        <v>0</v>
      </c>
      <c r="U421" s="9" t="str">
        <f t="shared" si="48"/>
        <v>SEM VALOR</v>
      </c>
      <c r="V421" s="1" t="str">
        <f ca="1">IF(OR($A421=0,$A421="S",$A421&gt;CFF!$A$9),"",MAX(V$12:OFFSET(V421,-1,0))+1)</f>
        <v/>
      </c>
      <c r="W421" s="4" t="str">
        <f t="shared" si="49"/>
        <v>SINAPI-101883</v>
      </c>
      <c r="X421" s="1">
        <f t="shared" ca="1" si="50"/>
        <v>3146</v>
      </c>
      <c r="Y421" s="103">
        <v>706.36</v>
      </c>
      <c r="Z421" s="113">
        <f ca="1">ROUND(IF(ISNUMBER(R421),R421,IF(LEFT(R421,3)="BDI",HLOOKUP(R421,DADOS!$T$37:$X$38,2,FALSE),0)),15-11*$X$5)</f>
        <v>0.25</v>
      </c>
      <c r="AA421" s="1"/>
    </row>
    <row r="422" spans="1:27" ht="26.4" x14ac:dyDescent="0.25">
      <c r="A422" t="str">
        <f t="shared" si="38"/>
        <v>S</v>
      </c>
      <c r="B422">
        <f t="shared" si="39"/>
        <v>0</v>
      </c>
      <c r="C422">
        <f t="shared" ca="1" si="40"/>
        <v>18</v>
      </c>
      <c r="D422">
        <f t="shared" ca="1" si="41"/>
        <v>1</v>
      </c>
      <c r="E422">
        <f t="shared" ca="1" si="42"/>
        <v>0</v>
      </c>
      <c r="F422">
        <f t="shared" ca="1" si="43"/>
        <v>0</v>
      </c>
      <c r="G422">
        <f t="shared" ca="1" si="44"/>
        <v>3</v>
      </c>
      <c r="H422">
        <f t="shared" ca="1" si="53"/>
        <v>0</v>
      </c>
      <c r="I422">
        <f t="shared" ca="1" si="54"/>
        <v>0</v>
      </c>
      <c r="J422" s="356" t="s">
        <v>103</v>
      </c>
      <c r="K422" s="138" t="str">
        <f t="shared" ca="1" si="45"/>
        <v>18.1.0.3.</v>
      </c>
      <c r="L422" s="357" t="s">
        <v>233</v>
      </c>
      <c r="M422" s="357" t="s">
        <v>500</v>
      </c>
      <c r="N422" s="358" t="s">
        <v>1122</v>
      </c>
      <c r="O422" s="359" t="s">
        <v>470</v>
      </c>
      <c r="P422" s="360">
        <v>3</v>
      </c>
      <c r="Q422" s="195"/>
      <c r="R422" s="198" t="s">
        <v>7</v>
      </c>
      <c r="S422" s="103">
        <f t="shared" si="46"/>
        <v>0</v>
      </c>
      <c r="T422" s="83">
        <f t="shared" si="47"/>
        <v>0</v>
      </c>
      <c r="U422" s="9" t="str">
        <f t="shared" si="48"/>
        <v>SEM VALOR</v>
      </c>
      <c r="V422" s="1" t="str">
        <f ca="1">IF(OR($A422=0,$A422="S",$A422&gt;CFF!$A$9),"",MAX(V$12:OFFSET(V422,-1,0))+1)</f>
        <v/>
      </c>
      <c r="W422" s="4" t="str">
        <f t="shared" si="49"/>
        <v>SINAPI-101879</v>
      </c>
      <c r="X422" s="1">
        <f t="shared" ca="1" si="50"/>
        <v>3142</v>
      </c>
      <c r="Y422" s="103">
        <v>740.79</v>
      </c>
      <c r="Z422" s="113">
        <f ca="1">ROUND(IF(ISNUMBER(R422),R422,IF(LEFT(R422,3)="BDI",HLOOKUP(R422,DADOS!$T$37:$X$38,2,FALSE),0)),15-11*$X$5)</f>
        <v>0.25</v>
      </c>
      <c r="AA422" s="1"/>
    </row>
    <row r="423" spans="1:27" ht="26.4" x14ac:dyDescent="0.25">
      <c r="A423" t="str">
        <f t="shared" si="38"/>
        <v>S</v>
      </c>
      <c r="B423">
        <f t="shared" si="39"/>
        <v>0</v>
      </c>
      <c r="C423">
        <f t="shared" ca="1" si="40"/>
        <v>18</v>
      </c>
      <c r="D423">
        <f t="shared" ca="1" si="41"/>
        <v>1</v>
      </c>
      <c r="E423">
        <f t="shared" ca="1" si="42"/>
        <v>0</v>
      </c>
      <c r="F423">
        <f t="shared" ca="1" si="43"/>
        <v>0</v>
      </c>
      <c r="G423">
        <f t="shared" ca="1" si="44"/>
        <v>4</v>
      </c>
      <c r="H423">
        <f t="shared" ca="1" si="53"/>
        <v>0</v>
      </c>
      <c r="I423">
        <f t="shared" ca="1" si="54"/>
        <v>0</v>
      </c>
      <c r="J423" s="356" t="s">
        <v>103</v>
      </c>
      <c r="K423" s="138" t="str">
        <f t="shared" ca="1" si="45"/>
        <v>18.1.0.4.</v>
      </c>
      <c r="L423" s="357" t="s">
        <v>233</v>
      </c>
      <c r="M423" s="357" t="s">
        <v>501</v>
      </c>
      <c r="N423" s="358" t="s">
        <v>1123</v>
      </c>
      <c r="O423" s="359" t="s">
        <v>470</v>
      </c>
      <c r="P423" s="360">
        <v>1</v>
      </c>
      <c r="Q423" s="195"/>
      <c r="R423" s="198" t="s">
        <v>7</v>
      </c>
      <c r="S423" s="103">
        <f t="shared" si="46"/>
        <v>0</v>
      </c>
      <c r="T423" s="83">
        <f t="shared" si="47"/>
        <v>0</v>
      </c>
      <c r="U423" s="9" t="str">
        <f t="shared" si="48"/>
        <v>SEM VALOR</v>
      </c>
      <c r="V423" s="1" t="str">
        <f ca="1">IF(OR($A423=0,$A423="S",$A423&gt;CFF!$A$9),"",MAX(V$12:OFFSET(V423,-1,0))+1)</f>
        <v/>
      </c>
      <c r="W423" s="4" t="str">
        <f t="shared" si="49"/>
        <v>SINAPI-101946</v>
      </c>
      <c r="X423" s="1">
        <f t="shared" ca="1" si="50"/>
        <v>3163</v>
      </c>
      <c r="Y423" s="103">
        <v>202.18</v>
      </c>
      <c r="Z423" s="113">
        <f ca="1">ROUND(IF(ISNUMBER(R423),R423,IF(LEFT(R423,3)="BDI",HLOOKUP(R423,DADOS!$T$37:$X$38,2,FALSE),0)),15-11*$X$5)</f>
        <v>0.25</v>
      </c>
      <c r="AA423" s="1"/>
    </row>
    <row r="424" spans="1:27" x14ac:dyDescent="0.25">
      <c r="A424">
        <f t="shared" si="38"/>
        <v>2</v>
      </c>
      <c r="B424">
        <f t="shared" ca="1" si="39"/>
        <v>16</v>
      </c>
      <c r="C424">
        <f t="shared" ca="1" si="40"/>
        <v>18</v>
      </c>
      <c r="D424">
        <f t="shared" ca="1" si="41"/>
        <v>2</v>
      </c>
      <c r="E424">
        <f t="shared" ca="1" si="42"/>
        <v>0</v>
      </c>
      <c r="F424">
        <f t="shared" ca="1" si="43"/>
        <v>0</v>
      </c>
      <c r="G424">
        <f t="shared" ca="1" si="44"/>
        <v>0</v>
      </c>
      <c r="H424">
        <f t="shared" ca="1" si="53"/>
        <v>54</v>
      </c>
      <c r="I424">
        <f t="shared" ca="1" si="54"/>
        <v>16</v>
      </c>
      <c r="J424" s="356" t="s">
        <v>100</v>
      </c>
      <c r="K424" s="138" t="str">
        <f t="shared" ca="1" si="45"/>
        <v>18.2.</v>
      </c>
      <c r="L424" s="357"/>
      <c r="M424" s="357"/>
      <c r="N424" s="358" t="s">
        <v>513</v>
      </c>
      <c r="O424" s="359" t="s">
        <v>106</v>
      </c>
      <c r="P424" s="360"/>
      <c r="Q424" s="195"/>
      <c r="R424" s="198" t="s">
        <v>7</v>
      </c>
      <c r="S424" s="103">
        <f t="shared" si="46"/>
        <v>0</v>
      </c>
      <c r="T424" s="83">
        <f t="shared" ca="1" si="47"/>
        <v>0</v>
      </c>
      <c r="U424" s="9" t="str">
        <f t="shared" ca="1" si="48"/>
        <v>SEM VALOR</v>
      </c>
      <c r="V424" s="1">
        <f ca="1">IF(OR($A424=0,$A424="S",$A424&gt;CFF!$A$9),"",MAX(V$12:OFFSET(V424,-1,0))+1)</f>
        <v>65</v>
      </c>
      <c r="W424" s="4" t="b">
        <f t="shared" si="49"/>
        <v>0</v>
      </c>
      <c r="X424" s="1" t="str">
        <f t="shared" ca="1" si="50"/>
        <v>X</v>
      </c>
      <c r="Y424" s="103">
        <v>0</v>
      </c>
      <c r="Z424" s="113">
        <f ca="1">ROUND(IF(ISNUMBER(R424),R424,IF(LEFT(R424,3)="BDI",HLOOKUP(R424,DADOS!$T$37:$X$38,2,FALSE),0)),15-11*$X$5)</f>
        <v>0.25</v>
      </c>
      <c r="AA424" s="1"/>
    </row>
    <row r="425" spans="1:27" x14ac:dyDescent="0.25">
      <c r="A425" t="str">
        <f t="shared" si="38"/>
        <v>S</v>
      </c>
      <c r="B425">
        <f t="shared" si="39"/>
        <v>0</v>
      </c>
      <c r="C425">
        <f t="shared" ca="1" si="40"/>
        <v>18</v>
      </c>
      <c r="D425">
        <f t="shared" ca="1" si="41"/>
        <v>2</v>
      </c>
      <c r="E425">
        <f t="shared" ca="1" si="42"/>
        <v>0</v>
      </c>
      <c r="F425">
        <f t="shared" ca="1" si="43"/>
        <v>0</v>
      </c>
      <c r="G425">
        <f t="shared" ca="1" si="44"/>
        <v>1</v>
      </c>
      <c r="H425">
        <f t="shared" ca="1" si="53"/>
        <v>0</v>
      </c>
      <c r="I425">
        <f t="shared" ca="1" si="54"/>
        <v>0</v>
      </c>
      <c r="J425" s="356" t="s">
        <v>103</v>
      </c>
      <c r="K425" s="138" t="str">
        <f t="shared" ca="1" si="45"/>
        <v>18.2.0.1.</v>
      </c>
      <c r="L425" s="357" t="s">
        <v>233</v>
      </c>
      <c r="M425" s="357" t="s">
        <v>502</v>
      </c>
      <c r="N425" s="358" t="s">
        <v>1124</v>
      </c>
      <c r="O425" s="359" t="s">
        <v>470</v>
      </c>
      <c r="P425" s="360">
        <v>66</v>
      </c>
      <c r="Q425" s="195"/>
      <c r="R425" s="198" t="s">
        <v>7</v>
      </c>
      <c r="S425" s="103">
        <f t="shared" si="46"/>
        <v>0</v>
      </c>
      <c r="T425" s="83">
        <f t="shared" si="47"/>
        <v>0</v>
      </c>
      <c r="U425" s="9" t="str">
        <f t="shared" si="48"/>
        <v>SEM VALOR</v>
      </c>
      <c r="V425" s="1" t="str">
        <f ca="1">IF(OR($A425=0,$A425="S",$A425&gt;CFF!$A$9),"",MAX(V$12:OFFSET(V425,-1,0))+1)</f>
        <v/>
      </c>
      <c r="W425" s="4" t="str">
        <f t="shared" si="49"/>
        <v>SINAPI-93653</v>
      </c>
      <c r="X425" s="1">
        <f t="shared" ca="1" si="50"/>
        <v>3113</v>
      </c>
      <c r="Y425" s="103">
        <v>13.28</v>
      </c>
      <c r="Z425" s="113">
        <f ca="1">ROUND(IF(ISNUMBER(R425),R425,IF(LEFT(R425,3)="BDI",HLOOKUP(R425,DADOS!$T$37:$X$38,2,FALSE),0)),15-11*$X$5)</f>
        <v>0.25</v>
      </c>
      <c r="AA425" s="1"/>
    </row>
    <row r="426" spans="1:27" x14ac:dyDescent="0.25">
      <c r="A426" t="str">
        <f t="shared" si="38"/>
        <v>S</v>
      </c>
      <c r="B426">
        <f t="shared" si="39"/>
        <v>0</v>
      </c>
      <c r="C426">
        <f t="shared" ca="1" si="40"/>
        <v>18</v>
      </c>
      <c r="D426">
        <f t="shared" ca="1" si="41"/>
        <v>2</v>
      </c>
      <c r="E426">
        <f t="shared" ca="1" si="42"/>
        <v>0</v>
      </c>
      <c r="F426">
        <f t="shared" ca="1" si="43"/>
        <v>0</v>
      </c>
      <c r="G426">
        <f t="shared" ca="1" si="44"/>
        <v>2</v>
      </c>
      <c r="H426">
        <f t="shared" ca="1" si="53"/>
        <v>0</v>
      </c>
      <c r="I426">
        <f t="shared" ca="1" si="54"/>
        <v>0</v>
      </c>
      <c r="J426" s="356" t="s">
        <v>103</v>
      </c>
      <c r="K426" s="138" t="str">
        <f t="shared" ca="1" si="45"/>
        <v>18.2.0.2.</v>
      </c>
      <c r="L426" s="357" t="s">
        <v>233</v>
      </c>
      <c r="M426" s="357" t="s">
        <v>503</v>
      </c>
      <c r="N426" s="358" t="s">
        <v>1125</v>
      </c>
      <c r="O426" s="359" t="s">
        <v>470</v>
      </c>
      <c r="P426" s="360">
        <v>5</v>
      </c>
      <c r="Q426" s="195"/>
      <c r="R426" s="198" t="s">
        <v>7</v>
      </c>
      <c r="S426" s="103">
        <f t="shared" si="46"/>
        <v>0</v>
      </c>
      <c r="T426" s="83">
        <f t="shared" si="47"/>
        <v>0</v>
      </c>
      <c r="U426" s="9" t="str">
        <f t="shared" si="48"/>
        <v>SEM VALOR</v>
      </c>
      <c r="V426" s="1" t="str">
        <f ca="1">IF(OR($A426=0,$A426="S",$A426&gt;CFF!$A$9),"",MAX(V$12:OFFSET(V426,-1,0))+1)</f>
        <v/>
      </c>
      <c r="W426" s="4" t="str">
        <f t="shared" si="49"/>
        <v>SINAPI-93654</v>
      </c>
      <c r="X426" s="1">
        <f t="shared" ca="1" si="50"/>
        <v>3114</v>
      </c>
      <c r="Y426" s="103">
        <v>14.13</v>
      </c>
      <c r="Z426" s="113">
        <f ca="1">ROUND(IF(ISNUMBER(R426),R426,IF(LEFT(R426,3)="BDI",HLOOKUP(R426,DADOS!$T$37:$X$38,2,FALSE),0)),15-11*$X$5)</f>
        <v>0.25</v>
      </c>
      <c r="AA426" s="1"/>
    </row>
    <row r="427" spans="1:27" x14ac:dyDescent="0.25">
      <c r="A427" t="str">
        <f t="shared" si="38"/>
        <v>S</v>
      </c>
      <c r="B427">
        <f t="shared" si="39"/>
        <v>0</v>
      </c>
      <c r="C427">
        <f t="shared" ca="1" si="40"/>
        <v>18</v>
      </c>
      <c r="D427">
        <f t="shared" ca="1" si="41"/>
        <v>2</v>
      </c>
      <c r="E427">
        <f t="shared" ca="1" si="42"/>
        <v>0</v>
      </c>
      <c r="F427">
        <f t="shared" ca="1" si="43"/>
        <v>0</v>
      </c>
      <c r="G427">
        <f t="shared" ca="1" si="44"/>
        <v>3</v>
      </c>
      <c r="H427">
        <f t="shared" ca="1" si="53"/>
        <v>0</v>
      </c>
      <c r="I427">
        <f t="shared" ca="1" si="54"/>
        <v>0</v>
      </c>
      <c r="J427" s="356" t="s">
        <v>103</v>
      </c>
      <c r="K427" s="138" t="str">
        <f t="shared" ca="1" si="45"/>
        <v>18.2.0.3.</v>
      </c>
      <c r="L427" s="357" t="s">
        <v>233</v>
      </c>
      <c r="M427" s="357" t="s">
        <v>504</v>
      </c>
      <c r="N427" s="358" t="s">
        <v>1126</v>
      </c>
      <c r="O427" s="359" t="s">
        <v>470</v>
      </c>
      <c r="P427" s="360">
        <v>16</v>
      </c>
      <c r="Q427" s="195"/>
      <c r="R427" s="198" t="s">
        <v>7</v>
      </c>
      <c r="S427" s="103">
        <f t="shared" si="46"/>
        <v>0</v>
      </c>
      <c r="T427" s="83">
        <f t="shared" si="47"/>
        <v>0</v>
      </c>
      <c r="U427" s="9" t="str">
        <f t="shared" si="48"/>
        <v>SEM VALOR</v>
      </c>
      <c r="V427" s="1" t="str">
        <f ca="1">IF(OR($A427=0,$A427="S",$A427&gt;CFF!$A$9),"",MAX(V$12:OFFSET(V427,-1,0))+1)</f>
        <v/>
      </c>
      <c r="W427" s="4" t="str">
        <f t="shared" si="49"/>
        <v>SINAPI-93655</v>
      </c>
      <c r="X427" s="1">
        <f t="shared" ca="1" si="50"/>
        <v>3115</v>
      </c>
      <c r="Y427" s="103">
        <v>15.8</v>
      </c>
      <c r="Z427" s="113">
        <f ca="1">ROUND(IF(ISNUMBER(R427),R427,IF(LEFT(R427,3)="BDI",HLOOKUP(R427,DADOS!$T$37:$X$38,2,FALSE),0)),15-11*$X$5)</f>
        <v>0.25</v>
      </c>
      <c r="AA427" s="1"/>
    </row>
    <row r="428" spans="1:27" x14ac:dyDescent="0.25">
      <c r="A428" t="str">
        <f t="shared" si="38"/>
        <v>S</v>
      </c>
      <c r="B428">
        <f t="shared" si="39"/>
        <v>0</v>
      </c>
      <c r="C428">
        <f t="shared" ca="1" si="40"/>
        <v>18</v>
      </c>
      <c r="D428">
        <f t="shared" ca="1" si="41"/>
        <v>2</v>
      </c>
      <c r="E428">
        <f t="shared" ca="1" si="42"/>
        <v>0</v>
      </c>
      <c r="F428">
        <f t="shared" ca="1" si="43"/>
        <v>0</v>
      </c>
      <c r="G428">
        <f t="shared" ca="1" si="44"/>
        <v>4</v>
      </c>
      <c r="H428">
        <f t="shared" ca="1" si="53"/>
        <v>0</v>
      </c>
      <c r="I428">
        <f t="shared" ca="1" si="54"/>
        <v>0</v>
      </c>
      <c r="J428" s="356" t="s">
        <v>103</v>
      </c>
      <c r="K428" s="138" t="str">
        <f t="shared" ca="1" si="45"/>
        <v>18.2.0.4.</v>
      </c>
      <c r="L428" s="357" t="s">
        <v>233</v>
      </c>
      <c r="M428" s="357" t="s">
        <v>505</v>
      </c>
      <c r="N428" s="358" t="s">
        <v>1127</v>
      </c>
      <c r="O428" s="359" t="s">
        <v>470</v>
      </c>
      <c r="P428" s="360">
        <v>4</v>
      </c>
      <c r="Q428" s="195"/>
      <c r="R428" s="198" t="s">
        <v>7</v>
      </c>
      <c r="S428" s="103">
        <f t="shared" si="46"/>
        <v>0</v>
      </c>
      <c r="T428" s="83">
        <f t="shared" si="47"/>
        <v>0</v>
      </c>
      <c r="U428" s="9" t="str">
        <f t="shared" si="48"/>
        <v>SEM VALOR</v>
      </c>
      <c r="V428" s="1" t="str">
        <f ca="1">IF(OR($A428=0,$A428="S",$A428&gt;CFF!$A$9),"",MAX(V$12:OFFSET(V428,-1,0))+1)</f>
        <v/>
      </c>
      <c r="W428" s="4" t="str">
        <f t="shared" si="49"/>
        <v>SINAPI-93656</v>
      </c>
      <c r="X428" s="1">
        <f t="shared" ca="1" si="50"/>
        <v>3116</v>
      </c>
      <c r="Y428" s="103">
        <v>15.8</v>
      </c>
      <c r="Z428" s="113">
        <f ca="1">ROUND(IF(ISNUMBER(R428),R428,IF(LEFT(R428,3)="BDI",HLOOKUP(R428,DADOS!$T$37:$X$38,2,FALSE),0)),15-11*$X$5)</f>
        <v>0.25</v>
      </c>
      <c r="AA428" s="1"/>
    </row>
    <row r="429" spans="1:27" x14ac:dyDescent="0.25">
      <c r="A429" t="str">
        <f t="shared" si="38"/>
        <v>S</v>
      </c>
      <c r="B429">
        <f t="shared" si="39"/>
        <v>0</v>
      </c>
      <c r="C429">
        <f t="shared" ca="1" si="40"/>
        <v>18</v>
      </c>
      <c r="D429">
        <f t="shared" ca="1" si="41"/>
        <v>2</v>
      </c>
      <c r="E429">
        <f t="shared" ca="1" si="42"/>
        <v>0</v>
      </c>
      <c r="F429">
        <f t="shared" ca="1" si="43"/>
        <v>0</v>
      </c>
      <c r="G429">
        <f t="shared" ca="1" si="44"/>
        <v>5</v>
      </c>
      <c r="H429">
        <f t="shared" ca="1" si="53"/>
        <v>0</v>
      </c>
      <c r="I429">
        <f t="shared" ca="1" si="54"/>
        <v>0</v>
      </c>
      <c r="J429" s="356" t="s">
        <v>103</v>
      </c>
      <c r="K429" s="138" t="str">
        <f t="shared" ca="1" si="45"/>
        <v>18.2.0.5.</v>
      </c>
      <c r="L429" s="357" t="s">
        <v>233</v>
      </c>
      <c r="M429" s="357" t="s">
        <v>506</v>
      </c>
      <c r="N429" s="358" t="s">
        <v>1128</v>
      </c>
      <c r="O429" s="359" t="s">
        <v>470</v>
      </c>
      <c r="P429" s="360">
        <v>1</v>
      </c>
      <c r="Q429" s="195"/>
      <c r="R429" s="198" t="s">
        <v>7</v>
      </c>
      <c r="S429" s="103">
        <f t="shared" si="46"/>
        <v>0</v>
      </c>
      <c r="T429" s="83">
        <f t="shared" si="47"/>
        <v>0</v>
      </c>
      <c r="U429" s="9" t="str">
        <f t="shared" si="48"/>
        <v>SEM VALOR</v>
      </c>
      <c r="V429" s="1" t="str">
        <f ca="1">IF(OR($A429=0,$A429="S",$A429&gt;CFF!$A$9),"",MAX(V$12:OFFSET(V429,-1,0))+1)</f>
        <v/>
      </c>
      <c r="W429" s="4" t="str">
        <f t="shared" si="49"/>
        <v>SINAPI-93658</v>
      </c>
      <c r="X429" s="1">
        <f t="shared" ca="1" si="50"/>
        <v>3118</v>
      </c>
      <c r="Y429" s="103">
        <v>25.64</v>
      </c>
      <c r="Z429" s="113">
        <f ca="1">ROUND(IF(ISNUMBER(R429),R429,IF(LEFT(R429,3)="BDI",HLOOKUP(R429,DADOS!$T$37:$X$38,2,FALSE),0)),15-11*$X$5)</f>
        <v>0.25</v>
      </c>
      <c r="AA429" s="1"/>
    </row>
    <row r="430" spans="1:27" x14ac:dyDescent="0.25">
      <c r="A430" t="str">
        <f t="shared" si="38"/>
        <v>S</v>
      </c>
      <c r="B430">
        <f t="shared" si="39"/>
        <v>0</v>
      </c>
      <c r="C430">
        <f t="shared" ca="1" si="40"/>
        <v>18</v>
      </c>
      <c r="D430">
        <f t="shared" ca="1" si="41"/>
        <v>2</v>
      </c>
      <c r="E430">
        <f t="shared" ca="1" si="42"/>
        <v>0</v>
      </c>
      <c r="F430">
        <f t="shared" ca="1" si="43"/>
        <v>0</v>
      </c>
      <c r="G430">
        <f t="shared" ca="1" si="44"/>
        <v>6</v>
      </c>
      <c r="H430">
        <f t="shared" ca="1" si="53"/>
        <v>0</v>
      </c>
      <c r="I430">
        <f t="shared" ca="1" si="54"/>
        <v>0</v>
      </c>
      <c r="J430" s="356" t="s">
        <v>103</v>
      </c>
      <c r="K430" s="138" t="str">
        <f t="shared" ca="1" si="45"/>
        <v>18.2.0.6.</v>
      </c>
      <c r="L430" s="357" t="s">
        <v>233</v>
      </c>
      <c r="M430" s="357" t="s">
        <v>507</v>
      </c>
      <c r="N430" s="358" t="s">
        <v>1129</v>
      </c>
      <c r="O430" s="359" t="s">
        <v>470</v>
      </c>
      <c r="P430" s="360">
        <v>2</v>
      </c>
      <c r="Q430" s="195"/>
      <c r="R430" s="198" t="s">
        <v>7</v>
      </c>
      <c r="S430" s="103">
        <f t="shared" si="46"/>
        <v>0</v>
      </c>
      <c r="T430" s="83">
        <f t="shared" si="47"/>
        <v>0</v>
      </c>
      <c r="U430" s="9" t="str">
        <f t="shared" si="48"/>
        <v>SEM VALOR</v>
      </c>
      <c r="V430" s="1" t="str">
        <f ca="1">IF(OR($A430=0,$A430="S",$A430&gt;CFF!$A$9),"",MAX(V$12:OFFSET(V430,-1,0))+1)</f>
        <v/>
      </c>
      <c r="W430" s="4" t="str">
        <f t="shared" si="49"/>
        <v>SINAPI-93668</v>
      </c>
      <c r="X430" s="1">
        <f t="shared" ca="1" si="50"/>
        <v>3128</v>
      </c>
      <c r="Y430" s="103">
        <v>80.8</v>
      </c>
      <c r="Z430" s="113">
        <f ca="1">ROUND(IF(ISNUMBER(R430),R430,IF(LEFT(R430,3)="BDI",HLOOKUP(R430,DADOS!$T$37:$X$38,2,FALSE),0)),15-11*$X$5)</f>
        <v>0.25</v>
      </c>
      <c r="AA430" s="1"/>
    </row>
    <row r="431" spans="1:27" x14ac:dyDescent="0.25">
      <c r="A431" t="str">
        <f t="shared" si="38"/>
        <v>S</v>
      </c>
      <c r="B431">
        <f t="shared" si="39"/>
        <v>0</v>
      </c>
      <c r="C431">
        <f t="shared" ca="1" si="40"/>
        <v>18</v>
      </c>
      <c r="D431">
        <f t="shared" ca="1" si="41"/>
        <v>2</v>
      </c>
      <c r="E431">
        <f t="shared" ca="1" si="42"/>
        <v>0</v>
      </c>
      <c r="F431">
        <f t="shared" ca="1" si="43"/>
        <v>0</v>
      </c>
      <c r="G431">
        <f t="shared" ca="1" si="44"/>
        <v>7</v>
      </c>
      <c r="H431">
        <f t="shared" ca="1" si="53"/>
        <v>0</v>
      </c>
      <c r="I431">
        <f t="shared" ca="1" si="54"/>
        <v>0</v>
      </c>
      <c r="J431" s="356" t="s">
        <v>103</v>
      </c>
      <c r="K431" s="138" t="str">
        <f t="shared" ca="1" si="45"/>
        <v>18.2.0.7.</v>
      </c>
      <c r="L431" s="357" t="s">
        <v>233</v>
      </c>
      <c r="M431" s="357" t="s">
        <v>508</v>
      </c>
      <c r="N431" s="358" t="s">
        <v>1130</v>
      </c>
      <c r="O431" s="359" t="s">
        <v>470</v>
      </c>
      <c r="P431" s="360">
        <v>4</v>
      </c>
      <c r="Q431" s="195"/>
      <c r="R431" s="198" t="s">
        <v>7</v>
      </c>
      <c r="S431" s="103">
        <f t="shared" si="46"/>
        <v>0</v>
      </c>
      <c r="T431" s="83">
        <f t="shared" si="47"/>
        <v>0</v>
      </c>
      <c r="U431" s="9" t="str">
        <f t="shared" si="48"/>
        <v>SEM VALOR</v>
      </c>
      <c r="V431" s="1" t="str">
        <f ca="1">IF(OR($A431=0,$A431="S",$A431&gt;CFF!$A$9),"",MAX(V$12:OFFSET(V431,-1,0))+1)</f>
        <v/>
      </c>
      <c r="W431" s="4" t="str">
        <f t="shared" si="49"/>
        <v>SINAPI-93671</v>
      </c>
      <c r="X431" s="1">
        <f t="shared" ca="1" si="50"/>
        <v>3131</v>
      </c>
      <c r="Y431" s="103">
        <v>91.96</v>
      </c>
      <c r="Z431" s="113">
        <f ca="1">ROUND(IF(ISNUMBER(R431),R431,IF(LEFT(R431,3)="BDI",HLOOKUP(R431,DADOS!$T$37:$X$38,2,FALSE),0)),15-11*$X$5)</f>
        <v>0.25</v>
      </c>
      <c r="AA431" s="1"/>
    </row>
    <row r="432" spans="1:27" x14ac:dyDescent="0.25">
      <c r="A432" t="str">
        <f t="shared" si="38"/>
        <v>S</v>
      </c>
      <c r="B432">
        <f t="shared" si="39"/>
        <v>0</v>
      </c>
      <c r="C432">
        <f t="shared" ca="1" si="40"/>
        <v>18</v>
      </c>
      <c r="D432">
        <f t="shared" ca="1" si="41"/>
        <v>2</v>
      </c>
      <c r="E432">
        <f t="shared" ca="1" si="42"/>
        <v>0</v>
      </c>
      <c r="F432">
        <f t="shared" ca="1" si="43"/>
        <v>0</v>
      </c>
      <c r="G432">
        <f t="shared" ca="1" si="44"/>
        <v>8</v>
      </c>
      <c r="H432">
        <f t="shared" ca="1" si="53"/>
        <v>0</v>
      </c>
      <c r="I432">
        <f t="shared" ca="1" si="54"/>
        <v>0</v>
      </c>
      <c r="J432" s="356" t="s">
        <v>103</v>
      </c>
      <c r="K432" s="138" t="str">
        <f t="shared" ca="1" si="45"/>
        <v>18.2.0.8.</v>
      </c>
      <c r="L432" s="357" t="s">
        <v>233</v>
      </c>
      <c r="M432" s="357" t="s">
        <v>509</v>
      </c>
      <c r="N432" s="358" t="s">
        <v>1131</v>
      </c>
      <c r="O432" s="359" t="s">
        <v>470</v>
      </c>
      <c r="P432" s="360">
        <v>2</v>
      </c>
      <c r="Q432" s="195"/>
      <c r="R432" s="198" t="s">
        <v>7</v>
      </c>
      <c r="S432" s="103">
        <f t="shared" si="46"/>
        <v>0</v>
      </c>
      <c r="T432" s="83">
        <f t="shared" si="47"/>
        <v>0</v>
      </c>
      <c r="U432" s="9" t="str">
        <f t="shared" si="48"/>
        <v>SEM VALOR</v>
      </c>
      <c r="V432" s="1" t="str">
        <f ca="1">IF(OR($A432=0,$A432="S",$A432&gt;CFF!$A$9),"",MAX(V$12:OFFSET(V432,-1,0))+1)</f>
        <v/>
      </c>
      <c r="W432" s="4" t="str">
        <f t="shared" si="49"/>
        <v>SINAPI-93672</v>
      </c>
      <c r="X432" s="1">
        <f t="shared" ca="1" si="50"/>
        <v>3132</v>
      </c>
      <c r="Y432" s="103">
        <v>101.54</v>
      </c>
      <c r="Z432" s="113">
        <f ca="1">ROUND(IF(ISNUMBER(R432),R432,IF(LEFT(R432,3)="BDI",HLOOKUP(R432,DADOS!$T$37:$X$38,2,FALSE),0)),15-11*$X$5)</f>
        <v>0.25</v>
      </c>
      <c r="AA432" s="1"/>
    </row>
    <row r="433" spans="1:27" x14ac:dyDescent="0.25">
      <c r="A433" t="str">
        <f t="shared" si="38"/>
        <v>S</v>
      </c>
      <c r="B433">
        <f t="shared" si="39"/>
        <v>0</v>
      </c>
      <c r="C433">
        <f t="shared" ca="1" si="40"/>
        <v>18</v>
      </c>
      <c r="D433">
        <f t="shared" ca="1" si="41"/>
        <v>2</v>
      </c>
      <c r="E433">
        <f t="shared" ca="1" si="42"/>
        <v>0</v>
      </c>
      <c r="F433">
        <f t="shared" ca="1" si="43"/>
        <v>0</v>
      </c>
      <c r="G433">
        <f t="shared" ca="1" si="44"/>
        <v>9</v>
      </c>
      <c r="H433">
        <f t="shared" ca="1" si="53"/>
        <v>0</v>
      </c>
      <c r="I433">
        <f t="shared" ca="1" si="54"/>
        <v>0</v>
      </c>
      <c r="J433" s="356" t="s">
        <v>103</v>
      </c>
      <c r="K433" s="138" t="str">
        <f t="shared" ca="1" si="45"/>
        <v>18.2.0.9.</v>
      </c>
      <c r="L433" s="357" t="s">
        <v>233</v>
      </c>
      <c r="M433" s="357" t="s">
        <v>510</v>
      </c>
      <c r="N433" s="358" t="s">
        <v>1132</v>
      </c>
      <c r="O433" s="359" t="s">
        <v>470</v>
      </c>
      <c r="P433" s="360">
        <v>2</v>
      </c>
      <c r="Q433" s="195"/>
      <c r="R433" s="198" t="s">
        <v>7</v>
      </c>
      <c r="S433" s="103">
        <f t="shared" si="46"/>
        <v>0</v>
      </c>
      <c r="T433" s="83">
        <f t="shared" si="47"/>
        <v>0</v>
      </c>
      <c r="U433" s="9" t="str">
        <f t="shared" si="48"/>
        <v>SEM VALOR</v>
      </c>
      <c r="V433" s="1" t="str">
        <f ca="1">IF(OR($A433=0,$A433="S",$A433&gt;CFF!$A$9),"",MAX(V$12:OFFSET(V433,-1,0))+1)</f>
        <v/>
      </c>
      <c r="W433" s="4" t="str">
        <f t="shared" si="49"/>
        <v>SINAPI-93673</v>
      </c>
      <c r="X433" s="1">
        <f t="shared" ca="1" si="50"/>
        <v>3133</v>
      </c>
      <c r="Y433" s="103">
        <v>113.86</v>
      </c>
      <c r="Z433" s="113">
        <f ca="1">ROUND(IF(ISNUMBER(R433),R433,IF(LEFT(R433,3)="BDI",HLOOKUP(R433,DADOS!$T$37:$X$38,2,FALSE),0)),15-11*$X$5)</f>
        <v>0.25</v>
      </c>
      <c r="AA433" s="1"/>
    </row>
    <row r="434" spans="1:27" ht="26.4" x14ac:dyDescent="0.25">
      <c r="A434" t="str">
        <f t="shared" si="38"/>
        <v>S</v>
      </c>
      <c r="B434">
        <f t="shared" si="39"/>
        <v>0</v>
      </c>
      <c r="C434">
        <f t="shared" ca="1" si="40"/>
        <v>18</v>
      </c>
      <c r="D434">
        <f t="shared" ca="1" si="41"/>
        <v>2</v>
      </c>
      <c r="E434">
        <f t="shared" ca="1" si="42"/>
        <v>0</v>
      </c>
      <c r="F434">
        <f t="shared" ca="1" si="43"/>
        <v>0</v>
      </c>
      <c r="G434">
        <f t="shared" ca="1" si="44"/>
        <v>10</v>
      </c>
      <c r="H434">
        <f t="shared" ca="1" si="53"/>
        <v>0</v>
      </c>
      <c r="I434">
        <f t="shared" ca="1" si="54"/>
        <v>0</v>
      </c>
      <c r="J434" s="356" t="s">
        <v>103</v>
      </c>
      <c r="K434" s="138" t="str">
        <f t="shared" ca="1" si="45"/>
        <v>18.2.0.10.</v>
      </c>
      <c r="L434" s="357" t="s">
        <v>233</v>
      </c>
      <c r="M434" s="357" t="s">
        <v>511</v>
      </c>
      <c r="N434" s="358" t="s">
        <v>1133</v>
      </c>
      <c r="O434" s="359" t="s">
        <v>470</v>
      </c>
      <c r="P434" s="360">
        <v>2</v>
      </c>
      <c r="Q434" s="195"/>
      <c r="R434" s="198" t="s">
        <v>7</v>
      </c>
      <c r="S434" s="103">
        <f t="shared" si="46"/>
        <v>0</v>
      </c>
      <c r="T434" s="83">
        <f t="shared" si="47"/>
        <v>0</v>
      </c>
      <c r="U434" s="9" t="str">
        <f t="shared" si="48"/>
        <v>SEM VALOR</v>
      </c>
      <c r="V434" s="1" t="str">
        <f ca="1">IF(OR($A434=0,$A434="S",$A434&gt;CFF!$A$9),"",MAX(V$12:OFFSET(V434,-1,0))+1)</f>
        <v/>
      </c>
      <c r="W434" s="4" t="str">
        <f t="shared" si="49"/>
        <v>SINAPI-101894</v>
      </c>
      <c r="X434" s="1">
        <f t="shared" ca="1" si="50"/>
        <v>3151</v>
      </c>
      <c r="Y434" s="103">
        <v>181.55</v>
      </c>
      <c r="Z434" s="113">
        <f ca="1">ROUND(IF(ISNUMBER(R434),R434,IF(LEFT(R434,3)="BDI",HLOOKUP(R434,DADOS!$T$37:$X$38,2,FALSE),0)),15-11*$X$5)</f>
        <v>0.25</v>
      </c>
      <c r="AA434" s="1"/>
    </row>
    <row r="435" spans="1:27" ht="26.4" x14ac:dyDescent="0.25">
      <c r="A435" t="str">
        <f t="shared" si="38"/>
        <v>S</v>
      </c>
      <c r="B435">
        <f t="shared" si="39"/>
        <v>0</v>
      </c>
      <c r="C435">
        <f t="shared" ca="1" si="40"/>
        <v>18</v>
      </c>
      <c r="D435">
        <f t="shared" ca="1" si="41"/>
        <v>2</v>
      </c>
      <c r="E435">
        <f t="shared" ca="1" si="42"/>
        <v>0</v>
      </c>
      <c r="F435">
        <f t="shared" ca="1" si="43"/>
        <v>0</v>
      </c>
      <c r="G435">
        <f t="shared" ca="1" si="44"/>
        <v>11</v>
      </c>
      <c r="H435">
        <f t="shared" ca="1" si="53"/>
        <v>0</v>
      </c>
      <c r="I435">
        <f t="shared" ca="1" si="54"/>
        <v>0</v>
      </c>
      <c r="J435" s="356" t="s">
        <v>103</v>
      </c>
      <c r="K435" s="138" t="str">
        <f t="shared" ca="1" si="45"/>
        <v>18.2.0.11.</v>
      </c>
      <c r="L435" s="357" t="s">
        <v>233</v>
      </c>
      <c r="M435" s="357" t="s">
        <v>512</v>
      </c>
      <c r="N435" s="358" t="s">
        <v>1134</v>
      </c>
      <c r="O435" s="359" t="s">
        <v>470</v>
      </c>
      <c r="P435" s="360">
        <v>2</v>
      </c>
      <c r="Q435" s="195"/>
      <c r="R435" s="198" t="s">
        <v>7</v>
      </c>
      <c r="S435" s="103">
        <f t="shared" si="46"/>
        <v>0</v>
      </c>
      <c r="T435" s="83">
        <f t="shared" si="47"/>
        <v>0</v>
      </c>
      <c r="U435" s="9" t="str">
        <f t="shared" si="48"/>
        <v>SEM VALOR</v>
      </c>
      <c r="V435" s="1" t="str">
        <f ca="1">IF(OR($A435=0,$A435="S",$A435&gt;CFF!$A$9),"",MAX(V$12:OFFSET(V435,-1,0))+1)</f>
        <v/>
      </c>
      <c r="W435" s="4" t="str">
        <f t="shared" si="49"/>
        <v>SINAPI-101897</v>
      </c>
      <c r="X435" s="1">
        <f t="shared" ca="1" si="50"/>
        <v>3154</v>
      </c>
      <c r="Y435" s="103">
        <v>1112.23</v>
      </c>
      <c r="Z435" s="113">
        <f ca="1">ROUND(IF(ISNUMBER(R435),R435,IF(LEFT(R435,3)="BDI",HLOOKUP(R435,DADOS!$T$37:$X$38,2,FALSE),0)),15-11*$X$5)</f>
        <v>0.25</v>
      </c>
      <c r="AA435" s="1"/>
    </row>
    <row r="436" spans="1:27" x14ac:dyDescent="0.25">
      <c r="A436" t="str">
        <f t="shared" si="38"/>
        <v>S</v>
      </c>
      <c r="B436">
        <f t="shared" si="39"/>
        <v>0</v>
      </c>
      <c r="C436">
        <f t="shared" ca="1" si="40"/>
        <v>18</v>
      </c>
      <c r="D436">
        <f t="shared" ca="1" si="41"/>
        <v>2</v>
      </c>
      <c r="E436">
        <f t="shared" ca="1" si="42"/>
        <v>0</v>
      </c>
      <c r="F436">
        <f t="shared" ca="1" si="43"/>
        <v>0</v>
      </c>
      <c r="G436">
        <f t="shared" ca="1" si="44"/>
        <v>12</v>
      </c>
      <c r="H436">
        <f t="shared" ca="1" si="53"/>
        <v>0</v>
      </c>
      <c r="I436">
        <f t="shared" ca="1" si="54"/>
        <v>0</v>
      </c>
      <c r="J436" s="356" t="s">
        <v>103</v>
      </c>
      <c r="K436" s="138" t="str">
        <f t="shared" ca="1" si="45"/>
        <v>18.2.0.12.</v>
      </c>
      <c r="L436" s="357" t="s">
        <v>469</v>
      </c>
      <c r="M436" s="357" t="s">
        <v>840</v>
      </c>
      <c r="N436" s="358" t="s">
        <v>514</v>
      </c>
      <c r="O436" s="359" t="s">
        <v>470</v>
      </c>
      <c r="P436" s="360">
        <v>1</v>
      </c>
      <c r="Q436" s="195"/>
      <c r="R436" s="198" t="s">
        <v>7</v>
      </c>
      <c r="S436" s="103">
        <f t="shared" si="46"/>
        <v>0</v>
      </c>
      <c r="T436" s="83">
        <f t="shared" si="47"/>
        <v>0</v>
      </c>
      <c r="U436" s="9" t="str">
        <f t="shared" si="48"/>
        <v>SEM VALOR</v>
      </c>
      <c r="V436" s="1" t="str">
        <f ca="1">IF(OR($A436=0,$A436="S",$A436&gt;CFF!$A$9),"",MAX(V$12:OFFSET(V436,-1,0))+1)</f>
        <v/>
      </c>
      <c r="W436" s="4" t="str">
        <f t="shared" si="49"/>
        <v>FNDE-FNDE 86</v>
      </c>
      <c r="X436" s="1" t="e">
        <f t="shared" ca="1" si="50"/>
        <v>#N/A</v>
      </c>
      <c r="Y436" s="103">
        <v>175.89</v>
      </c>
      <c r="Z436" s="113">
        <f ca="1">ROUND(IF(ISNUMBER(R436),R436,IF(LEFT(R436,3)="BDI",HLOOKUP(R436,DADOS!$T$37:$X$38,2,FALSE),0)),15-11*$X$5)</f>
        <v>0.25</v>
      </c>
      <c r="AA436" s="1"/>
    </row>
    <row r="437" spans="1:27" x14ac:dyDescent="0.25">
      <c r="A437" t="str">
        <f t="shared" si="38"/>
        <v>S</v>
      </c>
      <c r="B437">
        <f t="shared" si="39"/>
        <v>0</v>
      </c>
      <c r="C437">
        <f t="shared" ca="1" si="40"/>
        <v>18</v>
      </c>
      <c r="D437">
        <f t="shared" ca="1" si="41"/>
        <v>2</v>
      </c>
      <c r="E437">
        <f t="shared" ca="1" si="42"/>
        <v>0</v>
      </c>
      <c r="F437">
        <f t="shared" ca="1" si="43"/>
        <v>0</v>
      </c>
      <c r="G437">
        <f t="shared" ca="1" si="44"/>
        <v>13</v>
      </c>
      <c r="H437">
        <f t="shared" ca="1" si="53"/>
        <v>0</v>
      </c>
      <c r="I437">
        <f t="shared" ca="1" si="54"/>
        <v>0</v>
      </c>
      <c r="J437" s="356" t="s">
        <v>103</v>
      </c>
      <c r="K437" s="138" t="str">
        <f t="shared" ca="1" si="45"/>
        <v>18.2.0.13.</v>
      </c>
      <c r="L437" s="357" t="s">
        <v>469</v>
      </c>
      <c r="M437" s="357" t="s">
        <v>841</v>
      </c>
      <c r="N437" s="358" t="s">
        <v>515</v>
      </c>
      <c r="O437" s="359" t="s">
        <v>470</v>
      </c>
      <c r="P437" s="360">
        <v>5</v>
      </c>
      <c r="Q437" s="195"/>
      <c r="R437" s="198" t="s">
        <v>7</v>
      </c>
      <c r="S437" s="103">
        <f t="shared" si="46"/>
        <v>0</v>
      </c>
      <c r="T437" s="83">
        <f t="shared" si="47"/>
        <v>0</v>
      </c>
      <c r="U437" s="9" t="str">
        <f t="shared" si="48"/>
        <v>SEM VALOR</v>
      </c>
      <c r="V437" s="1" t="str">
        <f ca="1">IF(OR($A437=0,$A437="S",$A437&gt;CFF!$A$9),"",MAX(V$12:OFFSET(V437,-1,0))+1)</f>
        <v/>
      </c>
      <c r="W437" s="4" t="str">
        <f t="shared" si="49"/>
        <v>FNDE-FNDE 87</v>
      </c>
      <c r="X437" s="1" t="e">
        <f t="shared" ca="1" si="50"/>
        <v>#N/A</v>
      </c>
      <c r="Y437" s="103">
        <v>182.96</v>
      </c>
      <c r="Z437" s="113">
        <f ca="1">ROUND(IF(ISNUMBER(R437),R437,IF(LEFT(R437,3)="BDI",HLOOKUP(R437,DADOS!$T$37:$X$38,2,FALSE),0)),15-11*$X$5)</f>
        <v>0.25</v>
      </c>
      <c r="AA437" s="1"/>
    </row>
    <row r="438" spans="1:27" x14ac:dyDescent="0.25">
      <c r="A438" t="str">
        <f t="shared" si="38"/>
        <v>S</v>
      </c>
      <c r="B438">
        <f t="shared" si="39"/>
        <v>0</v>
      </c>
      <c r="C438">
        <f t="shared" ca="1" si="40"/>
        <v>18</v>
      </c>
      <c r="D438">
        <f t="shared" ca="1" si="41"/>
        <v>2</v>
      </c>
      <c r="E438">
        <f t="shared" ca="1" si="42"/>
        <v>0</v>
      </c>
      <c r="F438">
        <f t="shared" ca="1" si="43"/>
        <v>0</v>
      </c>
      <c r="G438">
        <f t="shared" ca="1" si="44"/>
        <v>14</v>
      </c>
      <c r="H438">
        <f t="shared" ca="1" si="53"/>
        <v>0</v>
      </c>
      <c r="I438">
        <f t="shared" ca="1" si="54"/>
        <v>0</v>
      </c>
      <c r="J438" s="356" t="s">
        <v>103</v>
      </c>
      <c r="K438" s="138" t="str">
        <f t="shared" ca="1" si="45"/>
        <v>18.2.0.14.</v>
      </c>
      <c r="L438" s="357" t="s">
        <v>469</v>
      </c>
      <c r="M438" s="357" t="s">
        <v>842</v>
      </c>
      <c r="N438" s="358" t="s">
        <v>516</v>
      </c>
      <c r="O438" s="359" t="s">
        <v>470</v>
      </c>
      <c r="P438" s="360">
        <v>40</v>
      </c>
      <c r="Q438" s="195"/>
      <c r="R438" s="198" t="s">
        <v>7</v>
      </c>
      <c r="S438" s="103">
        <f t="shared" si="46"/>
        <v>0</v>
      </c>
      <c r="T438" s="83">
        <f t="shared" si="47"/>
        <v>0</v>
      </c>
      <c r="U438" s="9" t="str">
        <f t="shared" si="48"/>
        <v>SEM VALOR</v>
      </c>
      <c r="V438" s="1" t="str">
        <f ca="1">IF(OR($A438=0,$A438="S",$A438&gt;CFF!$A$9),"",MAX(V$12:OFFSET(V438,-1,0))+1)</f>
        <v/>
      </c>
      <c r="W438" s="4" t="str">
        <f t="shared" si="49"/>
        <v>FNDE-FNDE 88</v>
      </c>
      <c r="X438" s="1" t="e">
        <f t="shared" ca="1" si="50"/>
        <v>#N/A</v>
      </c>
      <c r="Y438" s="103">
        <v>127.89</v>
      </c>
      <c r="Z438" s="113">
        <f ca="1">ROUND(IF(ISNUMBER(R438),R438,IF(LEFT(R438,3)="BDI",HLOOKUP(R438,DADOS!$T$37:$X$38,2,FALSE),0)),15-11*$X$5)</f>
        <v>0.25</v>
      </c>
      <c r="AA438" s="1"/>
    </row>
    <row r="439" spans="1:27" x14ac:dyDescent="0.25">
      <c r="A439" t="str">
        <f t="shared" si="38"/>
        <v>S</v>
      </c>
      <c r="B439">
        <f t="shared" si="39"/>
        <v>0</v>
      </c>
      <c r="C439">
        <f t="shared" ca="1" si="40"/>
        <v>18</v>
      </c>
      <c r="D439">
        <f t="shared" ca="1" si="41"/>
        <v>2</v>
      </c>
      <c r="E439">
        <f t="shared" ca="1" si="42"/>
        <v>0</v>
      </c>
      <c r="F439">
        <f t="shared" ca="1" si="43"/>
        <v>0</v>
      </c>
      <c r="G439">
        <f t="shared" ca="1" si="44"/>
        <v>15</v>
      </c>
      <c r="H439">
        <f t="shared" ca="1" si="53"/>
        <v>0</v>
      </c>
      <c r="I439">
        <f t="shared" ca="1" si="54"/>
        <v>0</v>
      </c>
      <c r="J439" s="356" t="s">
        <v>103</v>
      </c>
      <c r="K439" s="138" t="str">
        <f t="shared" ca="1" si="45"/>
        <v>18.2.0.15.</v>
      </c>
      <c r="L439" s="357" t="s">
        <v>469</v>
      </c>
      <c r="M439" s="357" t="s">
        <v>843</v>
      </c>
      <c r="N439" s="358" t="s">
        <v>517</v>
      </c>
      <c r="O439" s="359" t="s">
        <v>470</v>
      </c>
      <c r="P439" s="360">
        <v>8</v>
      </c>
      <c r="Q439" s="195"/>
      <c r="R439" s="198" t="s">
        <v>7</v>
      </c>
      <c r="S439" s="103">
        <f t="shared" si="46"/>
        <v>0</v>
      </c>
      <c r="T439" s="83">
        <f t="shared" si="47"/>
        <v>0</v>
      </c>
      <c r="U439" s="9" t="str">
        <f t="shared" si="48"/>
        <v>SEM VALOR</v>
      </c>
      <c r="V439" s="1" t="str">
        <f ca="1">IF(OR($A439=0,$A439="S",$A439&gt;CFF!$A$9),"",MAX(V$12:OFFSET(V439,-1,0))+1)</f>
        <v/>
      </c>
      <c r="W439" s="4" t="str">
        <f t="shared" si="49"/>
        <v>FNDE-FNDE 89</v>
      </c>
      <c r="X439" s="1" t="e">
        <f t="shared" ca="1" si="50"/>
        <v>#N/A</v>
      </c>
      <c r="Y439" s="103">
        <v>209</v>
      </c>
      <c r="Z439" s="113">
        <f ca="1">ROUND(IF(ISNUMBER(R439),R439,IF(LEFT(R439,3)="BDI",HLOOKUP(R439,DADOS!$T$37:$X$38,2,FALSE),0)),15-11*$X$5)</f>
        <v>0.25</v>
      </c>
      <c r="AA439" s="1"/>
    </row>
    <row r="440" spans="1:27" x14ac:dyDescent="0.25">
      <c r="A440">
        <f t="shared" si="38"/>
        <v>2</v>
      </c>
      <c r="B440">
        <f t="shared" ca="1" si="39"/>
        <v>10</v>
      </c>
      <c r="C440">
        <f t="shared" ca="1" si="40"/>
        <v>18</v>
      </c>
      <c r="D440">
        <f t="shared" ca="1" si="41"/>
        <v>3</v>
      </c>
      <c r="E440">
        <f t="shared" ca="1" si="42"/>
        <v>0</v>
      </c>
      <c r="F440">
        <f t="shared" ca="1" si="43"/>
        <v>0</v>
      </c>
      <c r="G440">
        <f t="shared" ca="1" si="44"/>
        <v>0</v>
      </c>
      <c r="H440">
        <f t="shared" ca="1" si="53"/>
        <v>38</v>
      </c>
      <c r="I440">
        <f t="shared" ca="1" si="54"/>
        <v>10</v>
      </c>
      <c r="J440" s="356" t="s">
        <v>100</v>
      </c>
      <c r="K440" s="138" t="str">
        <f t="shared" ca="1" si="45"/>
        <v>18.3.</v>
      </c>
      <c r="L440" s="357"/>
      <c r="M440" s="357"/>
      <c r="N440" s="358" t="s">
        <v>518</v>
      </c>
      <c r="O440" s="359" t="s">
        <v>106</v>
      </c>
      <c r="P440" s="360"/>
      <c r="Q440" s="195"/>
      <c r="R440" s="198" t="s">
        <v>7</v>
      </c>
      <c r="S440" s="103">
        <f t="shared" si="46"/>
        <v>0</v>
      </c>
      <c r="T440" s="83">
        <f t="shared" ca="1" si="47"/>
        <v>0</v>
      </c>
      <c r="U440" s="9" t="str">
        <f t="shared" ca="1" si="48"/>
        <v>SEM VALOR</v>
      </c>
      <c r="V440" s="1">
        <f ca="1">IF(OR($A440=0,$A440="S",$A440&gt;CFF!$A$9),"",MAX(V$12:OFFSET(V440,-1,0))+1)</f>
        <v>66</v>
      </c>
      <c r="W440" s="4" t="b">
        <f t="shared" si="49"/>
        <v>0</v>
      </c>
      <c r="X440" s="1" t="str">
        <f t="shared" ca="1" si="50"/>
        <v>X</v>
      </c>
      <c r="Y440" s="103">
        <v>0</v>
      </c>
      <c r="Z440" s="113">
        <f ca="1">ROUND(IF(ISNUMBER(R440),R440,IF(LEFT(R440,3)="BDI",HLOOKUP(R440,DADOS!$T$37:$X$38,2,FALSE),0)),15-11*$X$5)</f>
        <v>0.25</v>
      </c>
      <c r="AA440" s="1"/>
    </row>
    <row r="441" spans="1:27" ht="26.4" x14ac:dyDescent="0.25">
      <c r="A441" t="str">
        <f t="shared" si="38"/>
        <v>S</v>
      </c>
      <c r="B441">
        <f t="shared" si="39"/>
        <v>0</v>
      </c>
      <c r="C441">
        <f t="shared" ca="1" si="40"/>
        <v>18</v>
      </c>
      <c r="D441">
        <f t="shared" ca="1" si="41"/>
        <v>3</v>
      </c>
      <c r="E441">
        <f t="shared" ca="1" si="42"/>
        <v>0</v>
      </c>
      <c r="F441">
        <f t="shared" ca="1" si="43"/>
        <v>0</v>
      </c>
      <c r="G441">
        <f t="shared" ca="1" si="44"/>
        <v>1</v>
      </c>
      <c r="H441">
        <f t="shared" ca="1" si="53"/>
        <v>0</v>
      </c>
      <c r="I441">
        <f t="shared" ca="1" si="54"/>
        <v>0</v>
      </c>
      <c r="J441" s="356" t="s">
        <v>103</v>
      </c>
      <c r="K441" s="138" t="str">
        <f t="shared" ca="1" si="45"/>
        <v>18.3.0.1.</v>
      </c>
      <c r="L441" s="357" t="s">
        <v>233</v>
      </c>
      <c r="M441" s="357" t="s">
        <v>519</v>
      </c>
      <c r="N441" s="358" t="s">
        <v>1135</v>
      </c>
      <c r="O441" s="359" t="s">
        <v>590</v>
      </c>
      <c r="P441" s="360">
        <v>408.3</v>
      </c>
      <c r="Q441" s="195"/>
      <c r="R441" s="198" t="s">
        <v>7</v>
      </c>
      <c r="S441" s="103">
        <f t="shared" si="46"/>
        <v>0</v>
      </c>
      <c r="T441" s="83">
        <f t="shared" si="47"/>
        <v>0</v>
      </c>
      <c r="U441" s="9" t="str">
        <f t="shared" si="48"/>
        <v>SEM VALOR</v>
      </c>
      <c r="V441" s="1" t="str">
        <f ca="1">IF(OR($A441=0,$A441="S",$A441&gt;CFF!$A$9),"",MAX(V$12:OFFSET(V441,-1,0))+1)</f>
        <v/>
      </c>
      <c r="W441" s="4" t="str">
        <f t="shared" si="49"/>
        <v>SINAPI-91834</v>
      </c>
      <c r="X441" s="1">
        <f t="shared" ca="1" si="50"/>
        <v>2914</v>
      </c>
      <c r="Y441" s="103">
        <v>25.45</v>
      </c>
      <c r="Z441" s="113">
        <f ca="1">ROUND(IF(ISNUMBER(R441),R441,IF(LEFT(R441,3)="BDI",HLOOKUP(R441,DADOS!$T$37:$X$38,2,FALSE),0)),15-11*$X$5)</f>
        <v>0.25</v>
      </c>
      <c r="AA441" s="1"/>
    </row>
    <row r="442" spans="1:27" ht="26.4" x14ac:dyDescent="0.25">
      <c r="A442" t="str">
        <f t="shared" si="38"/>
        <v>S</v>
      </c>
      <c r="B442">
        <f t="shared" si="39"/>
        <v>0</v>
      </c>
      <c r="C442">
        <f t="shared" ca="1" si="40"/>
        <v>18</v>
      </c>
      <c r="D442">
        <f t="shared" ca="1" si="41"/>
        <v>3</v>
      </c>
      <c r="E442">
        <f t="shared" ca="1" si="42"/>
        <v>0</v>
      </c>
      <c r="F442">
        <f t="shared" ca="1" si="43"/>
        <v>0</v>
      </c>
      <c r="G442">
        <f t="shared" ca="1" si="44"/>
        <v>2</v>
      </c>
      <c r="H442">
        <f t="shared" ca="1" si="53"/>
        <v>0</v>
      </c>
      <c r="I442">
        <f t="shared" ca="1" si="54"/>
        <v>0</v>
      </c>
      <c r="J442" s="356" t="s">
        <v>103</v>
      </c>
      <c r="K442" s="138" t="str">
        <f t="shared" ca="1" si="45"/>
        <v>18.3.0.2.</v>
      </c>
      <c r="L442" s="357" t="s">
        <v>233</v>
      </c>
      <c r="M442" s="357" t="s">
        <v>520</v>
      </c>
      <c r="N442" s="358" t="s">
        <v>1136</v>
      </c>
      <c r="O442" s="359" t="s">
        <v>590</v>
      </c>
      <c r="P442" s="360">
        <v>174.4</v>
      </c>
      <c r="Q442" s="195"/>
      <c r="R442" s="198" t="s">
        <v>7</v>
      </c>
      <c r="S442" s="103">
        <f t="shared" si="46"/>
        <v>0</v>
      </c>
      <c r="T442" s="83">
        <f t="shared" si="47"/>
        <v>0</v>
      </c>
      <c r="U442" s="9" t="str">
        <f t="shared" si="48"/>
        <v>SEM VALOR</v>
      </c>
      <c r="V442" s="1" t="str">
        <f ca="1">IF(OR($A442=0,$A442="S",$A442&gt;CFF!$A$9),"",MAX(V$12:OFFSET(V442,-1,0))+1)</f>
        <v/>
      </c>
      <c r="W442" s="4" t="str">
        <f t="shared" si="49"/>
        <v>SINAPI-91836</v>
      </c>
      <c r="X442" s="1">
        <f t="shared" ca="1" si="50"/>
        <v>2916</v>
      </c>
      <c r="Y442" s="103">
        <v>29.6</v>
      </c>
      <c r="Z442" s="113">
        <f ca="1">ROUND(IF(ISNUMBER(R442),R442,IF(LEFT(R442,3)="BDI",HLOOKUP(R442,DADOS!$T$37:$X$38,2,FALSE),0)),15-11*$X$5)</f>
        <v>0.25</v>
      </c>
      <c r="AA442" s="1"/>
    </row>
    <row r="443" spans="1:27" ht="26.4" x14ac:dyDescent="0.25">
      <c r="A443" t="str">
        <f t="shared" si="38"/>
        <v>S</v>
      </c>
      <c r="B443">
        <f t="shared" si="39"/>
        <v>0</v>
      </c>
      <c r="C443">
        <f t="shared" ca="1" si="40"/>
        <v>18</v>
      </c>
      <c r="D443">
        <f t="shared" ca="1" si="41"/>
        <v>3</v>
      </c>
      <c r="E443">
        <f t="shared" ca="1" si="42"/>
        <v>0</v>
      </c>
      <c r="F443">
        <f t="shared" ca="1" si="43"/>
        <v>0</v>
      </c>
      <c r="G443">
        <f t="shared" ca="1" si="44"/>
        <v>3</v>
      </c>
      <c r="H443">
        <f t="shared" ca="1" si="53"/>
        <v>0</v>
      </c>
      <c r="I443">
        <f t="shared" ca="1" si="54"/>
        <v>0</v>
      </c>
      <c r="J443" s="356" t="s">
        <v>103</v>
      </c>
      <c r="K443" s="138" t="str">
        <f t="shared" ca="1" si="45"/>
        <v>18.3.0.3.</v>
      </c>
      <c r="L443" s="357" t="s">
        <v>233</v>
      </c>
      <c r="M443" s="357" t="s">
        <v>521</v>
      </c>
      <c r="N443" s="358" t="s">
        <v>1137</v>
      </c>
      <c r="O443" s="359" t="s">
        <v>590</v>
      </c>
      <c r="P443" s="360">
        <v>334.9</v>
      </c>
      <c r="Q443" s="195"/>
      <c r="R443" s="198" t="s">
        <v>7</v>
      </c>
      <c r="S443" s="103">
        <f t="shared" si="46"/>
        <v>0</v>
      </c>
      <c r="T443" s="83">
        <f t="shared" si="47"/>
        <v>0</v>
      </c>
      <c r="U443" s="9" t="str">
        <f t="shared" si="48"/>
        <v>SEM VALOR</v>
      </c>
      <c r="V443" s="1" t="str">
        <f ca="1">IF(OR($A443=0,$A443="S",$A443&gt;CFF!$A$9),"",MAX(V$12:OFFSET(V443,-1,0))+1)</f>
        <v/>
      </c>
      <c r="W443" s="4" t="str">
        <f t="shared" si="49"/>
        <v>SINAPI-93008</v>
      </c>
      <c r="X443" s="1">
        <f t="shared" ca="1" si="50"/>
        <v>2948</v>
      </c>
      <c r="Y443" s="103">
        <v>27.24</v>
      </c>
      <c r="Z443" s="113">
        <f ca="1">ROUND(IF(ISNUMBER(R443),R443,IF(LEFT(R443,3)="BDI",HLOOKUP(R443,DADOS!$T$37:$X$38,2,FALSE),0)),15-11*$X$5)</f>
        <v>0.25</v>
      </c>
      <c r="AA443" s="1"/>
    </row>
    <row r="444" spans="1:27" ht="26.4" x14ac:dyDescent="0.25">
      <c r="A444" t="str">
        <f t="shared" si="38"/>
        <v>S</v>
      </c>
      <c r="B444">
        <f t="shared" si="39"/>
        <v>0</v>
      </c>
      <c r="C444">
        <f t="shared" ca="1" si="40"/>
        <v>18</v>
      </c>
      <c r="D444">
        <f t="shared" ca="1" si="41"/>
        <v>3</v>
      </c>
      <c r="E444">
        <f t="shared" ca="1" si="42"/>
        <v>0</v>
      </c>
      <c r="F444">
        <f t="shared" ca="1" si="43"/>
        <v>0</v>
      </c>
      <c r="G444">
        <f t="shared" ca="1" si="44"/>
        <v>4</v>
      </c>
      <c r="H444">
        <f t="shared" ca="1" si="53"/>
        <v>0</v>
      </c>
      <c r="I444">
        <f t="shared" ca="1" si="54"/>
        <v>0</v>
      </c>
      <c r="J444" s="356" t="s">
        <v>103</v>
      </c>
      <c r="K444" s="138" t="str">
        <f t="shared" ca="1" si="45"/>
        <v>18.3.0.4.</v>
      </c>
      <c r="L444" s="357" t="s">
        <v>233</v>
      </c>
      <c r="M444" s="357" t="s">
        <v>522</v>
      </c>
      <c r="N444" s="358" t="s">
        <v>1138</v>
      </c>
      <c r="O444" s="359" t="s">
        <v>590</v>
      </c>
      <c r="P444" s="360">
        <v>10.199999999999999</v>
      </c>
      <c r="Q444" s="195"/>
      <c r="R444" s="198" t="s">
        <v>7</v>
      </c>
      <c r="S444" s="103">
        <f t="shared" si="46"/>
        <v>0</v>
      </c>
      <c r="T444" s="83">
        <f t="shared" si="47"/>
        <v>0</v>
      </c>
      <c r="U444" s="9" t="str">
        <f t="shared" si="48"/>
        <v>SEM VALOR</v>
      </c>
      <c r="V444" s="1" t="str">
        <f ca="1">IF(OR($A444=0,$A444="S",$A444&gt;CFF!$A$9),"",MAX(V$12:OFFSET(V444,-1,0))+1)</f>
        <v/>
      </c>
      <c r="W444" s="4" t="str">
        <f t="shared" si="49"/>
        <v>SINAPI-93009</v>
      </c>
      <c r="X444" s="1">
        <f t="shared" ca="1" si="50"/>
        <v>2949</v>
      </c>
      <c r="Y444" s="103">
        <v>40.799999999999997</v>
      </c>
      <c r="Z444" s="113">
        <f ca="1">ROUND(IF(ISNUMBER(R444),R444,IF(LEFT(R444,3)="BDI",HLOOKUP(R444,DADOS!$T$37:$X$38,2,FALSE),0)),15-11*$X$5)</f>
        <v>0.25</v>
      </c>
      <c r="AA444" s="1"/>
    </row>
    <row r="445" spans="1:27" ht="26.4" x14ac:dyDescent="0.25">
      <c r="A445" t="str">
        <f t="shared" si="38"/>
        <v>S</v>
      </c>
      <c r="B445">
        <f t="shared" si="39"/>
        <v>0</v>
      </c>
      <c r="C445">
        <f t="shared" ca="1" si="40"/>
        <v>18</v>
      </c>
      <c r="D445">
        <f t="shared" ca="1" si="41"/>
        <v>3</v>
      </c>
      <c r="E445">
        <f t="shared" ca="1" si="42"/>
        <v>0</v>
      </c>
      <c r="F445">
        <f t="shared" ca="1" si="43"/>
        <v>0</v>
      </c>
      <c r="G445">
        <f t="shared" ca="1" si="44"/>
        <v>5</v>
      </c>
      <c r="H445">
        <f t="shared" ca="1" si="53"/>
        <v>0</v>
      </c>
      <c r="I445">
        <f t="shared" ca="1" si="54"/>
        <v>0</v>
      </c>
      <c r="J445" s="356" t="s">
        <v>103</v>
      </c>
      <c r="K445" s="138" t="str">
        <f t="shared" ca="1" si="45"/>
        <v>18.3.0.5.</v>
      </c>
      <c r="L445" s="357" t="s">
        <v>233</v>
      </c>
      <c r="M445" s="357" t="s">
        <v>523</v>
      </c>
      <c r="N445" s="358" t="s">
        <v>1139</v>
      </c>
      <c r="O445" s="359" t="s">
        <v>590</v>
      </c>
      <c r="P445" s="360">
        <v>40</v>
      </c>
      <c r="Q445" s="195"/>
      <c r="R445" s="198" t="s">
        <v>7</v>
      </c>
      <c r="S445" s="103">
        <f t="shared" si="46"/>
        <v>0</v>
      </c>
      <c r="T445" s="83">
        <f t="shared" si="47"/>
        <v>0</v>
      </c>
      <c r="U445" s="9" t="str">
        <f t="shared" si="48"/>
        <v>SEM VALOR</v>
      </c>
      <c r="V445" s="1" t="str">
        <f ca="1">IF(OR($A445=0,$A445="S",$A445&gt;CFF!$A$9),"",MAX(V$12:OFFSET(V445,-1,0))+1)</f>
        <v/>
      </c>
      <c r="W445" s="4" t="str">
        <f t="shared" si="49"/>
        <v>SINAPI-93011</v>
      </c>
      <c r="X445" s="1">
        <f t="shared" ca="1" si="50"/>
        <v>2951</v>
      </c>
      <c r="Y445" s="103">
        <v>70.209999999999994</v>
      </c>
      <c r="Z445" s="113">
        <f ca="1">ROUND(IF(ISNUMBER(R445),R445,IF(LEFT(R445,3)="BDI",HLOOKUP(R445,DADOS!$T$37:$X$38,2,FALSE),0)),15-11*$X$5)</f>
        <v>0.25</v>
      </c>
      <c r="AA445" s="1"/>
    </row>
    <row r="446" spans="1:27" x14ac:dyDescent="0.25">
      <c r="A446" t="str">
        <f t="shared" si="38"/>
        <v>S</v>
      </c>
      <c r="B446">
        <f t="shared" si="39"/>
        <v>0</v>
      </c>
      <c r="C446">
        <f t="shared" ca="1" si="40"/>
        <v>18</v>
      </c>
      <c r="D446">
        <f t="shared" ca="1" si="41"/>
        <v>3</v>
      </c>
      <c r="E446">
        <f t="shared" ca="1" si="42"/>
        <v>0</v>
      </c>
      <c r="F446">
        <f t="shared" ca="1" si="43"/>
        <v>0</v>
      </c>
      <c r="G446">
        <f t="shared" ca="1" si="44"/>
        <v>6</v>
      </c>
      <c r="H446">
        <f t="shared" ca="1" si="53"/>
        <v>0</v>
      </c>
      <c r="I446">
        <f t="shared" ca="1" si="54"/>
        <v>0</v>
      </c>
      <c r="J446" s="356" t="s">
        <v>103</v>
      </c>
      <c r="K446" s="138" t="str">
        <f t="shared" ca="1" si="45"/>
        <v>18.3.0.6.</v>
      </c>
      <c r="L446" s="357" t="s">
        <v>469</v>
      </c>
      <c r="M446" s="357" t="s">
        <v>844</v>
      </c>
      <c r="N446" s="358" t="s">
        <v>845</v>
      </c>
      <c r="O446" s="359" t="s">
        <v>590</v>
      </c>
      <c r="P446" s="360">
        <v>29.8</v>
      </c>
      <c r="Q446" s="195"/>
      <c r="R446" s="198" t="s">
        <v>7</v>
      </c>
      <c r="S446" s="103">
        <f t="shared" si="46"/>
        <v>0</v>
      </c>
      <c r="T446" s="83">
        <f t="shared" si="47"/>
        <v>0</v>
      </c>
      <c r="U446" s="9" t="str">
        <f t="shared" si="48"/>
        <v>SEM VALOR</v>
      </c>
      <c r="V446" s="1" t="str">
        <f ca="1">IF(OR($A446=0,$A446="S",$A446&gt;CFF!$A$9),"",MAX(V$12:OFFSET(V446,-1,0))+1)</f>
        <v/>
      </c>
      <c r="W446" s="4" t="str">
        <f t="shared" si="49"/>
        <v>FNDE-FNDE 94</v>
      </c>
      <c r="X446" s="1" t="e">
        <f t="shared" ca="1" si="50"/>
        <v>#N/A</v>
      </c>
      <c r="Y446" s="103">
        <v>44.26</v>
      </c>
      <c r="Z446" s="113">
        <f ca="1">ROUND(IF(ISNUMBER(R446),R446,IF(LEFT(R446,3)="BDI",HLOOKUP(R446,DADOS!$T$37:$X$38,2,FALSE),0)),15-11*$X$5)</f>
        <v>0.25</v>
      </c>
      <c r="AA446" s="1"/>
    </row>
    <row r="447" spans="1:27" ht="26.4" x14ac:dyDescent="0.25">
      <c r="A447" t="str">
        <f t="shared" si="38"/>
        <v>S</v>
      </c>
      <c r="B447">
        <f t="shared" si="39"/>
        <v>0</v>
      </c>
      <c r="C447">
        <f t="shared" ca="1" si="40"/>
        <v>18</v>
      </c>
      <c r="D447">
        <f t="shared" ca="1" si="41"/>
        <v>3</v>
      </c>
      <c r="E447">
        <f t="shared" ca="1" si="42"/>
        <v>0</v>
      </c>
      <c r="F447">
        <f t="shared" ca="1" si="43"/>
        <v>0</v>
      </c>
      <c r="G447">
        <f t="shared" ca="1" si="44"/>
        <v>7</v>
      </c>
      <c r="H447">
        <f t="shared" ca="1" si="53"/>
        <v>0</v>
      </c>
      <c r="I447">
        <f t="shared" ca="1" si="54"/>
        <v>0</v>
      </c>
      <c r="J447" s="356" t="s">
        <v>103</v>
      </c>
      <c r="K447" s="138" t="str">
        <f t="shared" ca="1" si="45"/>
        <v>18.3.0.7.</v>
      </c>
      <c r="L447" s="357" t="s">
        <v>233</v>
      </c>
      <c r="M447" s="357" t="s">
        <v>524</v>
      </c>
      <c r="N447" s="358" t="s">
        <v>1140</v>
      </c>
      <c r="O447" s="359" t="s">
        <v>470</v>
      </c>
      <c r="P447" s="360">
        <v>11</v>
      </c>
      <c r="Q447" s="195"/>
      <c r="R447" s="198" t="s">
        <v>7</v>
      </c>
      <c r="S447" s="103">
        <f t="shared" si="46"/>
        <v>0</v>
      </c>
      <c r="T447" s="83">
        <f t="shared" si="47"/>
        <v>0</v>
      </c>
      <c r="U447" s="9" t="str">
        <f t="shared" si="48"/>
        <v>SEM VALOR</v>
      </c>
      <c r="V447" s="1" t="str">
        <f ca="1">IF(OR($A447=0,$A447="S",$A447&gt;CFF!$A$9),"",MAX(V$12:OFFSET(V447,-1,0))+1)</f>
        <v/>
      </c>
      <c r="W447" s="4" t="str">
        <f t="shared" si="49"/>
        <v>SINAPI-97886</v>
      </c>
      <c r="X447" s="1">
        <f t="shared" ca="1" si="50"/>
        <v>3094</v>
      </c>
      <c r="Y447" s="103">
        <v>215.43</v>
      </c>
      <c r="Z447" s="113">
        <f ca="1">ROUND(IF(ISNUMBER(R447),R447,IF(LEFT(R447,3)="BDI",HLOOKUP(R447,DADOS!$T$37:$X$38,2,FALSE),0)),15-11*$X$5)</f>
        <v>0.25</v>
      </c>
      <c r="AA447" s="1"/>
    </row>
    <row r="448" spans="1:27" x14ac:dyDescent="0.25">
      <c r="A448" t="str">
        <f t="shared" si="38"/>
        <v>S</v>
      </c>
      <c r="B448">
        <f t="shared" si="39"/>
        <v>0</v>
      </c>
      <c r="C448">
        <f t="shared" ca="1" si="40"/>
        <v>18</v>
      </c>
      <c r="D448">
        <f t="shared" ca="1" si="41"/>
        <v>3</v>
      </c>
      <c r="E448">
        <f t="shared" ca="1" si="42"/>
        <v>0</v>
      </c>
      <c r="F448">
        <f t="shared" ca="1" si="43"/>
        <v>0</v>
      </c>
      <c r="G448">
        <f t="shared" ca="1" si="44"/>
        <v>8</v>
      </c>
      <c r="H448">
        <f t="shared" ca="1" si="53"/>
        <v>0</v>
      </c>
      <c r="I448">
        <f t="shared" ca="1" si="54"/>
        <v>0</v>
      </c>
      <c r="J448" s="356" t="s">
        <v>103</v>
      </c>
      <c r="K448" s="138" t="str">
        <f t="shared" ca="1" si="45"/>
        <v>18.3.0.8.</v>
      </c>
      <c r="L448" s="357" t="s">
        <v>233</v>
      </c>
      <c r="M448" s="357" t="s">
        <v>525</v>
      </c>
      <c r="N448" s="358" t="s">
        <v>1141</v>
      </c>
      <c r="O448" s="359" t="s">
        <v>470</v>
      </c>
      <c r="P448" s="360">
        <v>100</v>
      </c>
      <c r="Q448" s="195"/>
      <c r="R448" s="198" t="s">
        <v>7</v>
      </c>
      <c r="S448" s="103">
        <f t="shared" si="46"/>
        <v>0</v>
      </c>
      <c r="T448" s="83">
        <f t="shared" si="47"/>
        <v>0</v>
      </c>
      <c r="U448" s="9" t="str">
        <f t="shared" si="48"/>
        <v>SEM VALOR</v>
      </c>
      <c r="V448" s="1" t="str">
        <f ca="1">IF(OR($A448=0,$A448="S",$A448&gt;CFF!$A$9),"",MAX(V$12:OFFSET(V448,-1,0))+1)</f>
        <v/>
      </c>
      <c r="W448" s="4" t="str">
        <f t="shared" si="49"/>
        <v>SINAPI-91937</v>
      </c>
      <c r="X448" s="1">
        <f t="shared" ca="1" si="50"/>
        <v>3043</v>
      </c>
      <c r="Y448" s="103">
        <v>21.03</v>
      </c>
      <c r="Z448" s="113">
        <f ca="1">ROUND(IF(ISNUMBER(R448),R448,IF(LEFT(R448,3)="BDI",HLOOKUP(R448,DADOS!$T$37:$X$38,2,FALSE),0)),15-11*$X$5)</f>
        <v>0.25</v>
      </c>
      <c r="AA448" s="1"/>
    </row>
    <row r="449" spans="1:27" ht="26.4" x14ac:dyDescent="0.25">
      <c r="A449" t="str">
        <f t="shared" si="38"/>
        <v>S</v>
      </c>
      <c r="B449">
        <f t="shared" si="39"/>
        <v>0</v>
      </c>
      <c r="C449">
        <f t="shared" ca="1" si="40"/>
        <v>18</v>
      </c>
      <c r="D449">
        <f t="shared" ca="1" si="41"/>
        <v>3</v>
      </c>
      <c r="E449">
        <f t="shared" ca="1" si="42"/>
        <v>0</v>
      </c>
      <c r="F449">
        <f t="shared" ca="1" si="43"/>
        <v>0</v>
      </c>
      <c r="G449">
        <f t="shared" ca="1" si="44"/>
        <v>9</v>
      </c>
      <c r="H449">
        <f t="shared" ca="1" si="53"/>
        <v>0</v>
      </c>
      <c r="I449">
        <f t="shared" ca="1" si="54"/>
        <v>0</v>
      </c>
      <c r="J449" s="356" t="s">
        <v>103</v>
      </c>
      <c r="K449" s="138" t="str">
        <f t="shared" ca="1" si="45"/>
        <v>18.3.0.9.</v>
      </c>
      <c r="L449" s="357" t="s">
        <v>233</v>
      </c>
      <c r="M449" s="357" t="s">
        <v>526</v>
      </c>
      <c r="N449" s="358" t="s">
        <v>1142</v>
      </c>
      <c r="O449" s="359" t="s">
        <v>470</v>
      </c>
      <c r="P449" s="360">
        <v>170</v>
      </c>
      <c r="Q449" s="195"/>
      <c r="R449" s="198" t="s">
        <v>7</v>
      </c>
      <c r="S449" s="103">
        <f t="shared" si="46"/>
        <v>0</v>
      </c>
      <c r="T449" s="83">
        <f t="shared" si="47"/>
        <v>0</v>
      </c>
      <c r="U449" s="9" t="str">
        <f t="shared" si="48"/>
        <v>SEM VALOR</v>
      </c>
      <c r="V449" s="1" t="str">
        <f ca="1">IF(OR($A449=0,$A449="S",$A449&gt;CFF!$A$9),"",MAX(V$12:OFFSET(V449,-1,0))+1)</f>
        <v/>
      </c>
      <c r="W449" s="4" t="str">
        <f t="shared" si="49"/>
        <v>SINAPI-91940</v>
      </c>
      <c r="X449" s="1">
        <f t="shared" ca="1" si="50"/>
        <v>3045</v>
      </c>
      <c r="Y449" s="103">
        <v>23.96</v>
      </c>
      <c r="Z449" s="113">
        <f ca="1">ROUND(IF(ISNUMBER(R449),R449,IF(LEFT(R449,3)="BDI",HLOOKUP(R449,DADOS!$T$37:$X$38,2,FALSE),0)),15-11*$X$5)</f>
        <v>0.25</v>
      </c>
      <c r="AA449" s="1"/>
    </row>
    <row r="450" spans="1:27" x14ac:dyDescent="0.25">
      <c r="A450">
        <f t="shared" si="38"/>
        <v>2</v>
      </c>
      <c r="B450">
        <f t="shared" ca="1" si="39"/>
        <v>10</v>
      </c>
      <c r="C450">
        <f t="shared" ca="1" si="40"/>
        <v>18</v>
      </c>
      <c r="D450">
        <f t="shared" ca="1" si="41"/>
        <v>4</v>
      </c>
      <c r="E450">
        <f t="shared" ca="1" si="42"/>
        <v>0</v>
      </c>
      <c r="F450">
        <f t="shared" ca="1" si="43"/>
        <v>0</v>
      </c>
      <c r="G450">
        <f t="shared" ca="1" si="44"/>
        <v>0</v>
      </c>
      <c r="H450">
        <f t="shared" ca="1" si="53"/>
        <v>28</v>
      </c>
      <c r="I450">
        <f t="shared" ca="1" si="54"/>
        <v>10</v>
      </c>
      <c r="J450" s="356" t="s">
        <v>100</v>
      </c>
      <c r="K450" s="138" t="str">
        <f t="shared" ca="1" si="45"/>
        <v>18.4.</v>
      </c>
      <c r="L450" s="357"/>
      <c r="M450" s="357"/>
      <c r="N450" s="358" t="s">
        <v>536</v>
      </c>
      <c r="O450" s="359" t="s">
        <v>106</v>
      </c>
      <c r="P450" s="360"/>
      <c r="Q450" s="195"/>
      <c r="R450" s="198" t="s">
        <v>7</v>
      </c>
      <c r="S450" s="103">
        <f t="shared" si="46"/>
        <v>0</v>
      </c>
      <c r="T450" s="83">
        <f t="shared" ca="1" si="47"/>
        <v>0</v>
      </c>
      <c r="U450" s="9" t="str">
        <f t="shared" ca="1" si="48"/>
        <v>SEM VALOR</v>
      </c>
      <c r="V450" s="1">
        <f ca="1">IF(OR($A450=0,$A450="S",$A450&gt;CFF!$A$9),"",MAX(V$12:OFFSET(V450,-1,0))+1)</f>
        <v>67</v>
      </c>
      <c r="W450" s="4" t="b">
        <f t="shared" si="49"/>
        <v>0</v>
      </c>
      <c r="X450" s="1" t="str">
        <f t="shared" ca="1" si="50"/>
        <v>X</v>
      </c>
      <c r="Y450" s="103">
        <v>0</v>
      </c>
      <c r="Z450" s="113">
        <f ca="1">ROUND(IF(ISNUMBER(R450),R450,IF(LEFT(R450,3)="BDI",HLOOKUP(R450,DADOS!$T$37:$X$38,2,FALSE),0)),15-11*$X$5)</f>
        <v>0.25</v>
      </c>
      <c r="AA450" s="1"/>
    </row>
    <row r="451" spans="1:27" ht="26.4" x14ac:dyDescent="0.25">
      <c r="A451" t="str">
        <f t="shared" si="38"/>
        <v>S</v>
      </c>
      <c r="B451">
        <f t="shared" si="39"/>
        <v>0</v>
      </c>
      <c r="C451">
        <f t="shared" ca="1" si="40"/>
        <v>18</v>
      </c>
      <c r="D451">
        <f t="shared" ca="1" si="41"/>
        <v>4</v>
      </c>
      <c r="E451">
        <f t="shared" ca="1" si="42"/>
        <v>0</v>
      </c>
      <c r="F451">
        <f t="shared" ca="1" si="43"/>
        <v>0</v>
      </c>
      <c r="G451">
        <f t="shared" ca="1" si="44"/>
        <v>1</v>
      </c>
      <c r="H451">
        <f t="shared" ca="1" si="53"/>
        <v>0</v>
      </c>
      <c r="I451">
        <f t="shared" ca="1" si="54"/>
        <v>0</v>
      </c>
      <c r="J451" s="356" t="s">
        <v>103</v>
      </c>
      <c r="K451" s="138" t="str">
        <f t="shared" ca="1" si="45"/>
        <v>18.4.0.1.</v>
      </c>
      <c r="L451" s="357" t="s">
        <v>233</v>
      </c>
      <c r="M451" s="357" t="s">
        <v>527</v>
      </c>
      <c r="N451" s="358" t="s">
        <v>1143</v>
      </c>
      <c r="O451" s="359" t="s">
        <v>590</v>
      </c>
      <c r="P451" s="360">
        <v>5871.3</v>
      </c>
      <c r="Q451" s="195"/>
      <c r="R451" s="198" t="s">
        <v>7</v>
      </c>
      <c r="S451" s="103">
        <f t="shared" si="46"/>
        <v>0</v>
      </c>
      <c r="T451" s="83">
        <f t="shared" si="47"/>
        <v>0</v>
      </c>
      <c r="U451" s="9" t="str">
        <f t="shared" si="48"/>
        <v>SEM VALOR</v>
      </c>
      <c r="V451" s="1" t="str">
        <f ca="1">IF(OR($A451=0,$A451="S",$A451&gt;CFF!$A$9),"",MAX(V$12:OFFSET(V451,-1,0))+1)</f>
        <v/>
      </c>
      <c r="W451" s="4" t="str">
        <f t="shared" si="49"/>
        <v>SINAPI-91926</v>
      </c>
      <c r="X451" s="1">
        <f t="shared" ca="1" si="50"/>
        <v>3012</v>
      </c>
      <c r="Y451" s="103">
        <v>5.34</v>
      </c>
      <c r="Z451" s="113">
        <f ca="1">ROUND(IF(ISNUMBER(R451),R451,IF(LEFT(R451,3)="BDI",HLOOKUP(R451,DADOS!$T$37:$X$38,2,FALSE),0)),15-11*$X$5)</f>
        <v>0.25</v>
      </c>
      <c r="AA451" s="1"/>
    </row>
    <row r="452" spans="1:27" ht="26.4" x14ac:dyDescent="0.25">
      <c r="A452" t="str">
        <f t="shared" si="38"/>
        <v>S</v>
      </c>
      <c r="B452">
        <f t="shared" si="39"/>
        <v>0</v>
      </c>
      <c r="C452">
        <f t="shared" ca="1" si="40"/>
        <v>18</v>
      </c>
      <c r="D452">
        <f t="shared" ca="1" si="41"/>
        <v>4</v>
      </c>
      <c r="E452">
        <f t="shared" ca="1" si="42"/>
        <v>0</v>
      </c>
      <c r="F452">
        <f t="shared" ca="1" si="43"/>
        <v>0</v>
      </c>
      <c r="G452">
        <f t="shared" ca="1" si="44"/>
        <v>2</v>
      </c>
      <c r="H452">
        <f t="shared" ca="1" si="53"/>
        <v>0</v>
      </c>
      <c r="I452">
        <f t="shared" ca="1" si="54"/>
        <v>0</v>
      </c>
      <c r="J452" s="356" t="s">
        <v>103</v>
      </c>
      <c r="K452" s="138" t="str">
        <f t="shared" ca="1" si="45"/>
        <v>18.4.0.2.</v>
      </c>
      <c r="L452" s="357" t="s">
        <v>233</v>
      </c>
      <c r="M452" s="357" t="s">
        <v>528</v>
      </c>
      <c r="N452" s="358" t="s">
        <v>1144</v>
      </c>
      <c r="O452" s="359" t="s">
        <v>590</v>
      </c>
      <c r="P452" s="360">
        <v>253.9</v>
      </c>
      <c r="Q452" s="195"/>
      <c r="R452" s="198" t="s">
        <v>7</v>
      </c>
      <c r="S452" s="103">
        <f t="shared" si="46"/>
        <v>0</v>
      </c>
      <c r="T452" s="83">
        <f t="shared" si="47"/>
        <v>0</v>
      </c>
      <c r="U452" s="9" t="str">
        <f t="shared" si="48"/>
        <v>SEM VALOR</v>
      </c>
      <c r="V452" s="1" t="str">
        <f ca="1">IF(OR($A452=0,$A452="S",$A452&gt;CFF!$A$9),"",MAX(V$12:OFFSET(V452,-1,0))+1)</f>
        <v/>
      </c>
      <c r="W452" s="4" t="str">
        <f t="shared" si="49"/>
        <v>SINAPI-91928</v>
      </c>
      <c r="X452" s="1">
        <f t="shared" ca="1" si="50"/>
        <v>3014</v>
      </c>
      <c r="Y452" s="103">
        <v>8.1999999999999993</v>
      </c>
      <c r="Z452" s="113">
        <f ca="1">ROUND(IF(ISNUMBER(R452),R452,IF(LEFT(R452,3)="BDI",HLOOKUP(R452,DADOS!$T$37:$X$38,2,FALSE),0)),15-11*$X$5)</f>
        <v>0.25</v>
      </c>
      <c r="AA452" s="1"/>
    </row>
    <row r="453" spans="1:27" ht="26.4" x14ac:dyDescent="0.25">
      <c r="A453" t="str">
        <f t="shared" si="38"/>
        <v>S</v>
      </c>
      <c r="B453">
        <f t="shared" si="39"/>
        <v>0</v>
      </c>
      <c r="C453">
        <f t="shared" ca="1" si="40"/>
        <v>18</v>
      </c>
      <c r="D453">
        <f t="shared" ca="1" si="41"/>
        <v>4</v>
      </c>
      <c r="E453">
        <f t="shared" ca="1" si="42"/>
        <v>0</v>
      </c>
      <c r="F453">
        <f t="shared" ca="1" si="43"/>
        <v>0</v>
      </c>
      <c r="G453">
        <f t="shared" ca="1" si="44"/>
        <v>3</v>
      </c>
      <c r="H453">
        <f t="shared" ca="1" si="53"/>
        <v>0</v>
      </c>
      <c r="I453">
        <f t="shared" ca="1" si="54"/>
        <v>0</v>
      </c>
      <c r="J453" s="356" t="s">
        <v>103</v>
      </c>
      <c r="K453" s="138" t="str">
        <f t="shared" ca="1" si="45"/>
        <v>18.4.0.3.</v>
      </c>
      <c r="L453" s="357" t="s">
        <v>233</v>
      </c>
      <c r="M453" s="357" t="s">
        <v>529</v>
      </c>
      <c r="N453" s="358" t="s">
        <v>1145</v>
      </c>
      <c r="O453" s="359" t="s">
        <v>590</v>
      </c>
      <c r="P453" s="360">
        <v>1472.4</v>
      </c>
      <c r="Q453" s="195"/>
      <c r="R453" s="198" t="s">
        <v>7</v>
      </c>
      <c r="S453" s="103">
        <f t="shared" si="46"/>
        <v>0</v>
      </c>
      <c r="T453" s="83">
        <f t="shared" si="47"/>
        <v>0</v>
      </c>
      <c r="U453" s="9" t="str">
        <f t="shared" si="48"/>
        <v>SEM VALOR</v>
      </c>
      <c r="V453" s="1" t="str">
        <f ca="1">IF(OR($A453=0,$A453="S",$A453&gt;CFF!$A$9),"",MAX(V$12:OFFSET(V453,-1,0))+1)</f>
        <v/>
      </c>
      <c r="W453" s="4" t="str">
        <f t="shared" si="49"/>
        <v>SINAPI-91930</v>
      </c>
      <c r="X453" s="1">
        <f t="shared" ca="1" si="50"/>
        <v>3016</v>
      </c>
      <c r="Y453" s="103">
        <v>11.45</v>
      </c>
      <c r="Z453" s="113">
        <f ca="1">ROUND(IF(ISNUMBER(R453),R453,IF(LEFT(R453,3)="BDI",HLOOKUP(R453,DADOS!$T$37:$X$38,2,FALSE),0)),15-11*$X$5)</f>
        <v>0.25</v>
      </c>
      <c r="AA453" s="1"/>
    </row>
    <row r="454" spans="1:27" ht="26.4" x14ac:dyDescent="0.25">
      <c r="A454" t="str">
        <f t="shared" si="38"/>
        <v>S</v>
      </c>
      <c r="B454">
        <f t="shared" si="39"/>
        <v>0</v>
      </c>
      <c r="C454">
        <f t="shared" ca="1" si="40"/>
        <v>18</v>
      </c>
      <c r="D454">
        <f t="shared" ca="1" si="41"/>
        <v>4</v>
      </c>
      <c r="E454">
        <f t="shared" ca="1" si="42"/>
        <v>0</v>
      </c>
      <c r="F454">
        <f t="shared" ca="1" si="43"/>
        <v>0</v>
      </c>
      <c r="G454">
        <f t="shared" ca="1" si="44"/>
        <v>4</v>
      </c>
      <c r="H454">
        <f t="shared" ca="1" si="53"/>
        <v>0</v>
      </c>
      <c r="I454">
        <f t="shared" ca="1" si="54"/>
        <v>0</v>
      </c>
      <c r="J454" s="356" t="s">
        <v>103</v>
      </c>
      <c r="K454" s="138" t="str">
        <f t="shared" ca="1" si="45"/>
        <v>18.4.0.4.</v>
      </c>
      <c r="L454" s="357" t="s">
        <v>233</v>
      </c>
      <c r="M454" s="357" t="s">
        <v>530</v>
      </c>
      <c r="N454" s="358" t="s">
        <v>1146</v>
      </c>
      <c r="O454" s="359" t="s">
        <v>590</v>
      </c>
      <c r="P454" s="360">
        <v>34.5</v>
      </c>
      <c r="Q454" s="195"/>
      <c r="R454" s="198" t="s">
        <v>7</v>
      </c>
      <c r="S454" s="103">
        <f t="shared" si="46"/>
        <v>0</v>
      </c>
      <c r="T454" s="83">
        <f t="shared" si="47"/>
        <v>0</v>
      </c>
      <c r="U454" s="9" t="str">
        <f t="shared" si="48"/>
        <v>SEM VALOR</v>
      </c>
      <c r="V454" s="1" t="str">
        <f ca="1">IF(OR($A454=0,$A454="S",$A454&gt;CFF!$A$9),"",MAX(V$12:OFFSET(V454,-1,0))+1)</f>
        <v/>
      </c>
      <c r="W454" s="4" t="str">
        <f t="shared" si="49"/>
        <v>SINAPI-91934</v>
      </c>
      <c r="X454" s="1">
        <f t="shared" ca="1" si="50"/>
        <v>3020</v>
      </c>
      <c r="Y454" s="103">
        <v>29.53</v>
      </c>
      <c r="Z454" s="113">
        <f ca="1">ROUND(IF(ISNUMBER(R454),R454,IF(LEFT(R454,3)="BDI",HLOOKUP(R454,DADOS!$T$37:$X$38,2,FALSE),0)),15-11*$X$5)</f>
        <v>0.25</v>
      </c>
      <c r="AA454" s="1"/>
    </row>
    <row r="455" spans="1:27" ht="26.4" x14ac:dyDescent="0.25">
      <c r="A455" t="str">
        <f t="shared" si="38"/>
        <v>S</v>
      </c>
      <c r="B455">
        <f t="shared" si="39"/>
        <v>0</v>
      </c>
      <c r="C455">
        <f t="shared" ca="1" si="40"/>
        <v>18</v>
      </c>
      <c r="D455">
        <f t="shared" ca="1" si="41"/>
        <v>4</v>
      </c>
      <c r="E455">
        <f t="shared" ca="1" si="42"/>
        <v>0</v>
      </c>
      <c r="F455">
        <f t="shared" ca="1" si="43"/>
        <v>0</v>
      </c>
      <c r="G455">
        <f t="shared" ca="1" si="44"/>
        <v>5</v>
      </c>
      <c r="H455">
        <f t="shared" ca="1" si="53"/>
        <v>0</v>
      </c>
      <c r="I455">
        <f t="shared" ca="1" si="54"/>
        <v>0</v>
      </c>
      <c r="J455" s="356" t="s">
        <v>103</v>
      </c>
      <c r="K455" s="138" t="str">
        <f t="shared" ca="1" si="45"/>
        <v>18.4.0.5.</v>
      </c>
      <c r="L455" s="357" t="s">
        <v>233</v>
      </c>
      <c r="M455" s="357" t="s">
        <v>531</v>
      </c>
      <c r="N455" s="358" t="s">
        <v>1147</v>
      </c>
      <c r="O455" s="359" t="s">
        <v>590</v>
      </c>
      <c r="P455" s="360">
        <v>58.3</v>
      </c>
      <c r="Q455" s="195"/>
      <c r="R455" s="198" t="s">
        <v>7</v>
      </c>
      <c r="S455" s="103">
        <f t="shared" si="46"/>
        <v>0</v>
      </c>
      <c r="T455" s="83">
        <f t="shared" si="47"/>
        <v>0</v>
      </c>
      <c r="U455" s="9" t="str">
        <f t="shared" si="48"/>
        <v>SEM VALOR</v>
      </c>
      <c r="V455" s="1" t="str">
        <f ca="1">IF(OR($A455=0,$A455="S",$A455&gt;CFF!$A$9),"",MAX(V$12:OFFSET(V455,-1,0))+1)</f>
        <v/>
      </c>
      <c r="W455" s="4" t="str">
        <f t="shared" si="49"/>
        <v>SINAPI-92984</v>
      </c>
      <c r="X455" s="1">
        <f t="shared" ca="1" si="50"/>
        <v>3026</v>
      </c>
      <c r="Y455" s="103">
        <v>33.39</v>
      </c>
      <c r="Z455" s="113">
        <f ca="1">ROUND(IF(ISNUMBER(R455),R455,IF(LEFT(R455,3)="BDI",HLOOKUP(R455,DADOS!$T$37:$X$38,2,FALSE),0)),15-11*$X$5)</f>
        <v>0.25</v>
      </c>
      <c r="AA455" s="1"/>
    </row>
    <row r="456" spans="1:27" ht="26.4" x14ac:dyDescent="0.25">
      <c r="A456" t="str">
        <f t="shared" si="38"/>
        <v>S</v>
      </c>
      <c r="B456">
        <f t="shared" si="39"/>
        <v>0</v>
      </c>
      <c r="C456">
        <f t="shared" ca="1" si="40"/>
        <v>18</v>
      </c>
      <c r="D456">
        <f t="shared" ca="1" si="41"/>
        <v>4</v>
      </c>
      <c r="E456">
        <f t="shared" ca="1" si="42"/>
        <v>0</v>
      </c>
      <c r="F456">
        <f t="shared" ca="1" si="43"/>
        <v>0</v>
      </c>
      <c r="G456">
        <f t="shared" ca="1" si="44"/>
        <v>6</v>
      </c>
      <c r="H456">
        <f t="shared" ca="1" si="53"/>
        <v>0</v>
      </c>
      <c r="I456">
        <f t="shared" ca="1" si="54"/>
        <v>0</v>
      </c>
      <c r="J456" s="356" t="s">
        <v>103</v>
      </c>
      <c r="K456" s="138" t="str">
        <f t="shared" ca="1" si="45"/>
        <v>18.4.0.6.</v>
      </c>
      <c r="L456" s="357" t="s">
        <v>233</v>
      </c>
      <c r="M456" s="357" t="s">
        <v>532</v>
      </c>
      <c r="N456" s="358" t="s">
        <v>1148</v>
      </c>
      <c r="O456" s="359" t="s">
        <v>590</v>
      </c>
      <c r="P456" s="360">
        <v>88.6</v>
      </c>
      <c r="Q456" s="195"/>
      <c r="R456" s="198" t="s">
        <v>7</v>
      </c>
      <c r="S456" s="103">
        <f t="shared" si="46"/>
        <v>0</v>
      </c>
      <c r="T456" s="83">
        <f t="shared" si="47"/>
        <v>0</v>
      </c>
      <c r="U456" s="9" t="str">
        <f t="shared" si="48"/>
        <v>SEM VALOR</v>
      </c>
      <c r="V456" s="1" t="str">
        <f ca="1">IF(OR($A456=0,$A456="S",$A456&gt;CFF!$A$9),"",MAX(V$12:OFFSET(V456,-1,0))+1)</f>
        <v/>
      </c>
      <c r="W456" s="4" t="str">
        <f t="shared" si="49"/>
        <v>SINAPI-92986</v>
      </c>
      <c r="X456" s="1">
        <f t="shared" ca="1" si="50"/>
        <v>3027</v>
      </c>
      <c r="Y456" s="103">
        <v>46.06</v>
      </c>
      <c r="Z456" s="113">
        <f ca="1">ROUND(IF(ISNUMBER(R456),R456,IF(LEFT(R456,3)="BDI",HLOOKUP(R456,DADOS!$T$37:$X$38,2,FALSE),0)),15-11*$X$5)</f>
        <v>0.25</v>
      </c>
      <c r="AA456" s="1"/>
    </row>
    <row r="457" spans="1:27" ht="26.4" x14ac:dyDescent="0.25">
      <c r="A457" t="str">
        <f t="shared" si="38"/>
        <v>S</v>
      </c>
      <c r="B457">
        <f t="shared" si="39"/>
        <v>0</v>
      </c>
      <c r="C457">
        <f t="shared" ca="1" si="40"/>
        <v>18</v>
      </c>
      <c r="D457">
        <f t="shared" ca="1" si="41"/>
        <v>4</v>
      </c>
      <c r="E457">
        <f t="shared" ca="1" si="42"/>
        <v>0</v>
      </c>
      <c r="F457">
        <f t="shared" ca="1" si="43"/>
        <v>0</v>
      </c>
      <c r="G457">
        <f t="shared" ca="1" si="44"/>
        <v>7</v>
      </c>
      <c r="H457">
        <f t="shared" ca="1" si="53"/>
        <v>0</v>
      </c>
      <c r="I457">
        <f t="shared" ca="1" si="54"/>
        <v>0</v>
      </c>
      <c r="J457" s="356" t="s">
        <v>103</v>
      </c>
      <c r="K457" s="138" t="str">
        <f t="shared" ca="1" si="45"/>
        <v>18.4.0.7.</v>
      </c>
      <c r="L457" s="357" t="s">
        <v>233</v>
      </c>
      <c r="M457" s="357" t="s">
        <v>533</v>
      </c>
      <c r="N457" s="358" t="s">
        <v>1149</v>
      </c>
      <c r="O457" s="359" t="s">
        <v>590</v>
      </c>
      <c r="P457" s="360">
        <v>282.8</v>
      </c>
      <c r="Q457" s="195"/>
      <c r="R457" s="198" t="s">
        <v>7</v>
      </c>
      <c r="S457" s="103">
        <f t="shared" si="46"/>
        <v>0</v>
      </c>
      <c r="T457" s="83">
        <f t="shared" si="47"/>
        <v>0</v>
      </c>
      <c r="U457" s="9" t="str">
        <f t="shared" si="48"/>
        <v>SEM VALOR</v>
      </c>
      <c r="V457" s="1" t="str">
        <f ca="1">IF(OR($A457=0,$A457="S",$A457&gt;CFF!$A$9),"",MAX(V$12:OFFSET(V457,-1,0))+1)</f>
        <v/>
      </c>
      <c r="W457" s="4" t="str">
        <f t="shared" si="49"/>
        <v>SINAPI-92990</v>
      </c>
      <c r="X457" s="1">
        <f t="shared" ca="1" si="50"/>
        <v>3029</v>
      </c>
      <c r="Y457" s="103">
        <v>92.3</v>
      </c>
      <c r="Z457" s="113">
        <f ca="1">ROUND(IF(ISNUMBER(R457),R457,IF(LEFT(R457,3)="BDI",HLOOKUP(R457,DADOS!$T$37:$X$38,2,FALSE),0)),15-11*$X$5)</f>
        <v>0.25</v>
      </c>
      <c r="AA457" s="1"/>
    </row>
    <row r="458" spans="1:27" ht="26.4" x14ac:dyDescent="0.25">
      <c r="A458" t="str">
        <f t="shared" si="38"/>
        <v>S</v>
      </c>
      <c r="B458">
        <f t="shared" si="39"/>
        <v>0</v>
      </c>
      <c r="C458">
        <f t="shared" ca="1" si="40"/>
        <v>18</v>
      </c>
      <c r="D458">
        <f t="shared" ca="1" si="41"/>
        <v>4</v>
      </c>
      <c r="E458">
        <f t="shared" ca="1" si="42"/>
        <v>0</v>
      </c>
      <c r="F458">
        <f t="shared" ca="1" si="43"/>
        <v>0</v>
      </c>
      <c r="G458">
        <f t="shared" ca="1" si="44"/>
        <v>8</v>
      </c>
      <c r="H458">
        <f t="shared" ca="1" si="53"/>
        <v>0</v>
      </c>
      <c r="I458">
        <f t="shared" ca="1" si="54"/>
        <v>0</v>
      </c>
      <c r="J458" s="356" t="s">
        <v>103</v>
      </c>
      <c r="K458" s="138" t="str">
        <f t="shared" ca="1" si="45"/>
        <v>18.4.0.8.</v>
      </c>
      <c r="L458" s="357" t="s">
        <v>233</v>
      </c>
      <c r="M458" s="357" t="s">
        <v>534</v>
      </c>
      <c r="N458" s="358" t="s">
        <v>1150</v>
      </c>
      <c r="O458" s="359" t="s">
        <v>590</v>
      </c>
      <c r="P458" s="360">
        <v>40</v>
      </c>
      <c r="Q458" s="195"/>
      <c r="R458" s="198" t="s">
        <v>7</v>
      </c>
      <c r="S458" s="103">
        <f t="shared" si="46"/>
        <v>0</v>
      </c>
      <c r="T458" s="83">
        <f t="shared" si="47"/>
        <v>0</v>
      </c>
      <c r="U458" s="9" t="str">
        <f t="shared" si="48"/>
        <v>SEM VALOR</v>
      </c>
      <c r="V458" s="1" t="str">
        <f ca="1">IF(OR($A458=0,$A458="S",$A458&gt;CFF!$A$9),"",MAX(V$12:OFFSET(V458,-1,0))+1)</f>
        <v/>
      </c>
      <c r="W458" s="4" t="str">
        <f t="shared" si="49"/>
        <v>SINAPI-101567</v>
      </c>
      <c r="X458" s="1">
        <f t="shared" ca="1" si="50"/>
        <v>3336</v>
      </c>
      <c r="Y458" s="103">
        <v>113.73</v>
      </c>
      <c r="Z458" s="113">
        <f ca="1">ROUND(IF(ISNUMBER(R458),R458,IF(LEFT(R458,3)="BDI",HLOOKUP(R458,DADOS!$T$37:$X$38,2,FALSE),0)),15-11*$X$5)</f>
        <v>0.25</v>
      </c>
      <c r="AA458" s="1"/>
    </row>
    <row r="459" spans="1:27" ht="26.4" x14ac:dyDescent="0.25">
      <c r="A459" t="str">
        <f t="shared" si="38"/>
        <v>S</v>
      </c>
      <c r="B459">
        <f t="shared" si="39"/>
        <v>0</v>
      </c>
      <c r="C459">
        <f t="shared" ca="1" si="40"/>
        <v>18</v>
      </c>
      <c r="D459">
        <f t="shared" ca="1" si="41"/>
        <v>4</v>
      </c>
      <c r="E459">
        <f t="shared" ca="1" si="42"/>
        <v>0</v>
      </c>
      <c r="F459">
        <f t="shared" ca="1" si="43"/>
        <v>0</v>
      </c>
      <c r="G459">
        <f t="shared" ca="1" si="44"/>
        <v>9</v>
      </c>
      <c r="H459">
        <f t="shared" ca="1" si="53"/>
        <v>0</v>
      </c>
      <c r="I459">
        <f t="shared" ca="1" si="54"/>
        <v>0</v>
      </c>
      <c r="J459" s="356" t="s">
        <v>103</v>
      </c>
      <c r="K459" s="138" t="str">
        <f t="shared" ca="1" si="45"/>
        <v>18.4.0.9.</v>
      </c>
      <c r="L459" s="357" t="s">
        <v>233</v>
      </c>
      <c r="M459" s="357" t="s">
        <v>535</v>
      </c>
      <c r="N459" s="358" t="s">
        <v>1151</v>
      </c>
      <c r="O459" s="359" t="s">
        <v>590</v>
      </c>
      <c r="P459" s="360">
        <v>159.80000000000001</v>
      </c>
      <c r="Q459" s="195"/>
      <c r="R459" s="198" t="s">
        <v>7</v>
      </c>
      <c r="S459" s="103">
        <f t="shared" si="46"/>
        <v>0</v>
      </c>
      <c r="T459" s="83">
        <f t="shared" si="47"/>
        <v>0</v>
      </c>
      <c r="U459" s="9" t="str">
        <f t="shared" si="48"/>
        <v>SEM VALOR</v>
      </c>
      <c r="V459" s="1" t="str">
        <f ca="1">IF(OR($A459=0,$A459="S",$A459&gt;CFF!$A$9),"",MAX(V$12:OFFSET(V459,-1,0))+1)</f>
        <v/>
      </c>
      <c r="W459" s="4" t="str">
        <f t="shared" si="49"/>
        <v>SINAPI-92996</v>
      </c>
      <c r="X459" s="1">
        <f t="shared" ca="1" si="50"/>
        <v>3032</v>
      </c>
      <c r="Y459" s="103">
        <v>187.41</v>
      </c>
      <c r="Z459" s="113">
        <f ca="1">ROUND(IF(ISNUMBER(R459),R459,IF(LEFT(R459,3)="BDI",HLOOKUP(R459,DADOS!$T$37:$X$38,2,FALSE),0)),15-11*$X$5)</f>
        <v>0.25</v>
      </c>
      <c r="AA459" s="1"/>
    </row>
    <row r="460" spans="1:27" x14ac:dyDescent="0.25">
      <c r="A460">
        <f t="shared" si="38"/>
        <v>2</v>
      </c>
      <c r="B460">
        <f t="shared" ca="1" si="39"/>
        <v>3</v>
      </c>
      <c r="C460">
        <f t="shared" ca="1" si="40"/>
        <v>18</v>
      </c>
      <c r="D460">
        <f t="shared" ca="1" si="41"/>
        <v>5</v>
      </c>
      <c r="E460">
        <f t="shared" ca="1" si="42"/>
        <v>0</v>
      </c>
      <c r="F460">
        <f t="shared" ca="1" si="43"/>
        <v>0</v>
      </c>
      <c r="G460">
        <f t="shared" ca="1" si="44"/>
        <v>0</v>
      </c>
      <c r="H460">
        <f t="shared" ca="1" si="53"/>
        <v>18</v>
      </c>
      <c r="I460">
        <f t="shared" ca="1" si="54"/>
        <v>3</v>
      </c>
      <c r="J460" s="356" t="s">
        <v>100</v>
      </c>
      <c r="K460" s="138" t="str">
        <f t="shared" ca="1" si="45"/>
        <v>18.5.</v>
      </c>
      <c r="L460" s="357"/>
      <c r="M460" s="357"/>
      <c r="N460" s="358" t="s">
        <v>537</v>
      </c>
      <c r="O460" s="359" t="s">
        <v>106</v>
      </c>
      <c r="P460" s="360"/>
      <c r="Q460" s="195"/>
      <c r="R460" s="198" t="s">
        <v>7</v>
      </c>
      <c r="S460" s="103">
        <f t="shared" si="46"/>
        <v>0</v>
      </c>
      <c r="T460" s="83">
        <f t="shared" ca="1" si="47"/>
        <v>0</v>
      </c>
      <c r="U460" s="9" t="str">
        <f t="shared" ca="1" si="48"/>
        <v>SEM VALOR</v>
      </c>
      <c r="V460" s="1">
        <f ca="1">IF(OR($A460=0,$A460="S",$A460&gt;CFF!$A$9),"",MAX(V$12:OFFSET(V460,-1,0))+1)</f>
        <v>68</v>
      </c>
      <c r="W460" s="4" t="b">
        <f t="shared" si="49"/>
        <v>0</v>
      </c>
      <c r="X460" s="1" t="str">
        <f t="shared" ca="1" si="50"/>
        <v>X</v>
      </c>
      <c r="Y460" s="103">
        <v>0</v>
      </c>
      <c r="Z460" s="113">
        <f ca="1">ROUND(IF(ISNUMBER(R460),R460,IF(LEFT(R460,3)="BDI",HLOOKUP(R460,DADOS!$T$37:$X$38,2,FALSE),0)),15-11*$X$5)</f>
        <v>0.25</v>
      </c>
      <c r="AA460" s="1"/>
    </row>
    <row r="461" spans="1:27" ht="26.4" x14ac:dyDescent="0.25">
      <c r="A461" t="str">
        <f t="shared" si="38"/>
        <v>S</v>
      </c>
      <c r="B461">
        <f t="shared" si="39"/>
        <v>0</v>
      </c>
      <c r="C461">
        <f t="shared" ca="1" si="40"/>
        <v>18</v>
      </c>
      <c r="D461">
        <f t="shared" ca="1" si="41"/>
        <v>5</v>
      </c>
      <c r="E461">
        <f t="shared" ca="1" si="42"/>
        <v>0</v>
      </c>
      <c r="F461">
        <f t="shared" ca="1" si="43"/>
        <v>0</v>
      </c>
      <c r="G461">
        <f t="shared" ca="1" si="44"/>
        <v>1</v>
      </c>
      <c r="H461">
        <f t="shared" ref="H461:H525" ca="1" si="55">IF(OR($A461="S",$A461=0),0,MATCH(0,OFFSET($B461,1,$A461,ROW($A$603)-ROW($A461)),0))</f>
        <v>0</v>
      </c>
      <c r="I461">
        <f t="shared" ref="I461:I525" ca="1" si="56">IF(OR($A461="S",$A461=0),0,MATCH(OFFSET($B461,0,$A461)+1,OFFSET($B461,1,$A461,ROW($A$603)-ROW($A461)),0))</f>
        <v>0</v>
      </c>
      <c r="J461" s="356" t="s">
        <v>103</v>
      </c>
      <c r="K461" s="138" t="str">
        <f t="shared" ca="1" si="45"/>
        <v>18.5.0.1.</v>
      </c>
      <c r="L461" s="357" t="s">
        <v>233</v>
      </c>
      <c r="M461" s="357" t="s">
        <v>846</v>
      </c>
      <c r="N461" s="358" t="s">
        <v>847</v>
      </c>
      <c r="O461" s="359" t="s">
        <v>590</v>
      </c>
      <c r="P461" s="360">
        <v>75.2</v>
      </c>
      <c r="Q461" s="195"/>
      <c r="R461" s="198" t="s">
        <v>7</v>
      </c>
      <c r="S461" s="103">
        <f t="shared" si="46"/>
        <v>0</v>
      </c>
      <c r="T461" s="83">
        <f t="shared" si="47"/>
        <v>0</v>
      </c>
      <c r="U461" s="9" t="str">
        <f t="shared" si="48"/>
        <v>SEM VALOR</v>
      </c>
      <c r="V461" s="1" t="str">
        <f ca="1">IF(OR($A461=0,$A461="S",$A461&gt;CFF!$A$9),"",MAX(V$12:OFFSET(V461,-1,0))+1)</f>
        <v/>
      </c>
      <c r="W461" s="4" t="str">
        <f t="shared" si="49"/>
        <v>SINAPI-FNDE 313</v>
      </c>
      <c r="X461" s="1" t="e">
        <f t="shared" ca="1" si="50"/>
        <v>#N/A</v>
      </c>
      <c r="Y461" s="103">
        <v>252.04</v>
      </c>
      <c r="Z461" s="113">
        <f ca="1">ROUND(IF(ISNUMBER(R461),R461,IF(LEFT(R461,3)="BDI",HLOOKUP(R461,DADOS!$T$37:$X$38,2,FALSE),0)),15-11*$X$5)</f>
        <v>0.25</v>
      </c>
      <c r="AA461" s="1"/>
    </row>
    <row r="462" spans="1:27" ht="26.4" x14ac:dyDescent="0.25">
      <c r="A462" t="str">
        <f t="shared" si="38"/>
        <v>S</v>
      </c>
      <c r="B462">
        <f t="shared" si="39"/>
        <v>0</v>
      </c>
      <c r="C462">
        <f t="shared" ca="1" si="40"/>
        <v>18</v>
      </c>
      <c r="D462">
        <f t="shared" ca="1" si="41"/>
        <v>5</v>
      </c>
      <c r="E462">
        <f t="shared" ca="1" si="42"/>
        <v>0</v>
      </c>
      <c r="F462">
        <f t="shared" ca="1" si="43"/>
        <v>0</v>
      </c>
      <c r="G462">
        <f t="shared" ca="1" si="44"/>
        <v>2</v>
      </c>
      <c r="H462">
        <f t="shared" ca="1" si="55"/>
        <v>0</v>
      </c>
      <c r="I462">
        <f t="shared" ca="1" si="56"/>
        <v>0</v>
      </c>
      <c r="J462" s="356" t="s">
        <v>103</v>
      </c>
      <c r="K462" s="138" t="str">
        <f t="shared" ca="1" si="45"/>
        <v>18.5.0.2.</v>
      </c>
      <c r="L462" s="357" t="s">
        <v>233</v>
      </c>
      <c r="M462" s="357" t="s">
        <v>538</v>
      </c>
      <c r="N462" s="358" t="s">
        <v>1152</v>
      </c>
      <c r="O462" s="359" t="s">
        <v>590</v>
      </c>
      <c r="P462" s="360">
        <v>75.2</v>
      </c>
      <c r="Q462" s="195"/>
      <c r="R462" s="198" t="s">
        <v>7</v>
      </c>
      <c r="S462" s="103">
        <f t="shared" si="46"/>
        <v>0</v>
      </c>
      <c r="T462" s="83">
        <f t="shared" si="47"/>
        <v>0</v>
      </c>
      <c r="U462" s="9" t="str">
        <f t="shared" si="48"/>
        <v>SEM VALOR</v>
      </c>
      <c r="V462" s="1" t="str">
        <f ca="1">IF(OR($A462=0,$A462="S",$A462&gt;CFF!$A$9),"",MAX(V$12:OFFSET(V462,-1,0))+1)</f>
        <v/>
      </c>
      <c r="W462" s="4" t="str">
        <f t="shared" si="49"/>
        <v>SINAPI-104764</v>
      </c>
      <c r="X462" s="1">
        <f t="shared" ca="1" si="50"/>
        <v>3446</v>
      </c>
      <c r="Y462" s="103">
        <v>27.13</v>
      </c>
      <c r="Z462" s="113">
        <f ca="1">ROUND(IF(ISNUMBER(R462),R462,IF(LEFT(R462,3)="BDI",HLOOKUP(R462,DADOS!$T$37:$X$38,2,FALSE),0)),15-11*$X$5)</f>
        <v>0.25</v>
      </c>
      <c r="AA462" s="1"/>
    </row>
    <row r="463" spans="1:27" x14ac:dyDescent="0.25">
      <c r="A463">
        <f t="shared" si="38"/>
        <v>2</v>
      </c>
      <c r="B463">
        <f t="shared" ca="1" si="39"/>
        <v>15</v>
      </c>
      <c r="C463">
        <f t="shared" ca="1" si="40"/>
        <v>18</v>
      </c>
      <c r="D463">
        <f t="shared" ca="1" si="41"/>
        <v>6</v>
      </c>
      <c r="E463">
        <f t="shared" ca="1" si="42"/>
        <v>0</v>
      </c>
      <c r="F463">
        <f t="shared" ca="1" si="43"/>
        <v>0</v>
      </c>
      <c r="G463">
        <f t="shared" ca="1" si="44"/>
        <v>0</v>
      </c>
      <c r="H463">
        <f t="shared" ca="1" si="55"/>
        <v>15</v>
      </c>
      <c r="I463">
        <f t="shared" ca="1" si="56"/>
        <v>118</v>
      </c>
      <c r="J463" s="356" t="s">
        <v>100</v>
      </c>
      <c r="K463" s="138" t="str">
        <f t="shared" ca="1" si="45"/>
        <v>18.6.</v>
      </c>
      <c r="L463" s="357"/>
      <c r="M463" s="357"/>
      <c r="N463" s="358" t="s">
        <v>539</v>
      </c>
      <c r="O463" s="359" t="s">
        <v>106</v>
      </c>
      <c r="P463" s="360"/>
      <c r="Q463" s="195"/>
      <c r="R463" s="198" t="s">
        <v>7</v>
      </c>
      <c r="S463" s="103">
        <f t="shared" si="46"/>
        <v>0</v>
      </c>
      <c r="T463" s="83">
        <f t="shared" ca="1" si="47"/>
        <v>0</v>
      </c>
      <c r="U463" s="9" t="str">
        <f t="shared" ca="1" si="48"/>
        <v>SEM VALOR</v>
      </c>
      <c r="V463" s="1">
        <f ca="1">IF(OR($A463=0,$A463="S",$A463&gt;CFF!$A$9),"",MAX(V$12:OFFSET(V463,-1,0))+1)</f>
        <v>69</v>
      </c>
      <c r="W463" s="4" t="b">
        <f t="shared" si="49"/>
        <v>0</v>
      </c>
      <c r="X463" s="1" t="str">
        <f t="shared" ca="1" si="50"/>
        <v>X</v>
      </c>
      <c r="Y463" s="103">
        <v>0</v>
      </c>
      <c r="Z463" s="113">
        <f ca="1">ROUND(IF(ISNUMBER(R463),R463,IF(LEFT(R463,3)="BDI",HLOOKUP(R463,DADOS!$T$37:$X$38,2,FALSE),0)),15-11*$X$5)</f>
        <v>0.25</v>
      </c>
      <c r="AA463" s="1"/>
    </row>
    <row r="464" spans="1:27" ht="26.4" x14ac:dyDescent="0.25">
      <c r="A464" t="str">
        <f t="shared" si="38"/>
        <v>S</v>
      </c>
      <c r="B464">
        <f t="shared" si="39"/>
        <v>0</v>
      </c>
      <c r="C464">
        <f t="shared" ca="1" si="40"/>
        <v>18</v>
      </c>
      <c r="D464">
        <f t="shared" ca="1" si="41"/>
        <v>6</v>
      </c>
      <c r="E464">
        <f t="shared" ca="1" si="42"/>
        <v>0</v>
      </c>
      <c r="F464">
        <f t="shared" ca="1" si="43"/>
        <v>0</v>
      </c>
      <c r="G464">
        <f t="shared" ca="1" si="44"/>
        <v>1</v>
      </c>
      <c r="H464">
        <f t="shared" ca="1" si="55"/>
        <v>0</v>
      </c>
      <c r="I464">
        <f t="shared" ca="1" si="56"/>
        <v>0</v>
      </c>
      <c r="J464" s="356" t="s">
        <v>103</v>
      </c>
      <c r="K464" s="138" t="str">
        <f t="shared" ca="1" si="45"/>
        <v>18.6.0.1.</v>
      </c>
      <c r="L464" s="357" t="s">
        <v>233</v>
      </c>
      <c r="M464" s="357" t="s">
        <v>540</v>
      </c>
      <c r="N464" s="358" t="s">
        <v>1153</v>
      </c>
      <c r="O464" s="359" t="s">
        <v>470</v>
      </c>
      <c r="P464" s="360">
        <v>95</v>
      </c>
      <c r="Q464" s="195"/>
      <c r="R464" s="198" t="s">
        <v>7</v>
      </c>
      <c r="S464" s="103">
        <f t="shared" si="46"/>
        <v>0</v>
      </c>
      <c r="T464" s="83">
        <f t="shared" si="47"/>
        <v>0</v>
      </c>
      <c r="U464" s="9" t="str">
        <f t="shared" si="48"/>
        <v>SEM VALOR</v>
      </c>
      <c r="V464" s="1" t="str">
        <f ca="1">IF(OR($A464=0,$A464="S",$A464&gt;CFF!$A$9),"",MAX(V$12:OFFSET(V464,-1,0))+1)</f>
        <v/>
      </c>
      <c r="W464" s="4" t="str">
        <f t="shared" si="49"/>
        <v>SINAPI-92000</v>
      </c>
      <c r="X464" s="1">
        <f t="shared" ca="1" si="50"/>
        <v>3218</v>
      </c>
      <c r="Y464" s="103">
        <v>43.63</v>
      </c>
      <c r="Z464" s="113">
        <f ca="1">ROUND(IF(ISNUMBER(R464),R464,IF(LEFT(R464,3)="BDI",HLOOKUP(R464,DADOS!$T$37:$X$38,2,FALSE),0)),15-11*$X$5)</f>
        <v>0.25</v>
      </c>
      <c r="AA464" s="1"/>
    </row>
    <row r="465" spans="1:27" ht="26.4" x14ac:dyDescent="0.25">
      <c r="A465" t="str">
        <f t="shared" si="38"/>
        <v>S</v>
      </c>
      <c r="B465">
        <f t="shared" si="39"/>
        <v>0</v>
      </c>
      <c r="C465">
        <f t="shared" ca="1" si="40"/>
        <v>18</v>
      </c>
      <c r="D465">
        <f t="shared" ca="1" si="41"/>
        <v>6</v>
      </c>
      <c r="E465">
        <f t="shared" ca="1" si="42"/>
        <v>0</v>
      </c>
      <c r="F465">
        <f t="shared" ca="1" si="43"/>
        <v>0</v>
      </c>
      <c r="G465">
        <f t="shared" ca="1" si="44"/>
        <v>2</v>
      </c>
      <c r="H465">
        <f t="shared" ca="1" si="55"/>
        <v>0</v>
      </c>
      <c r="I465">
        <f t="shared" ca="1" si="56"/>
        <v>0</v>
      </c>
      <c r="J465" s="356" t="s">
        <v>103</v>
      </c>
      <c r="K465" s="138" t="str">
        <f t="shared" ca="1" si="45"/>
        <v>18.6.0.2.</v>
      </c>
      <c r="L465" s="357" t="s">
        <v>233</v>
      </c>
      <c r="M465" s="357" t="s">
        <v>541</v>
      </c>
      <c r="N465" s="358" t="s">
        <v>1154</v>
      </c>
      <c r="O465" s="359" t="s">
        <v>470</v>
      </c>
      <c r="P465" s="360">
        <v>23</v>
      </c>
      <c r="Q465" s="195"/>
      <c r="R465" s="198" t="s">
        <v>7</v>
      </c>
      <c r="S465" s="103">
        <f t="shared" si="46"/>
        <v>0</v>
      </c>
      <c r="T465" s="83">
        <f t="shared" si="47"/>
        <v>0</v>
      </c>
      <c r="U465" s="9" t="str">
        <f t="shared" si="48"/>
        <v>SEM VALOR</v>
      </c>
      <c r="V465" s="1" t="str">
        <f ca="1">IF(OR($A465=0,$A465="S",$A465&gt;CFF!$A$9),"",MAX(V$12:OFFSET(V465,-1,0))+1)</f>
        <v/>
      </c>
      <c r="W465" s="4" t="str">
        <f t="shared" si="49"/>
        <v>SINAPI-92001</v>
      </c>
      <c r="X465" s="1">
        <f t="shared" ca="1" si="50"/>
        <v>3219</v>
      </c>
      <c r="Y465" s="103">
        <v>46.9</v>
      </c>
      <c r="Z465" s="113">
        <f ca="1">ROUND(IF(ISNUMBER(R465),R465,IF(LEFT(R465,3)="BDI",HLOOKUP(R465,DADOS!$T$37:$X$38,2,FALSE),0)),15-11*$X$5)</f>
        <v>0.25</v>
      </c>
      <c r="AA465" s="1"/>
    </row>
    <row r="466" spans="1:27" ht="26.4" x14ac:dyDescent="0.25">
      <c r="A466" t="str">
        <f t="shared" si="38"/>
        <v>S</v>
      </c>
      <c r="B466">
        <f t="shared" si="39"/>
        <v>0</v>
      </c>
      <c r="C466">
        <f t="shared" ca="1" si="40"/>
        <v>18</v>
      </c>
      <c r="D466">
        <f t="shared" ca="1" si="41"/>
        <v>6</v>
      </c>
      <c r="E466">
        <f t="shared" ca="1" si="42"/>
        <v>0</v>
      </c>
      <c r="F466">
        <f t="shared" ca="1" si="43"/>
        <v>0</v>
      </c>
      <c r="G466">
        <f t="shared" ca="1" si="44"/>
        <v>3</v>
      </c>
      <c r="H466">
        <f t="shared" ca="1" si="55"/>
        <v>0</v>
      </c>
      <c r="I466">
        <f t="shared" ca="1" si="56"/>
        <v>0</v>
      </c>
      <c r="J466" s="356" t="s">
        <v>103</v>
      </c>
      <c r="K466" s="138" t="str">
        <f t="shared" ca="1" si="45"/>
        <v>18.6.0.3.</v>
      </c>
      <c r="L466" s="357" t="s">
        <v>233</v>
      </c>
      <c r="M466" s="357" t="s">
        <v>542</v>
      </c>
      <c r="N466" s="358" t="s">
        <v>1155</v>
      </c>
      <c r="O466" s="359" t="s">
        <v>470</v>
      </c>
      <c r="P466" s="360">
        <v>34</v>
      </c>
      <c r="Q466" s="195"/>
      <c r="R466" s="198" t="s">
        <v>7</v>
      </c>
      <c r="S466" s="103">
        <f t="shared" si="46"/>
        <v>0</v>
      </c>
      <c r="T466" s="83">
        <f t="shared" si="47"/>
        <v>0</v>
      </c>
      <c r="U466" s="9" t="str">
        <f t="shared" si="48"/>
        <v>SEM VALOR</v>
      </c>
      <c r="V466" s="1" t="str">
        <f ca="1">IF(OR($A466=0,$A466="S",$A466&gt;CFF!$A$9),"",MAX(V$12:OFFSET(V466,-1,0))+1)</f>
        <v/>
      </c>
      <c r="W466" s="4" t="str">
        <f t="shared" si="49"/>
        <v>SINAPI-92029</v>
      </c>
      <c r="X466" s="1">
        <f t="shared" ca="1" si="50"/>
        <v>3247</v>
      </c>
      <c r="Y466" s="103">
        <v>79.599999999999994</v>
      </c>
      <c r="Z466" s="113">
        <f ca="1">ROUND(IF(ISNUMBER(R466),R466,IF(LEFT(R466,3)="BDI",HLOOKUP(R466,DADOS!$T$37:$X$38,2,FALSE),0)),15-11*$X$5)</f>
        <v>0.25</v>
      </c>
      <c r="AA466" s="1"/>
    </row>
    <row r="467" spans="1:27" ht="26.4" x14ac:dyDescent="0.25">
      <c r="A467" t="str">
        <f t="shared" si="38"/>
        <v>S</v>
      </c>
      <c r="B467">
        <f t="shared" si="39"/>
        <v>0</v>
      </c>
      <c r="C467">
        <f t="shared" ca="1" si="40"/>
        <v>18</v>
      </c>
      <c r="D467">
        <f t="shared" ca="1" si="41"/>
        <v>6</v>
      </c>
      <c r="E467">
        <f t="shared" ca="1" si="42"/>
        <v>0</v>
      </c>
      <c r="F467">
        <f t="shared" ca="1" si="43"/>
        <v>0</v>
      </c>
      <c r="G467">
        <f t="shared" ca="1" si="44"/>
        <v>4</v>
      </c>
      <c r="H467">
        <f t="shared" ca="1" si="55"/>
        <v>0</v>
      </c>
      <c r="I467">
        <f t="shared" ca="1" si="56"/>
        <v>0</v>
      </c>
      <c r="J467" s="356" t="s">
        <v>103</v>
      </c>
      <c r="K467" s="138" t="str">
        <f t="shared" ca="1" si="45"/>
        <v>18.6.0.4.</v>
      </c>
      <c r="L467" s="357" t="s">
        <v>233</v>
      </c>
      <c r="M467" s="357" t="s">
        <v>543</v>
      </c>
      <c r="N467" s="358" t="s">
        <v>1156</v>
      </c>
      <c r="O467" s="359" t="s">
        <v>470</v>
      </c>
      <c r="P467" s="360">
        <v>3</v>
      </c>
      <c r="Q467" s="195"/>
      <c r="R467" s="198" t="s">
        <v>7</v>
      </c>
      <c r="S467" s="103">
        <f t="shared" si="46"/>
        <v>0</v>
      </c>
      <c r="T467" s="83">
        <f t="shared" si="47"/>
        <v>0</v>
      </c>
      <c r="U467" s="9" t="str">
        <f t="shared" si="48"/>
        <v>SEM VALOR</v>
      </c>
      <c r="V467" s="1" t="str">
        <f ca="1">IF(OR($A467=0,$A467="S",$A467&gt;CFF!$A$9),"",MAX(V$12:OFFSET(V467,-1,0))+1)</f>
        <v/>
      </c>
      <c r="W467" s="4" t="str">
        <f t="shared" si="49"/>
        <v>SINAPI-91955</v>
      </c>
      <c r="X467" s="1">
        <f t="shared" ca="1" si="50"/>
        <v>3173</v>
      </c>
      <c r="Y467" s="103">
        <v>50.44</v>
      </c>
      <c r="Z467" s="113">
        <f ca="1">ROUND(IF(ISNUMBER(R467),R467,IF(LEFT(R467,3)="BDI",HLOOKUP(R467,DADOS!$T$37:$X$38,2,FALSE),0)),15-11*$X$5)</f>
        <v>0.25</v>
      </c>
      <c r="AA467" s="1"/>
    </row>
    <row r="468" spans="1:27" ht="26.4" x14ac:dyDescent="0.25">
      <c r="A468" t="str">
        <f t="shared" si="38"/>
        <v>S</v>
      </c>
      <c r="B468">
        <f t="shared" si="39"/>
        <v>0</v>
      </c>
      <c r="C468">
        <f t="shared" ca="1" si="40"/>
        <v>18</v>
      </c>
      <c r="D468">
        <f t="shared" ca="1" si="41"/>
        <v>6</v>
      </c>
      <c r="E468">
        <f t="shared" ca="1" si="42"/>
        <v>0</v>
      </c>
      <c r="F468">
        <f t="shared" ca="1" si="43"/>
        <v>0</v>
      </c>
      <c r="G468">
        <f t="shared" ca="1" si="44"/>
        <v>5</v>
      </c>
      <c r="H468">
        <f t="shared" ca="1" si="55"/>
        <v>0</v>
      </c>
      <c r="I468">
        <f t="shared" ca="1" si="56"/>
        <v>0</v>
      </c>
      <c r="J468" s="356" t="s">
        <v>103</v>
      </c>
      <c r="K468" s="138" t="str">
        <f t="shared" ca="1" si="45"/>
        <v>18.6.0.5.</v>
      </c>
      <c r="L468" s="357" t="s">
        <v>233</v>
      </c>
      <c r="M468" s="357" t="s">
        <v>544</v>
      </c>
      <c r="N468" s="358" t="s">
        <v>1157</v>
      </c>
      <c r="O468" s="359" t="s">
        <v>470</v>
      </c>
      <c r="P468" s="360">
        <v>2</v>
      </c>
      <c r="Q468" s="195"/>
      <c r="R468" s="198" t="s">
        <v>7</v>
      </c>
      <c r="S468" s="103">
        <f t="shared" si="46"/>
        <v>0</v>
      </c>
      <c r="T468" s="83">
        <f t="shared" si="47"/>
        <v>0</v>
      </c>
      <c r="U468" s="9" t="str">
        <f t="shared" si="48"/>
        <v>SEM VALOR</v>
      </c>
      <c r="V468" s="1" t="str">
        <f ca="1">IF(OR($A468=0,$A468="S",$A468&gt;CFF!$A$9),"",MAX(V$12:OFFSET(V468,-1,0))+1)</f>
        <v/>
      </c>
      <c r="W468" s="4" t="str">
        <f t="shared" si="49"/>
        <v>SINAPI-92033</v>
      </c>
      <c r="X468" s="1">
        <f t="shared" ca="1" si="50"/>
        <v>3251</v>
      </c>
      <c r="Y468" s="103">
        <v>110.38</v>
      </c>
      <c r="Z468" s="113">
        <f ca="1">ROUND(IF(ISNUMBER(R468),R468,IF(LEFT(R468,3)="BDI",HLOOKUP(R468,DADOS!$T$37:$X$38,2,FALSE),0)),15-11*$X$5)</f>
        <v>0.25</v>
      </c>
      <c r="AA468" s="1"/>
    </row>
    <row r="469" spans="1:27" ht="26.4" x14ac:dyDescent="0.25">
      <c r="A469" t="str">
        <f t="shared" si="38"/>
        <v>S</v>
      </c>
      <c r="B469">
        <f t="shared" si="39"/>
        <v>0</v>
      </c>
      <c r="C469">
        <f t="shared" ca="1" si="40"/>
        <v>18</v>
      </c>
      <c r="D469">
        <f t="shared" ca="1" si="41"/>
        <v>6</v>
      </c>
      <c r="E469">
        <f t="shared" ca="1" si="42"/>
        <v>0</v>
      </c>
      <c r="F469">
        <f t="shared" ca="1" si="43"/>
        <v>0</v>
      </c>
      <c r="G469">
        <f t="shared" ca="1" si="44"/>
        <v>6</v>
      </c>
      <c r="H469">
        <f t="shared" ca="1" si="55"/>
        <v>0</v>
      </c>
      <c r="I469">
        <f t="shared" ca="1" si="56"/>
        <v>0</v>
      </c>
      <c r="J469" s="356" t="s">
        <v>103</v>
      </c>
      <c r="K469" s="138" t="str">
        <f t="shared" ca="1" si="45"/>
        <v>18.6.0.6.</v>
      </c>
      <c r="L469" s="357" t="s">
        <v>233</v>
      </c>
      <c r="M469" s="357" t="s">
        <v>545</v>
      </c>
      <c r="N469" s="358" t="s">
        <v>1158</v>
      </c>
      <c r="O469" s="359" t="s">
        <v>470</v>
      </c>
      <c r="P469" s="360">
        <v>1</v>
      </c>
      <c r="Q469" s="195"/>
      <c r="R469" s="198" t="s">
        <v>7</v>
      </c>
      <c r="S469" s="103">
        <f t="shared" si="46"/>
        <v>0</v>
      </c>
      <c r="T469" s="83">
        <f t="shared" si="47"/>
        <v>0</v>
      </c>
      <c r="U469" s="9" t="str">
        <f t="shared" si="48"/>
        <v>SEM VALOR</v>
      </c>
      <c r="V469" s="1" t="str">
        <f ca="1">IF(OR($A469=0,$A469="S",$A469&gt;CFF!$A$9),"",MAX(V$12:OFFSET(V469,-1,0))+1)</f>
        <v/>
      </c>
      <c r="W469" s="4" t="str">
        <f t="shared" si="49"/>
        <v>SINAPI-91967</v>
      </c>
      <c r="X469" s="1">
        <f t="shared" ca="1" si="50"/>
        <v>3185</v>
      </c>
      <c r="Y469" s="103">
        <v>85.35</v>
      </c>
      <c r="Z469" s="113">
        <f ca="1">ROUND(IF(ISNUMBER(R469),R469,IF(LEFT(R469,3)="BDI",HLOOKUP(R469,DADOS!$T$37:$X$38,2,FALSE),0)),15-11*$X$5)</f>
        <v>0.25</v>
      </c>
      <c r="AA469" s="1"/>
    </row>
    <row r="470" spans="1:27" x14ac:dyDescent="0.25">
      <c r="A470" t="str">
        <f t="shared" si="38"/>
        <v>S</v>
      </c>
      <c r="B470">
        <f t="shared" si="39"/>
        <v>0</v>
      </c>
      <c r="C470">
        <f t="shared" ca="1" si="40"/>
        <v>18</v>
      </c>
      <c r="D470">
        <f t="shared" ca="1" si="41"/>
        <v>6</v>
      </c>
      <c r="E470">
        <f t="shared" ca="1" si="42"/>
        <v>0</v>
      </c>
      <c r="F470">
        <f t="shared" ca="1" si="43"/>
        <v>0</v>
      </c>
      <c r="G470">
        <f t="shared" ca="1" si="44"/>
        <v>7</v>
      </c>
      <c r="H470">
        <f t="shared" ca="1" si="55"/>
        <v>0</v>
      </c>
      <c r="I470">
        <f t="shared" ca="1" si="56"/>
        <v>0</v>
      </c>
      <c r="J470" s="356" t="s">
        <v>103</v>
      </c>
      <c r="K470" s="138" t="str">
        <f t="shared" ca="1" si="45"/>
        <v>18.6.0.7.</v>
      </c>
      <c r="L470" s="357" t="s">
        <v>469</v>
      </c>
      <c r="M470" s="357" t="s">
        <v>848</v>
      </c>
      <c r="N470" s="358" t="s">
        <v>852</v>
      </c>
      <c r="O470" s="359" t="s">
        <v>782</v>
      </c>
      <c r="P470" s="360">
        <v>10</v>
      </c>
      <c r="Q470" s="195"/>
      <c r="R470" s="198" t="s">
        <v>7</v>
      </c>
      <c r="S470" s="103">
        <f t="shared" si="46"/>
        <v>0</v>
      </c>
      <c r="T470" s="83">
        <f t="shared" si="47"/>
        <v>0</v>
      </c>
      <c r="U470" s="9" t="str">
        <f t="shared" si="48"/>
        <v>SEM VALOR</v>
      </c>
      <c r="V470" s="1" t="str">
        <f ca="1">IF(OR($A470=0,$A470="S",$A470&gt;CFF!$A$9),"",MAX(V$12:OFFSET(V470,-1,0))+1)</f>
        <v/>
      </c>
      <c r="W470" s="4" t="str">
        <f t="shared" si="49"/>
        <v>FNDE-FNDE 309</v>
      </c>
      <c r="X470" s="1" t="e">
        <f t="shared" ca="1" si="50"/>
        <v>#N/A</v>
      </c>
      <c r="Y470" s="103">
        <v>20.51</v>
      </c>
      <c r="Z470" s="113">
        <f ca="1">ROUND(IF(ISNUMBER(R470),R470,IF(LEFT(R470,3)="BDI",HLOOKUP(R470,DADOS!$T$37:$X$38,2,FALSE),0)),15-11*$X$5)</f>
        <v>0.25</v>
      </c>
      <c r="AA470" s="1"/>
    </row>
    <row r="471" spans="1:27" ht="26.4" x14ac:dyDescent="0.25">
      <c r="A471" t="str">
        <f t="shared" si="38"/>
        <v>S</v>
      </c>
      <c r="B471">
        <f t="shared" si="39"/>
        <v>0</v>
      </c>
      <c r="C471">
        <f t="shared" ca="1" si="40"/>
        <v>18</v>
      </c>
      <c r="D471">
        <f t="shared" ca="1" si="41"/>
        <v>6</v>
      </c>
      <c r="E471">
        <f t="shared" ca="1" si="42"/>
        <v>0</v>
      </c>
      <c r="F471">
        <f t="shared" ca="1" si="43"/>
        <v>0</v>
      </c>
      <c r="G471">
        <f t="shared" ca="1" si="44"/>
        <v>8</v>
      </c>
      <c r="H471">
        <f t="shared" ca="1" si="55"/>
        <v>0</v>
      </c>
      <c r="I471">
        <f t="shared" ca="1" si="56"/>
        <v>0</v>
      </c>
      <c r="J471" s="356" t="s">
        <v>103</v>
      </c>
      <c r="K471" s="138" t="str">
        <f t="shared" ca="1" si="45"/>
        <v>18.6.0.8.</v>
      </c>
      <c r="L471" s="357" t="s">
        <v>233</v>
      </c>
      <c r="M471" s="357" t="s">
        <v>862</v>
      </c>
      <c r="N471" s="358" t="s">
        <v>868</v>
      </c>
      <c r="O471" s="359" t="s">
        <v>470</v>
      </c>
      <c r="P471" s="360">
        <v>8</v>
      </c>
      <c r="Q471" s="195"/>
      <c r="R471" s="198" t="s">
        <v>7</v>
      </c>
      <c r="S471" s="103">
        <f t="shared" si="46"/>
        <v>0</v>
      </c>
      <c r="T471" s="83">
        <f t="shared" si="47"/>
        <v>0</v>
      </c>
      <c r="U471" s="9" t="str">
        <f t="shared" si="48"/>
        <v>SEM VALOR</v>
      </c>
      <c r="V471" s="1" t="str">
        <f ca="1">IF(OR($A471=0,$A471="S",$A471&gt;CFF!$A$9),"",MAX(V$12:OFFSET(V471,-1,0))+1)</f>
        <v/>
      </c>
      <c r="W471" s="4" t="str">
        <f t="shared" si="49"/>
        <v>SINAPI-97586</v>
      </c>
      <c r="X471" s="1" t="e">
        <f t="shared" ca="1" si="50"/>
        <v>#N/A</v>
      </c>
      <c r="Y471" s="103">
        <v>197.98</v>
      </c>
      <c r="Z471" s="113">
        <f ca="1">ROUND(IF(ISNUMBER(R471),R471,IF(LEFT(R471,3)="BDI",HLOOKUP(R471,DADOS!$T$37:$X$38,2,FALSE),0)),15-11*$X$5)</f>
        <v>0.25</v>
      </c>
      <c r="AA471" s="1"/>
    </row>
    <row r="472" spans="1:27" ht="26.4" x14ac:dyDescent="0.25">
      <c r="A472" t="str">
        <f t="shared" si="38"/>
        <v>S</v>
      </c>
      <c r="B472">
        <f t="shared" si="39"/>
        <v>0</v>
      </c>
      <c r="C472">
        <f t="shared" ca="1" si="40"/>
        <v>18</v>
      </c>
      <c r="D472">
        <f t="shared" ca="1" si="41"/>
        <v>6</v>
      </c>
      <c r="E472">
        <f t="shared" ca="1" si="42"/>
        <v>0</v>
      </c>
      <c r="F472">
        <f t="shared" ca="1" si="43"/>
        <v>0</v>
      </c>
      <c r="G472">
        <f t="shared" ca="1" si="44"/>
        <v>9</v>
      </c>
      <c r="H472">
        <f t="shared" ca="1" si="55"/>
        <v>0</v>
      </c>
      <c r="I472">
        <f t="shared" ca="1" si="56"/>
        <v>0</v>
      </c>
      <c r="J472" s="356" t="s">
        <v>103</v>
      </c>
      <c r="K472" s="138" t="str">
        <f t="shared" ca="1" si="45"/>
        <v>18.6.0.9.</v>
      </c>
      <c r="L472" s="357" t="s">
        <v>469</v>
      </c>
      <c r="M472" s="357" t="s">
        <v>849</v>
      </c>
      <c r="N472" s="358" t="s">
        <v>546</v>
      </c>
      <c r="O472" s="359" t="s">
        <v>470</v>
      </c>
      <c r="P472" s="360">
        <v>11</v>
      </c>
      <c r="Q472" s="195"/>
      <c r="R472" s="198" t="s">
        <v>7</v>
      </c>
      <c r="S472" s="103">
        <f t="shared" si="46"/>
        <v>0</v>
      </c>
      <c r="T472" s="83">
        <f t="shared" si="47"/>
        <v>0</v>
      </c>
      <c r="U472" s="9" t="str">
        <f t="shared" si="48"/>
        <v>SEM VALOR</v>
      </c>
      <c r="V472" s="1" t="str">
        <f ca="1">IF(OR($A472=0,$A472="S",$A472&gt;CFF!$A$9),"",MAX(V$12:OFFSET(V472,-1,0))+1)</f>
        <v/>
      </c>
      <c r="W472" s="4" t="str">
        <f t="shared" si="49"/>
        <v>FNDE-FNDE 379</v>
      </c>
      <c r="X472" s="1" t="e">
        <f t="shared" ca="1" si="50"/>
        <v>#N/A</v>
      </c>
      <c r="Y472" s="103">
        <v>367.31</v>
      </c>
      <c r="Z472" s="113">
        <f ca="1">ROUND(IF(ISNUMBER(R472),R472,IF(LEFT(R472,3)="BDI",HLOOKUP(R472,DADOS!$T$37:$X$38,2,FALSE),0)),15-11*$X$5)</f>
        <v>0.25</v>
      </c>
      <c r="AA472" s="1"/>
    </row>
    <row r="473" spans="1:27" ht="26.4" x14ac:dyDescent="0.25">
      <c r="A473" t="str">
        <f t="shared" si="38"/>
        <v>S</v>
      </c>
      <c r="B473">
        <f t="shared" si="39"/>
        <v>0</v>
      </c>
      <c r="C473">
        <f t="shared" ca="1" si="40"/>
        <v>18</v>
      </c>
      <c r="D473">
        <f t="shared" ca="1" si="41"/>
        <v>6</v>
      </c>
      <c r="E473">
        <f t="shared" ca="1" si="42"/>
        <v>0</v>
      </c>
      <c r="F473">
        <f t="shared" ca="1" si="43"/>
        <v>0</v>
      </c>
      <c r="G473">
        <f t="shared" ca="1" si="44"/>
        <v>10</v>
      </c>
      <c r="H473">
        <f t="shared" ca="1" si="55"/>
        <v>0</v>
      </c>
      <c r="I473">
        <f t="shared" ca="1" si="56"/>
        <v>0</v>
      </c>
      <c r="J473" s="356" t="s">
        <v>103</v>
      </c>
      <c r="K473" s="138" t="str">
        <f t="shared" ca="1" si="45"/>
        <v>18.6.0.10.</v>
      </c>
      <c r="L473" s="357" t="s">
        <v>469</v>
      </c>
      <c r="M473" s="357" t="s">
        <v>850</v>
      </c>
      <c r="N473" s="358" t="s">
        <v>547</v>
      </c>
      <c r="O473" s="359" t="s">
        <v>470</v>
      </c>
      <c r="P473" s="360">
        <v>81</v>
      </c>
      <c r="Q473" s="195"/>
      <c r="R473" s="198" t="s">
        <v>7</v>
      </c>
      <c r="S473" s="103">
        <f t="shared" si="46"/>
        <v>0</v>
      </c>
      <c r="T473" s="83">
        <f t="shared" si="47"/>
        <v>0</v>
      </c>
      <c r="U473" s="9" t="str">
        <f t="shared" si="48"/>
        <v>SEM VALOR</v>
      </c>
      <c r="V473" s="1" t="str">
        <f ca="1">IF(OR($A473=0,$A473="S",$A473&gt;CFF!$A$9),"",MAX(V$12:OFFSET(V473,-1,0))+1)</f>
        <v/>
      </c>
      <c r="W473" s="4" t="str">
        <f t="shared" si="49"/>
        <v>FNDE-FNDE 380</v>
      </c>
      <c r="X473" s="1" t="e">
        <f t="shared" ca="1" si="50"/>
        <v>#N/A</v>
      </c>
      <c r="Y473" s="103">
        <v>402.29</v>
      </c>
      <c r="Z473" s="113">
        <f ca="1">ROUND(IF(ISNUMBER(R473),R473,IF(LEFT(R473,3)="BDI",HLOOKUP(R473,DADOS!$T$37:$X$38,2,FALSE),0)),15-11*$X$5)</f>
        <v>0.25</v>
      </c>
      <c r="AA473" s="1"/>
    </row>
    <row r="474" spans="1:27" ht="26.4" x14ac:dyDescent="0.25">
      <c r="A474" t="str">
        <f t="shared" si="38"/>
        <v>S</v>
      </c>
      <c r="B474">
        <f t="shared" si="39"/>
        <v>0</v>
      </c>
      <c r="C474">
        <f t="shared" ca="1" si="40"/>
        <v>18</v>
      </c>
      <c r="D474">
        <f t="shared" ca="1" si="41"/>
        <v>6</v>
      </c>
      <c r="E474">
        <f t="shared" ca="1" si="42"/>
        <v>0</v>
      </c>
      <c r="F474">
        <f t="shared" ca="1" si="43"/>
        <v>0</v>
      </c>
      <c r="G474">
        <f t="shared" ca="1" si="44"/>
        <v>11</v>
      </c>
      <c r="H474">
        <f t="shared" ca="1" si="55"/>
        <v>0</v>
      </c>
      <c r="I474">
        <f t="shared" ca="1" si="56"/>
        <v>0</v>
      </c>
      <c r="J474" s="356" t="s">
        <v>103</v>
      </c>
      <c r="K474" s="138" t="str">
        <f t="shared" ca="1" si="45"/>
        <v>18.6.0.11.</v>
      </c>
      <c r="L474" s="357" t="s">
        <v>469</v>
      </c>
      <c r="M474" s="357" t="s">
        <v>851</v>
      </c>
      <c r="N474" s="358" t="s">
        <v>548</v>
      </c>
      <c r="O474" s="359" t="s">
        <v>470</v>
      </c>
      <c r="P474" s="360">
        <v>9</v>
      </c>
      <c r="Q474" s="195"/>
      <c r="R474" s="198" t="s">
        <v>7</v>
      </c>
      <c r="S474" s="103">
        <f t="shared" si="46"/>
        <v>0</v>
      </c>
      <c r="T474" s="83">
        <f t="shared" si="47"/>
        <v>0</v>
      </c>
      <c r="U474" s="9" t="str">
        <f t="shared" si="48"/>
        <v>SEM VALOR</v>
      </c>
      <c r="V474" s="1" t="str">
        <f ca="1">IF(OR($A474=0,$A474="S",$A474&gt;CFF!$A$9),"",MAX(V$12:OFFSET(V474,-1,0))+1)</f>
        <v/>
      </c>
      <c r="W474" s="4" t="str">
        <f t="shared" si="49"/>
        <v>FNDE-FNDE 381</v>
      </c>
      <c r="X474" s="1" t="e">
        <f t="shared" ca="1" si="50"/>
        <v>#N/A</v>
      </c>
      <c r="Y474" s="103">
        <v>446.55</v>
      </c>
      <c r="Z474" s="113">
        <f ca="1">ROUND(IF(ISNUMBER(R474),R474,IF(LEFT(R474,3)="BDI",HLOOKUP(R474,DADOS!$T$37:$X$38,2,FALSE),0)),15-11*$X$5)</f>
        <v>0.25</v>
      </c>
      <c r="AA474" s="1"/>
    </row>
    <row r="475" spans="1:27" x14ac:dyDescent="0.25">
      <c r="A475" t="str">
        <f>CHOOSE(1+LOG(1+2*(J475="Meta")+4*(J475="Nível 2")+8*(J475="Nível 3")+16*(J475="Nível 4")+32*(J475="Serviço"),2),0,1,2,3,4,"S")</f>
        <v>S</v>
      </c>
      <c r="B475">
        <f>IF(OR(A475="S",A475=0),0,IF(ISERROR(I475),H475,SMALL(H475:I475,1)))</f>
        <v>0</v>
      </c>
      <c r="C475">
        <f ca="1">IF($A475=1,OFFSET(C475,-1,0)+1,OFFSET(C475,-1,0))</f>
        <v>18</v>
      </c>
      <c r="D475">
        <f ca="1">IF($A475=1,0,IF($A475=2,OFFSET(D475,-1,0)+1,OFFSET(D475,-1,0)))</f>
        <v>6</v>
      </c>
      <c r="E475">
        <f ca="1">IF(AND($A475&lt;=2,$A475&lt;&gt;0),0,IF($A475=3,OFFSET(E475,-1,0)+1,OFFSET(E475,-1,0)))</f>
        <v>0</v>
      </c>
      <c r="F475">
        <f ca="1">IF(AND($A475&lt;=3,$A475&lt;&gt;0),0,IF($A475=4,OFFSET(F475,-1,0)+1,OFFSET(F475,-1,0)))</f>
        <v>0</v>
      </c>
      <c r="G475">
        <f ca="1">IF(AND($A475&lt;=4,$A475&lt;&gt;0),0,IF($A475="S",OFFSET(G475,-1,0)+1,OFFSET(G475,-1,0)))</f>
        <v>12</v>
      </c>
      <c r="H475">
        <f t="shared" ca="1" si="55"/>
        <v>0</v>
      </c>
      <c r="I475">
        <f t="shared" ca="1" si="56"/>
        <v>0</v>
      </c>
      <c r="J475" s="356" t="s">
        <v>103</v>
      </c>
      <c r="K475" s="138" t="str">
        <f ca="1">IF($A475=0,"-",CONCATENATE(C475&amp;".",IF(AND($A$5&gt;=2,$A475&gt;=2),D475&amp;".",""),IF(AND($A$5&gt;=3,$A475&gt;=3),E475&amp;".",""),IF(AND($A$5&gt;=4,$A475&gt;=4),F475&amp;".",""),IF($A475="S",G475&amp;".","")))</f>
        <v>18.6.0.12.</v>
      </c>
      <c r="L475" s="357" t="s">
        <v>233</v>
      </c>
      <c r="M475" s="357" t="s">
        <v>863</v>
      </c>
      <c r="N475" s="358" t="s">
        <v>869</v>
      </c>
      <c r="O475" s="359" t="s">
        <v>470</v>
      </c>
      <c r="P475" s="360">
        <v>4</v>
      </c>
      <c r="Q475" s="195"/>
      <c r="R475" s="198" t="s">
        <v>7</v>
      </c>
      <c r="S475" s="103">
        <f>IF($A475="S",IF($Q$10="Preço Unitário (R$)",PO.CustoUnitario,ROUND(PO.CustoUnitario*(1+$Z475),15-13*$X$6)),0)</f>
        <v>0</v>
      </c>
      <c r="T475" s="83">
        <f>IF($A475="S",VTOTAL1,IF($A475=0,0,ROUND(SomaAgrup,15-13*$X$7)))</f>
        <v>0</v>
      </c>
      <c r="U475" s="9" t="str">
        <f>IF($J475="","",IF($N475="","DESCRIÇÃO",IF(AND($J475="Serviço",$O475=""),"UNIDADE",IF($T475&lt;=0,"SEM VALOR",IF(AND($Y475&lt;&gt;"",$Q475&gt;$Y475),"ACIMA REF.","")))))</f>
        <v>SEM VALOR</v>
      </c>
      <c r="V475" s="1" t="str">
        <f ca="1">IF(OR($A475=0,$A475="S",$A475&gt;CFF!$A$9),"",MAX(V$12:OFFSET(V475,-1,0))+1)</f>
        <v/>
      </c>
      <c r="W475" s="4" t="str">
        <f>IF(AND($J475="Serviço",$M475&lt;&gt;""),IF($L475="",$M475,CONCATENATE($L475,"-",$M475)))</f>
        <v>SINAPI-101641</v>
      </c>
      <c r="X475" s="1" t="e">
        <f ca="1">IF(AND(Fonte&lt;&gt;"",Código&lt;&gt;""),MATCH(Fonte&amp;" "&amp;IF(Fonte="sinapi",SUBSTITUTE(SUBSTITUTE(Código,"/00","/"),"/0","/"),Código),INDIRECT("'[Referência "&amp;_xlnm.Database&amp;".xls]Banco'!$a:$a"),0),"X")</f>
        <v>#N/A</v>
      </c>
      <c r="Y475" s="103">
        <v>66.34</v>
      </c>
      <c r="Z475" s="113">
        <f ca="1">ROUND(IF(ISNUMBER(R475),R475,IF(LEFT(R475,3)="BDI",HLOOKUP(R475,DADOS!$T$37:$X$38,2,FALSE),0)),15-11*$X$5)</f>
        <v>0.25</v>
      </c>
      <c r="AA475" s="1"/>
    </row>
    <row r="476" spans="1:27" x14ac:dyDescent="0.25">
      <c r="A476" t="str">
        <f>CHOOSE(1+LOG(1+2*(J476="Meta")+4*(J476="Nível 2")+8*(J476="Nível 3")+16*(J476="Nível 4")+32*(J476="Serviço"),2),0,1,2,3,4,"S")</f>
        <v>S</v>
      </c>
      <c r="B476">
        <f>IF(OR(A476="S",A476=0),0,IF(ISERROR(I476),H476,SMALL(H476:I476,1)))</f>
        <v>0</v>
      </c>
      <c r="C476">
        <f ca="1">IF($A476=1,OFFSET(C476,-1,0)+1,OFFSET(C476,-1,0))</f>
        <v>18</v>
      </c>
      <c r="D476">
        <f ca="1">IF($A476=1,0,IF($A476=2,OFFSET(D476,-1,0)+1,OFFSET(D476,-1,0)))</f>
        <v>6</v>
      </c>
      <c r="E476">
        <f ca="1">IF(AND($A476&lt;=2,$A476&lt;&gt;0),0,IF($A476=3,OFFSET(E476,-1,0)+1,OFFSET(E476,-1,0)))</f>
        <v>0</v>
      </c>
      <c r="F476">
        <f ca="1">IF(AND($A476&lt;=3,$A476&lt;&gt;0),0,IF($A476=4,OFFSET(F476,-1,0)+1,OFFSET(F476,-1,0)))</f>
        <v>0</v>
      </c>
      <c r="G476">
        <f ca="1">IF(AND($A476&lt;=4,$A476&lt;&gt;0),0,IF($A476="S",OFFSET(G476,-1,0)+1,OFFSET(G476,-1,0)))</f>
        <v>13</v>
      </c>
      <c r="H476">
        <f t="shared" ca="1" si="55"/>
        <v>0</v>
      </c>
      <c r="I476">
        <f t="shared" ca="1" si="56"/>
        <v>0</v>
      </c>
      <c r="J476" s="356" t="s">
        <v>103</v>
      </c>
      <c r="K476" s="138" t="str">
        <f ca="1">IF($A476=0,"-",CONCATENATE(C476&amp;".",IF(AND($A$5&gt;=2,$A476&gt;=2),D476&amp;".",""),IF(AND($A$5&gt;=3,$A476&gt;=3),E476&amp;".",""),IF(AND($A$5&gt;=4,$A476&gt;=4),F476&amp;".",""),IF($A476="S",G476&amp;".","")))</f>
        <v>18.6.0.13.</v>
      </c>
      <c r="L476" s="357" t="s">
        <v>233</v>
      </c>
      <c r="M476" s="357" t="s">
        <v>865</v>
      </c>
      <c r="N476" s="358" t="s">
        <v>870</v>
      </c>
      <c r="O476" s="359" t="s">
        <v>470</v>
      </c>
      <c r="P476" s="360">
        <v>1</v>
      </c>
      <c r="Q476" s="195"/>
      <c r="R476" s="198" t="s">
        <v>7</v>
      </c>
      <c r="S476" s="103">
        <f>IF($A476="S",IF($Q$10="Preço Unitário (R$)",PO.CustoUnitario,ROUND(PO.CustoUnitario*(1+$Z476),15-13*$X$6)),0)</f>
        <v>0</v>
      </c>
      <c r="T476" s="83">
        <f>IF($A476="S",VTOTAL1,IF($A476=0,0,ROUND(SomaAgrup,15-13*$X$7)))</f>
        <v>0</v>
      </c>
      <c r="U476" s="9" t="str">
        <f>IF($J476="","",IF($N476="","DESCRIÇÃO",IF(AND($J476="Serviço",$O476=""),"UNIDADE",IF($T476&lt;=0,"SEM VALOR",IF(AND($Y476&lt;&gt;"",$Q476&gt;$Y476),"ACIMA REF.","")))))</f>
        <v>SEM VALOR</v>
      </c>
      <c r="V476" s="1" t="str">
        <f ca="1">IF(OR($A476=0,$A476="S",$A476&gt;CFF!$A$9),"",MAX(V$12:OFFSET(V476,-1,0))+1)</f>
        <v/>
      </c>
      <c r="W476" s="4" t="str">
        <f>IF(AND($J476="Serviço",$M476&lt;&gt;""),IF($L476="",$M476,CONCATENATE($L476,"-",$M476)))</f>
        <v>SINAPI-101640</v>
      </c>
      <c r="X476" s="1" t="e">
        <f ca="1">IF(AND(Fonte&lt;&gt;"",Código&lt;&gt;""),MATCH(Fonte&amp;" "&amp;IF(Fonte="sinapi",SUBSTITUTE(SUBSTITUTE(Código,"/00","/"),"/0","/"),Código),INDIRECT("'[Referência "&amp;_xlnm.Database&amp;".xls]Banco'!$a:$a"),0),"X")</f>
        <v>#N/A</v>
      </c>
      <c r="Y476" s="103">
        <v>128.08000000000001</v>
      </c>
      <c r="Z476" s="113">
        <f ca="1">ROUND(IF(ISNUMBER(R476),R476,IF(LEFT(R476,3)="BDI",HLOOKUP(R476,DADOS!$T$37:$X$38,2,FALSE),0)),15-11*$X$5)</f>
        <v>0.25</v>
      </c>
      <c r="AA476" s="1"/>
    </row>
    <row r="477" spans="1:27" ht="26.4" x14ac:dyDescent="0.25">
      <c r="A477" t="str">
        <f t="shared" si="38"/>
        <v>S</v>
      </c>
      <c r="B477">
        <f t="shared" si="39"/>
        <v>0</v>
      </c>
      <c r="C477">
        <f t="shared" ca="1" si="40"/>
        <v>18</v>
      </c>
      <c r="D477">
        <f t="shared" ca="1" si="41"/>
        <v>6</v>
      </c>
      <c r="E477">
        <f t="shared" ca="1" si="42"/>
        <v>0</v>
      </c>
      <c r="F477">
        <f t="shared" ca="1" si="43"/>
        <v>0</v>
      </c>
      <c r="G477">
        <f t="shared" ca="1" si="44"/>
        <v>14</v>
      </c>
      <c r="H477">
        <f t="shared" ca="1" si="55"/>
        <v>0</v>
      </c>
      <c r="I477">
        <f t="shared" ca="1" si="56"/>
        <v>0</v>
      </c>
      <c r="J477" s="356" t="s">
        <v>103</v>
      </c>
      <c r="K477" s="138" t="str">
        <f t="shared" ca="1" si="45"/>
        <v>18.6.0.14.</v>
      </c>
      <c r="L477" s="357" t="s">
        <v>233</v>
      </c>
      <c r="M477" s="357" t="s">
        <v>864</v>
      </c>
      <c r="N477" s="358" t="s">
        <v>871</v>
      </c>
      <c r="O477" s="359" t="s">
        <v>470</v>
      </c>
      <c r="P477" s="360">
        <v>8</v>
      </c>
      <c r="Q477" s="195"/>
      <c r="R477" s="198" t="s">
        <v>7</v>
      </c>
      <c r="S477" s="103">
        <f t="shared" si="46"/>
        <v>0</v>
      </c>
      <c r="T477" s="83">
        <f t="shared" si="47"/>
        <v>0</v>
      </c>
      <c r="U477" s="9" t="str">
        <f t="shared" si="48"/>
        <v>SEM VALOR</v>
      </c>
      <c r="V477" s="1" t="str">
        <f ca="1">IF(OR($A477=0,$A477="S",$A477&gt;CFF!$A$9),"",MAX(V$12:OFFSET(V477,-1,0))+1)</f>
        <v/>
      </c>
      <c r="W477" s="4" t="str">
        <f t="shared" si="49"/>
        <v>SINAPI-97608</v>
      </c>
      <c r="X477" s="1" t="e">
        <f t="shared" ca="1" si="50"/>
        <v>#N/A</v>
      </c>
      <c r="Y477" s="103">
        <v>151.51</v>
      </c>
      <c r="Z477" s="113">
        <f ca="1">ROUND(IF(ISNUMBER(R477),R477,IF(LEFT(R477,3)="BDI",HLOOKUP(R477,DADOS!$T$37:$X$38,2,FALSE),0)),15-11*$X$5)</f>
        <v>0.25</v>
      </c>
      <c r="AA477" s="1"/>
    </row>
    <row r="478" spans="1:27" x14ac:dyDescent="0.25">
      <c r="A478">
        <f t="shared" si="38"/>
        <v>1</v>
      </c>
      <c r="B478">
        <f t="shared" ca="1" si="39"/>
        <v>12</v>
      </c>
      <c r="C478">
        <f t="shared" ca="1" si="40"/>
        <v>19</v>
      </c>
      <c r="D478">
        <f t="shared" ca="1" si="41"/>
        <v>0</v>
      </c>
      <c r="E478">
        <f t="shared" ca="1" si="42"/>
        <v>0</v>
      </c>
      <c r="F478">
        <f t="shared" ca="1" si="43"/>
        <v>0</v>
      </c>
      <c r="G478">
        <f t="shared" ca="1" si="44"/>
        <v>0</v>
      </c>
      <c r="H478">
        <f t="shared" ca="1" si="55"/>
        <v>125</v>
      </c>
      <c r="I478">
        <f t="shared" ca="1" si="56"/>
        <v>12</v>
      </c>
      <c r="J478" s="356" t="s">
        <v>99</v>
      </c>
      <c r="K478" s="138" t="str">
        <f t="shared" ca="1" si="45"/>
        <v>19.</v>
      </c>
      <c r="L478" s="357"/>
      <c r="M478" s="357"/>
      <c r="N478" s="358" t="s">
        <v>549</v>
      </c>
      <c r="O478" s="359" t="s">
        <v>106</v>
      </c>
      <c r="P478" s="360"/>
      <c r="Q478" s="195"/>
      <c r="R478" s="198" t="s">
        <v>7</v>
      </c>
      <c r="S478" s="103">
        <f t="shared" si="46"/>
        <v>0</v>
      </c>
      <c r="T478" s="83">
        <f t="shared" ca="1" si="47"/>
        <v>0</v>
      </c>
      <c r="U478" s="9" t="str">
        <f t="shared" ca="1" si="48"/>
        <v>SEM VALOR</v>
      </c>
      <c r="V478" s="1">
        <f ca="1">IF(OR($A478=0,$A478="S",$A478&gt;CFF!$A$9),"",MAX(V$12:OFFSET(V478,-1,0))+1)</f>
        <v>70</v>
      </c>
      <c r="W478" s="4" t="b">
        <f t="shared" si="49"/>
        <v>0</v>
      </c>
      <c r="X478" s="1" t="str">
        <f t="shared" ca="1" si="50"/>
        <v>X</v>
      </c>
      <c r="Y478" s="103">
        <v>0</v>
      </c>
      <c r="Z478" s="113">
        <f ca="1">ROUND(IF(ISNUMBER(R478),R478,IF(LEFT(R478,3)="BDI",HLOOKUP(R478,DADOS!$T$37:$X$38,2,FALSE),0)),15-11*$X$5)</f>
        <v>0.25</v>
      </c>
      <c r="AA478" s="1"/>
    </row>
    <row r="479" spans="1:27" x14ac:dyDescent="0.25">
      <c r="A479">
        <f t="shared" si="38"/>
        <v>2</v>
      </c>
      <c r="B479">
        <f t="shared" ca="1" si="39"/>
        <v>6</v>
      </c>
      <c r="C479">
        <f t="shared" ca="1" si="40"/>
        <v>19</v>
      </c>
      <c r="D479">
        <f t="shared" ca="1" si="41"/>
        <v>1</v>
      </c>
      <c r="E479">
        <f t="shared" ca="1" si="42"/>
        <v>0</v>
      </c>
      <c r="F479">
        <f t="shared" ca="1" si="43"/>
        <v>0</v>
      </c>
      <c r="G479">
        <f t="shared" ca="1" si="44"/>
        <v>0</v>
      </c>
      <c r="H479">
        <f t="shared" ca="1" si="55"/>
        <v>11</v>
      </c>
      <c r="I479">
        <f t="shared" ca="1" si="56"/>
        <v>6</v>
      </c>
      <c r="J479" s="356" t="s">
        <v>100</v>
      </c>
      <c r="K479" s="138" t="str">
        <f t="shared" ca="1" si="45"/>
        <v>19.1.</v>
      </c>
      <c r="L479" s="357"/>
      <c r="M479" s="357"/>
      <c r="N479" s="358" t="s">
        <v>550</v>
      </c>
      <c r="O479" s="359" t="s">
        <v>106</v>
      </c>
      <c r="P479" s="360"/>
      <c r="Q479" s="195"/>
      <c r="R479" s="198" t="s">
        <v>7</v>
      </c>
      <c r="S479" s="103">
        <f t="shared" si="46"/>
        <v>0</v>
      </c>
      <c r="T479" s="83">
        <f t="shared" ca="1" si="47"/>
        <v>0</v>
      </c>
      <c r="U479" s="9" t="str">
        <f t="shared" ca="1" si="48"/>
        <v>SEM VALOR</v>
      </c>
      <c r="V479" s="1">
        <f ca="1">IF(OR($A479=0,$A479="S",$A479&gt;CFF!$A$9),"",MAX(V$12:OFFSET(V479,-1,0))+1)</f>
        <v>71</v>
      </c>
      <c r="W479" s="4" t="b">
        <f t="shared" si="49"/>
        <v>0</v>
      </c>
      <c r="X479" s="1" t="str">
        <f t="shared" ca="1" si="50"/>
        <v>X</v>
      </c>
      <c r="Y479" s="103">
        <v>0</v>
      </c>
      <c r="Z479" s="113">
        <f ca="1">ROUND(IF(ISNUMBER(R479),R479,IF(LEFT(R479,3)="BDI",HLOOKUP(R479,DADOS!$T$37:$X$38,2,FALSE),0)),15-11*$X$5)</f>
        <v>0.25</v>
      </c>
      <c r="AA479" s="1"/>
    </row>
    <row r="480" spans="1:27" ht="26.4" x14ac:dyDescent="0.25">
      <c r="A480" t="str">
        <f t="shared" si="38"/>
        <v>S</v>
      </c>
      <c r="B480">
        <f t="shared" si="39"/>
        <v>0</v>
      </c>
      <c r="C480">
        <f t="shared" ca="1" si="40"/>
        <v>19</v>
      </c>
      <c r="D480">
        <f t="shared" ca="1" si="41"/>
        <v>1</v>
      </c>
      <c r="E480">
        <f t="shared" ca="1" si="42"/>
        <v>0</v>
      </c>
      <c r="F480">
        <f t="shared" ca="1" si="43"/>
        <v>0</v>
      </c>
      <c r="G480">
        <f t="shared" ca="1" si="44"/>
        <v>1</v>
      </c>
      <c r="H480">
        <f t="shared" ca="1" si="55"/>
        <v>0</v>
      </c>
      <c r="I480">
        <f t="shared" ca="1" si="56"/>
        <v>0</v>
      </c>
      <c r="J480" s="356" t="s">
        <v>103</v>
      </c>
      <c r="K480" s="138" t="str">
        <f t="shared" ca="1" si="45"/>
        <v>19.1.0.1.</v>
      </c>
      <c r="L480" s="357" t="s">
        <v>233</v>
      </c>
      <c r="M480" s="357" t="s">
        <v>551</v>
      </c>
      <c r="N480" s="358" t="s">
        <v>1159</v>
      </c>
      <c r="O480" s="359" t="s">
        <v>590</v>
      </c>
      <c r="P480" s="360">
        <v>22.6</v>
      </c>
      <c r="Q480" s="195"/>
      <c r="R480" s="198" t="s">
        <v>7</v>
      </c>
      <c r="S480" s="103">
        <f t="shared" si="46"/>
        <v>0</v>
      </c>
      <c r="T480" s="83">
        <f t="shared" si="47"/>
        <v>0</v>
      </c>
      <c r="U480" s="9" t="str">
        <f t="shared" si="48"/>
        <v>SEM VALOR</v>
      </c>
      <c r="V480" s="1" t="str">
        <f ca="1">IF(OR($A480=0,$A480="S",$A480&gt;CFF!$A$9),"",MAX(V$12:OFFSET(V480,-1,0))+1)</f>
        <v/>
      </c>
      <c r="W480" s="4" t="str">
        <f t="shared" si="49"/>
        <v>SINAPI-91927</v>
      </c>
      <c r="X480" s="1">
        <f t="shared" ca="1" si="50"/>
        <v>3013</v>
      </c>
      <c r="Y480" s="103">
        <v>5.96</v>
      </c>
      <c r="Z480" s="113">
        <f ca="1">ROUND(IF(ISNUMBER(R480),R480,IF(LEFT(R480,3)="BDI",HLOOKUP(R480,DADOS!$T$37:$X$38,2,FALSE),0)),15-11*$X$5)</f>
        <v>0.25</v>
      </c>
      <c r="AA480" s="1"/>
    </row>
    <row r="481" spans="1:27" ht="26.4" x14ac:dyDescent="0.25">
      <c r="A481" t="str">
        <f t="shared" si="38"/>
        <v>S</v>
      </c>
      <c r="B481">
        <f t="shared" si="39"/>
        <v>0</v>
      </c>
      <c r="C481">
        <f t="shared" ca="1" si="40"/>
        <v>19</v>
      </c>
      <c r="D481">
        <f t="shared" ca="1" si="41"/>
        <v>1</v>
      </c>
      <c r="E481">
        <f t="shared" ca="1" si="42"/>
        <v>0</v>
      </c>
      <c r="F481">
        <f t="shared" ca="1" si="43"/>
        <v>0</v>
      </c>
      <c r="G481">
        <f t="shared" ca="1" si="44"/>
        <v>2</v>
      </c>
      <c r="H481">
        <f t="shared" ca="1" si="55"/>
        <v>0</v>
      </c>
      <c r="I481">
        <f t="shared" ca="1" si="56"/>
        <v>0</v>
      </c>
      <c r="J481" s="356" t="s">
        <v>103</v>
      </c>
      <c r="K481" s="138" t="str">
        <f t="shared" ca="1" si="45"/>
        <v>19.1.0.2.</v>
      </c>
      <c r="L481" s="357" t="s">
        <v>233</v>
      </c>
      <c r="M481" s="357" t="s">
        <v>552</v>
      </c>
      <c r="N481" s="358" t="s">
        <v>1160</v>
      </c>
      <c r="O481" s="359" t="s">
        <v>590</v>
      </c>
      <c r="P481" s="360">
        <v>132.4</v>
      </c>
      <c r="Q481" s="195"/>
      <c r="R481" s="198" t="s">
        <v>7</v>
      </c>
      <c r="S481" s="103">
        <f t="shared" si="46"/>
        <v>0</v>
      </c>
      <c r="T481" s="83">
        <f t="shared" si="47"/>
        <v>0</v>
      </c>
      <c r="U481" s="9" t="str">
        <f t="shared" si="48"/>
        <v>SEM VALOR</v>
      </c>
      <c r="V481" s="1" t="str">
        <f ca="1">IF(OR($A481=0,$A481="S",$A481&gt;CFF!$A$9),"",MAX(V$12:OFFSET(V481,-1,0))+1)</f>
        <v/>
      </c>
      <c r="W481" s="4" t="str">
        <f t="shared" si="49"/>
        <v>SINAPI-91929</v>
      </c>
      <c r="X481" s="1">
        <f t="shared" ca="1" si="50"/>
        <v>3015</v>
      </c>
      <c r="Y481" s="103">
        <v>8.75</v>
      </c>
      <c r="Z481" s="113">
        <f ca="1">ROUND(IF(ISNUMBER(R481),R481,IF(LEFT(R481,3)="BDI",HLOOKUP(R481,DADOS!$T$37:$X$38,2,FALSE),0)),15-11*$X$5)</f>
        <v>0.25</v>
      </c>
      <c r="AA481" s="1"/>
    </row>
    <row r="482" spans="1:27" ht="26.4" x14ac:dyDescent="0.25">
      <c r="A482" t="str">
        <f t="shared" si="38"/>
        <v>S</v>
      </c>
      <c r="B482">
        <f t="shared" si="39"/>
        <v>0</v>
      </c>
      <c r="C482">
        <f t="shared" ca="1" si="40"/>
        <v>19</v>
      </c>
      <c r="D482">
        <f t="shared" ca="1" si="41"/>
        <v>1</v>
      </c>
      <c r="E482">
        <f t="shared" ca="1" si="42"/>
        <v>0</v>
      </c>
      <c r="F482">
        <f t="shared" ca="1" si="43"/>
        <v>0</v>
      </c>
      <c r="G482">
        <f t="shared" ca="1" si="44"/>
        <v>3</v>
      </c>
      <c r="H482">
        <f t="shared" ca="1" si="55"/>
        <v>0</v>
      </c>
      <c r="I482">
        <f t="shared" ca="1" si="56"/>
        <v>0</v>
      </c>
      <c r="J482" s="356" t="s">
        <v>103</v>
      </c>
      <c r="K482" s="138" t="str">
        <f t="shared" ca="1" si="45"/>
        <v>19.1.0.3.</v>
      </c>
      <c r="L482" s="357" t="s">
        <v>233</v>
      </c>
      <c r="M482" s="357" t="s">
        <v>553</v>
      </c>
      <c r="N482" s="358" t="s">
        <v>1161</v>
      </c>
      <c r="O482" s="359" t="s">
        <v>590</v>
      </c>
      <c r="P482" s="360">
        <v>16.899999999999999</v>
      </c>
      <c r="Q482" s="195"/>
      <c r="R482" s="198" t="s">
        <v>7</v>
      </c>
      <c r="S482" s="103">
        <f t="shared" si="46"/>
        <v>0</v>
      </c>
      <c r="T482" s="83">
        <f t="shared" si="47"/>
        <v>0</v>
      </c>
      <c r="U482" s="9" t="str">
        <f t="shared" si="48"/>
        <v>SEM VALOR</v>
      </c>
      <c r="V482" s="1" t="str">
        <f ca="1">IF(OR($A482=0,$A482="S",$A482&gt;CFF!$A$9),"",MAX(V$12:OFFSET(V482,-1,0))+1)</f>
        <v/>
      </c>
      <c r="W482" s="4" t="str">
        <f t="shared" si="49"/>
        <v>SINAPI-97327</v>
      </c>
      <c r="X482" s="1">
        <f t="shared" ca="1" si="50"/>
        <v>3743</v>
      </c>
      <c r="Y482" s="103">
        <v>33.590000000000003</v>
      </c>
      <c r="Z482" s="113">
        <f ca="1">ROUND(IF(ISNUMBER(R482),R482,IF(LEFT(R482,3)="BDI",HLOOKUP(R482,DADOS!$T$37:$X$38,2,FALSE),0)),15-11*$X$5)</f>
        <v>0.25</v>
      </c>
      <c r="AA482" s="1"/>
    </row>
    <row r="483" spans="1:27" ht="26.4" x14ac:dyDescent="0.25">
      <c r="A483" t="str">
        <f t="shared" si="38"/>
        <v>S</v>
      </c>
      <c r="B483">
        <f t="shared" si="39"/>
        <v>0</v>
      </c>
      <c r="C483">
        <f t="shared" ca="1" si="40"/>
        <v>19</v>
      </c>
      <c r="D483">
        <f t="shared" ca="1" si="41"/>
        <v>1</v>
      </c>
      <c r="E483">
        <f t="shared" ca="1" si="42"/>
        <v>0</v>
      </c>
      <c r="F483">
        <f t="shared" ca="1" si="43"/>
        <v>0</v>
      </c>
      <c r="G483">
        <f t="shared" ca="1" si="44"/>
        <v>4</v>
      </c>
      <c r="H483">
        <f t="shared" ca="1" si="55"/>
        <v>0</v>
      </c>
      <c r="I483">
        <f t="shared" ca="1" si="56"/>
        <v>0</v>
      </c>
      <c r="J483" s="356" t="s">
        <v>103</v>
      </c>
      <c r="K483" s="138" t="str">
        <f t="shared" ca="1" si="45"/>
        <v>19.1.0.4.</v>
      </c>
      <c r="L483" s="357" t="s">
        <v>233</v>
      </c>
      <c r="M483" s="357" t="s">
        <v>554</v>
      </c>
      <c r="N483" s="358" t="s">
        <v>1162</v>
      </c>
      <c r="O483" s="359" t="s">
        <v>590</v>
      </c>
      <c r="P483" s="360">
        <v>154.9</v>
      </c>
      <c r="Q483" s="195"/>
      <c r="R483" s="198" t="s">
        <v>7</v>
      </c>
      <c r="S483" s="103">
        <f t="shared" si="46"/>
        <v>0</v>
      </c>
      <c r="T483" s="83">
        <f t="shared" si="47"/>
        <v>0</v>
      </c>
      <c r="U483" s="9" t="str">
        <f t="shared" si="48"/>
        <v>SEM VALOR</v>
      </c>
      <c r="V483" s="1" t="str">
        <f ca="1">IF(OR($A483=0,$A483="S",$A483&gt;CFF!$A$9),"",MAX(V$12:OFFSET(V483,-1,0))+1)</f>
        <v/>
      </c>
      <c r="W483" s="4" t="str">
        <f t="shared" si="49"/>
        <v>SINAPI-97328</v>
      </c>
      <c r="X483" s="1">
        <f t="shared" ca="1" si="50"/>
        <v>3744</v>
      </c>
      <c r="Y483" s="103">
        <v>55.7</v>
      </c>
      <c r="Z483" s="113">
        <f ca="1">ROUND(IF(ISNUMBER(R483),R483,IF(LEFT(R483,3)="BDI",HLOOKUP(R483,DADOS!$T$37:$X$38,2,FALSE),0)),15-11*$X$5)</f>
        <v>0.25</v>
      </c>
      <c r="AA483" s="1"/>
    </row>
    <row r="484" spans="1:27" ht="26.4" x14ac:dyDescent="0.25">
      <c r="A484" t="str">
        <f t="shared" si="38"/>
        <v>S</v>
      </c>
      <c r="B484">
        <f t="shared" si="39"/>
        <v>0</v>
      </c>
      <c r="C484">
        <f t="shared" ca="1" si="40"/>
        <v>19</v>
      </c>
      <c r="D484">
        <f t="shared" ca="1" si="41"/>
        <v>1</v>
      </c>
      <c r="E484">
        <f t="shared" ca="1" si="42"/>
        <v>0</v>
      </c>
      <c r="F484">
        <f t="shared" ca="1" si="43"/>
        <v>0</v>
      </c>
      <c r="G484">
        <f t="shared" ca="1" si="44"/>
        <v>5</v>
      </c>
      <c r="H484">
        <f t="shared" ca="1" si="55"/>
        <v>0</v>
      </c>
      <c r="I484">
        <f t="shared" ca="1" si="56"/>
        <v>0</v>
      </c>
      <c r="J484" s="356" t="s">
        <v>103</v>
      </c>
      <c r="K484" s="138" t="str">
        <f t="shared" ca="1" si="45"/>
        <v>19.1.0.5.</v>
      </c>
      <c r="L484" s="357" t="s">
        <v>233</v>
      </c>
      <c r="M484" s="357" t="s">
        <v>555</v>
      </c>
      <c r="N484" s="358" t="s">
        <v>1163</v>
      </c>
      <c r="O484" s="359" t="s">
        <v>470</v>
      </c>
      <c r="P484" s="360">
        <v>138</v>
      </c>
      <c r="Q484" s="195"/>
      <c r="R484" s="198" t="s">
        <v>7</v>
      </c>
      <c r="S484" s="103">
        <f t="shared" si="46"/>
        <v>0</v>
      </c>
      <c r="T484" s="83">
        <f t="shared" si="47"/>
        <v>0</v>
      </c>
      <c r="U484" s="9" t="str">
        <f t="shared" si="48"/>
        <v>SEM VALOR</v>
      </c>
      <c r="V484" s="1" t="str">
        <f ca="1">IF(OR($A484=0,$A484="S",$A484&gt;CFF!$A$9),"",MAX(V$12:OFFSET(V484,-1,0))+1)</f>
        <v/>
      </c>
      <c r="W484" s="4" t="str">
        <f t="shared" si="49"/>
        <v>SINAPI-103992</v>
      </c>
      <c r="X484" s="1">
        <f t="shared" ca="1" si="50"/>
        <v>4995</v>
      </c>
      <c r="Y484" s="103">
        <v>14.95</v>
      </c>
      <c r="Z484" s="113">
        <f ca="1">ROUND(IF(ISNUMBER(R484),R484,IF(LEFT(R484,3)="BDI",HLOOKUP(R484,DADOS!$T$37:$X$38,2,FALSE),0)),15-11*$X$5)</f>
        <v>0.25</v>
      </c>
      <c r="AA484" s="1"/>
    </row>
    <row r="485" spans="1:27" x14ac:dyDescent="0.25">
      <c r="A485">
        <f t="shared" si="38"/>
        <v>2</v>
      </c>
      <c r="B485">
        <f t="shared" ca="1" si="39"/>
        <v>5</v>
      </c>
      <c r="C485">
        <f t="shared" ca="1" si="40"/>
        <v>19</v>
      </c>
      <c r="D485">
        <f t="shared" ca="1" si="41"/>
        <v>2</v>
      </c>
      <c r="E485">
        <f t="shared" ca="1" si="42"/>
        <v>0</v>
      </c>
      <c r="F485">
        <f t="shared" ca="1" si="43"/>
        <v>0</v>
      </c>
      <c r="G485">
        <f t="shared" ca="1" si="44"/>
        <v>0</v>
      </c>
      <c r="H485">
        <f t="shared" ca="1" si="55"/>
        <v>5</v>
      </c>
      <c r="I485">
        <f t="shared" ca="1" si="56"/>
        <v>17</v>
      </c>
      <c r="J485" s="356" t="s">
        <v>100</v>
      </c>
      <c r="K485" s="138" t="str">
        <f t="shared" ca="1" si="45"/>
        <v>19.2.</v>
      </c>
      <c r="L485" s="357"/>
      <c r="M485" s="357"/>
      <c r="N485" s="358" t="s">
        <v>556</v>
      </c>
      <c r="O485" s="359" t="s">
        <v>106</v>
      </c>
      <c r="P485" s="360"/>
      <c r="Q485" s="195"/>
      <c r="R485" s="198" t="s">
        <v>7</v>
      </c>
      <c r="S485" s="103">
        <f t="shared" si="46"/>
        <v>0</v>
      </c>
      <c r="T485" s="83">
        <f t="shared" ca="1" si="47"/>
        <v>0</v>
      </c>
      <c r="U485" s="9" t="str">
        <f t="shared" ca="1" si="48"/>
        <v>SEM VALOR</v>
      </c>
      <c r="V485" s="1">
        <f ca="1">IF(OR($A485=0,$A485="S",$A485&gt;CFF!$A$9),"",MAX(V$12:OFFSET(V485,-1,0))+1)</f>
        <v>72</v>
      </c>
      <c r="W485" s="4" t="b">
        <f t="shared" si="49"/>
        <v>0</v>
      </c>
      <c r="X485" s="1" t="str">
        <f t="shared" ca="1" si="50"/>
        <v>X</v>
      </c>
      <c r="Y485" s="103">
        <v>0</v>
      </c>
      <c r="Z485" s="113">
        <f ca="1">ROUND(IF(ISNUMBER(R485),R485,IF(LEFT(R485,3)="BDI",HLOOKUP(R485,DADOS!$T$37:$X$38,2,FALSE),0)),15-11*$X$5)</f>
        <v>0.25</v>
      </c>
      <c r="AA485" s="1"/>
    </row>
    <row r="486" spans="1:27" ht="26.4" x14ac:dyDescent="0.25">
      <c r="A486" t="str">
        <f t="shared" si="38"/>
        <v>S</v>
      </c>
      <c r="B486">
        <f t="shared" si="39"/>
        <v>0</v>
      </c>
      <c r="C486">
        <f t="shared" ca="1" si="40"/>
        <v>19</v>
      </c>
      <c r="D486">
        <f t="shared" ca="1" si="41"/>
        <v>2</v>
      </c>
      <c r="E486">
        <f t="shared" ca="1" si="42"/>
        <v>0</v>
      </c>
      <c r="F486">
        <f t="shared" ca="1" si="43"/>
        <v>0</v>
      </c>
      <c r="G486">
        <f t="shared" ca="1" si="44"/>
        <v>1</v>
      </c>
      <c r="H486">
        <f t="shared" ca="1" si="55"/>
        <v>0</v>
      </c>
      <c r="I486">
        <f t="shared" ca="1" si="56"/>
        <v>0</v>
      </c>
      <c r="J486" s="356" t="s">
        <v>103</v>
      </c>
      <c r="K486" s="138" t="str">
        <f t="shared" ca="1" si="45"/>
        <v>19.2.0.1.</v>
      </c>
      <c r="L486" s="357" t="s">
        <v>233</v>
      </c>
      <c r="M486" s="357" t="s">
        <v>557</v>
      </c>
      <c r="N486" s="358" t="s">
        <v>1164</v>
      </c>
      <c r="O486" s="359" t="s">
        <v>590</v>
      </c>
      <c r="P486" s="360">
        <v>63.9</v>
      </c>
      <c r="Q486" s="195"/>
      <c r="R486" s="198" t="s">
        <v>7</v>
      </c>
      <c r="S486" s="103">
        <f t="shared" si="46"/>
        <v>0</v>
      </c>
      <c r="T486" s="83">
        <f t="shared" si="47"/>
        <v>0</v>
      </c>
      <c r="U486" s="9" t="str">
        <f t="shared" si="48"/>
        <v>SEM VALOR</v>
      </c>
      <c r="V486" s="1" t="str">
        <f ca="1">IF(OR($A486=0,$A486="S",$A486&gt;CFF!$A$9),"",MAX(V$12:OFFSET(V486,-1,0))+1)</f>
        <v/>
      </c>
      <c r="W486" s="4" t="str">
        <f t="shared" si="49"/>
        <v>SINAPI-103978</v>
      </c>
      <c r="X486" s="1">
        <f t="shared" ca="1" si="50"/>
        <v>3807</v>
      </c>
      <c r="Y486" s="103">
        <v>34.130000000000003</v>
      </c>
      <c r="Z486" s="113">
        <f ca="1">ROUND(IF(ISNUMBER(R486),R486,IF(LEFT(R486,3)="BDI",HLOOKUP(R486,DADOS!$T$37:$X$38,2,FALSE),0)),15-11*$X$5)</f>
        <v>0.25</v>
      </c>
      <c r="AA486" s="1"/>
    </row>
    <row r="487" spans="1:27" ht="26.4" x14ac:dyDescent="0.25">
      <c r="A487" t="str">
        <f t="shared" si="38"/>
        <v>S</v>
      </c>
      <c r="B487">
        <f t="shared" si="39"/>
        <v>0</v>
      </c>
      <c r="C487">
        <f t="shared" ca="1" si="40"/>
        <v>19</v>
      </c>
      <c r="D487">
        <f t="shared" ca="1" si="41"/>
        <v>2</v>
      </c>
      <c r="E487">
        <f t="shared" ca="1" si="42"/>
        <v>0</v>
      </c>
      <c r="F487">
        <f t="shared" ca="1" si="43"/>
        <v>0</v>
      </c>
      <c r="G487">
        <f t="shared" ca="1" si="44"/>
        <v>2</v>
      </c>
      <c r="H487">
        <f t="shared" ca="1" si="55"/>
        <v>0</v>
      </c>
      <c r="I487">
        <f t="shared" ca="1" si="56"/>
        <v>0</v>
      </c>
      <c r="J487" s="356" t="s">
        <v>103</v>
      </c>
      <c r="K487" s="138" t="str">
        <f t="shared" ca="1" si="45"/>
        <v>19.2.0.2.</v>
      </c>
      <c r="L487" s="357" t="s">
        <v>233</v>
      </c>
      <c r="M487" s="357" t="s">
        <v>558</v>
      </c>
      <c r="N487" s="358" t="s">
        <v>1165</v>
      </c>
      <c r="O487" s="359" t="s">
        <v>470</v>
      </c>
      <c r="P487" s="360">
        <v>12</v>
      </c>
      <c r="Q487" s="195"/>
      <c r="R487" s="198" t="s">
        <v>7</v>
      </c>
      <c r="S487" s="103">
        <f t="shared" si="46"/>
        <v>0</v>
      </c>
      <c r="T487" s="83">
        <f t="shared" si="47"/>
        <v>0</v>
      </c>
      <c r="U487" s="9" t="str">
        <f t="shared" si="48"/>
        <v>SEM VALOR</v>
      </c>
      <c r="V487" s="1" t="str">
        <f ca="1">IF(OR($A487=0,$A487="S",$A487&gt;CFF!$A$9),"",MAX(V$12:OFFSET(V487,-1,0))+1)</f>
        <v/>
      </c>
      <c r="W487" s="4" t="str">
        <f t="shared" si="49"/>
        <v>SINAPI-103981</v>
      </c>
      <c r="X487" s="1">
        <f t="shared" ca="1" si="50"/>
        <v>4985</v>
      </c>
      <c r="Y487" s="103">
        <v>23.05</v>
      </c>
      <c r="Z487" s="113">
        <f ca="1">ROUND(IF(ISNUMBER(R487),R487,IF(LEFT(R487,3)="BDI",HLOOKUP(R487,DADOS!$T$37:$X$38,2,FALSE),0)),15-11*$X$5)</f>
        <v>0.25</v>
      </c>
      <c r="AA487" s="1"/>
    </row>
    <row r="488" spans="1:27" ht="26.4" x14ac:dyDescent="0.25">
      <c r="A488" t="str">
        <f t="shared" si="38"/>
        <v>S</v>
      </c>
      <c r="B488">
        <f t="shared" si="39"/>
        <v>0</v>
      </c>
      <c r="C488">
        <f t="shared" ca="1" si="40"/>
        <v>19</v>
      </c>
      <c r="D488">
        <f t="shared" ca="1" si="41"/>
        <v>2</v>
      </c>
      <c r="E488">
        <f t="shared" ca="1" si="42"/>
        <v>0</v>
      </c>
      <c r="F488">
        <f t="shared" ca="1" si="43"/>
        <v>0</v>
      </c>
      <c r="G488">
        <f t="shared" ca="1" si="44"/>
        <v>3</v>
      </c>
      <c r="H488">
        <f t="shared" ca="1" si="55"/>
        <v>0</v>
      </c>
      <c r="I488">
        <f t="shared" ca="1" si="56"/>
        <v>0</v>
      </c>
      <c r="J488" s="356" t="s">
        <v>103</v>
      </c>
      <c r="K488" s="138" t="str">
        <f t="shared" ca="1" si="45"/>
        <v>19.2.0.3.</v>
      </c>
      <c r="L488" s="357" t="s">
        <v>233</v>
      </c>
      <c r="M488" s="357" t="s">
        <v>559</v>
      </c>
      <c r="N488" s="358" t="s">
        <v>1166</v>
      </c>
      <c r="O488" s="359" t="s">
        <v>470</v>
      </c>
      <c r="P488" s="360">
        <v>14</v>
      </c>
      <c r="Q488" s="195"/>
      <c r="R488" s="198" t="s">
        <v>7</v>
      </c>
      <c r="S488" s="103">
        <f t="shared" si="46"/>
        <v>0</v>
      </c>
      <c r="T488" s="83">
        <f t="shared" si="47"/>
        <v>0</v>
      </c>
      <c r="U488" s="9" t="str">
        <f t="shared" si="48"/>
        <v>SEM VALOR</v>
      </c>
      <c r="V488" s="1" t="str">
        <f ca="1">IF(OR($A488=0,$A488="S",$A488&gt;CFF!$A$9),"",MAX(V$12:OFFSET(V488,-1,0))+1)</f>
        <v/>
      </c>
      <c r="W488" s="4" t="str">
        <f t="shared" si="49"/>
        <v>SINAPI-103980</v>
      </c>
      <c r="X488" s="1">
        <f t="shared" ca="1" si="50"/>
        <v>4984</v>
      </c>
      <c r="Y488" s="103">
        <v>22.98</v>
      </c>
      <c r="Z488" s="113">
        <f ca="1">ROUND(IF(ISNUMBER(R488),R488,IF(LEFT(R488,3)="BDI",HLOOKUP(R488,DADOS!$T$37:$X$38,2,FALSE),0)),15-11*$X$5)</f>
        <v>0.25</v>
      </c>
      <c r="AA488" s="1"/>
    </row>
    <row r="489" spans="1:27" ht="26.4" x14ac:dyDescent="0.25">
      <c r="A489" t="str">
        <f t="shared" si="38"/>
        <v>S</v>
      </c>
      <c r="B489">
        <f t="shared" si="39"/>
        <v>0</v>
      </c>
      <c r="C489">
        <f t="shared" ca="1" si="40"/>
        <v>19</v>
      </c>
      <c r="D489">
        <f t="shared" ca="1" si="41"/>
        <v>2</v>
      </c>
      <c r="E489">
        <f t="shared" ca="1" si="42"/>
        <v>0</v>
      </c>
      <c r="F489">
        <f t="shared" ca="1" si="43"/>
        <v>0</v>
      </c>
      <c r="G489">
        <f t="shared" ca="1" si="44"/>
        <v>4</v>
      </c>
      <c r="H489">
        <f t="shared" ca="1" si="55"/>
        <v>0</v>
      </c>
      <c r="I489">
        <f t="shared" ca="1" si="56"/>
        <v>0</v>
      </c>
      <c r="J489" s="356" t="s">
        <v>103</v>
      </c>
      <c r="K489" s="138" t="str">
        <f t="shared" ca="1" si="45"/>
        <v>19.2.0.4.</v>
      </c>
      <c r="L489" s="357" t="s">
        <v>233</v>
      </c>
      <c r="M489" s="357" t="s">
        <v>560</v>
      </c>
      <c r="N489" s="358" t="s">
        <v>1167</v>
      </c>
      <c r="O489" s="359" t="s">
        <v>470</v>
      </c>
      <c r="P489" s="360">
        <v>3</v>
      </c>
      <c r="Q489" s="195"/>
      <c r="R489" s="198" t="s">
        <v>7</v>
      </c>
      <c r="S489" s="103">
        <f t="shared" si="46"/>
        <v>0</v>
      </c>
      <c r="T489" s="83">
        <f t="shared" si="47"/>
        <v>0</v>
      </c>
      <c r="U489" s="9" t="str">
        <f t="shared" si="48"/>
        <v>SEM VALOR</v>
      </c>
      <c r="V489" s="1" t="str">
        <f ca="1">IF(OR($A489=0,$A489="S",$A489&gt;CFF!$A$9),"",MAX(V$12:OFFSET(V489,-1,0))+1)</f>
        <v/>
      </c>
      <c r="W489" s="4" t="str">
        <f t="shared" si="49"/>
        <v>SINAPI-104011</v>
      </c>
      <c r="X489" s="1">
        <f t="shared" ca="1" si="50"/>
        <v>5013</v>
      </c>
      <c r="Y489" s="103">
        <v>32.85</v>
      </c>
      <c r="Z489" s="113">
        <f ca="1">ROUND(IF(ISNUMBER(R489),R489,IF(LEFT(R489,3)="BDI",HLOOKUP(R489,DADOS!$T$37:$X$38,2,FALSE),0)),15-11*$X$5)</f>
        <v>0.25</v>
      </c>
      <c r="AA489" s="1"/>
    </row>
    <row r="490" spans="1:27" x14ac:dyDescent="0.25">
      <c r="A490">
        <f t="shared" si="38"/>
        <v>1</v>
      </c>
      <c r="B490">
        <f t="shared" ca="1" si="39"/>
        <v>26</v>
      </c>
      <c r="C490">
        <f t="shared" ca="1" si="40"/>
        <v>20</v>
      </c>
      <c r="D490">
        <f t="shared" ca="1" si="41"/>
        <v>0</v>
      </c>
      <c r="E490">
        <f t="shared" ca="1" si="42"/>
        <v>0</v>
      </c>
      <c r="F490">
        <f t="shared" ca="1" si="43"/>
        <v>0</v>
      </c>
      <c r="G490">
        <f t="shared" ca="1" si="44"/>
        <v>0</v>
      </c>
      <c r="H490">
        <f t="shared" ca="1" si="55"/>
        <v>113</v>
      </c>
      <c r="I490">
        <f t="shared" ca="1" si="56"/>
        <v>26</v>
      </c>
      <c r="J490" s="356" t="s">
        <v>99</v>
      </c>
      <c r="K490" s="138" t="str">
        <f t="shared" ca="1" si="45"/>
        <v>20.</v>
      </c>
      <c r="L490" s="357"/>
      <c r="M490" s="357"/>
      <c r="N490" s="358" t="s">
        <v>561</v>
      </c>
      <c r="O490" s="359" t="s">
        <v>106</v>
      </c>
      <c r="P490" s="360"/>
      <c r="Q490" s="195"/>
      <c r="R490" s="198" t="s">
        <v>7</v>
      </c>
      <c r="S490" s="103">
        <f t="shared" si="46"/>
        <v>0</v>
      </c>
      <c r="T490" s="83">
        <f t="shared" ca="1" si="47"/>
        <v>0</v>
      </c>
      <c r="U490" s="9" t="str">
        <f t="shared" ca="1" si="48"/>
        <v>SEM VALOR</v>
      </c>
      <c r="V490" s="1">
        <f ca="1">IF(OR($A490=0,$A490="S",$A490&gt;CFF!$A$9),"",MAX(V$12:OFFSET(V490,-1,0))+1)</f>
        <v>73</v>
      </c>
      <c r="W490" s="4" t="b">
        <f t="shared" si="49"/>
        <v>0</v>
      </c>
      <c r="X490" s="1" t="str">
        <f t="shared" ca="1" si="50"/>
        <v>X</v>
      </c>
      <c r="Y490" s="103">
        <v>0</v>
      </c>
      <c r="Z490" s="113">
        <f ca="1">ROUND(IF(ISNUMBER(R490),R490,IF(LEFT(R490,3)="BDI",HLOOKUP(R490,DADOS!$T$37:$X$38,2,FALSE),0)),15-11*$X$5)</f>
        <v>0.25</v>
      </c>
      <c r="AA490" s="1"/>
    </row>
    <row r="491" spans="1:27" x14ac:dyDescent="0.25">
      <c r="A491">
        <f>CHOOSE(1+LOG(1+2*(J491="Meta")+4*(J491="Nível 2")+8*(J491="Nível 3")+16*(J491="Nível 4")+32*(J491="Serviço"),2),0,1,2,3,4,"S")</f>
        <v>2</v>
      </c>
      <c r="B491">
        <f ca="1">IF(OR(A491="S",A491=0),0,IF(ISERROR(I491),H491,SMALL(H491:I491,1)))</f>
        <v>8</v>
      </c>
      <c r="C491">
        <f ca="1">IF($A491=1,OFFSET(C491,-1,0)+1,OFFSET(C491,-1,0))</f>
        <v>20</v>
      </c>
      <c r="D491">
        <f ca="1">IF($A491=1,0,IF($A491=2,OFFSET(D491,-1,0)+1,OFFSET(D491,-1,0)))</f>
        <v>1</v>
      </c>
      <c r="E491">
        <f ca="1">IF(AND($A491&lt;=2,$A491&lt;&gt;0),0,IF($A491=3,OFFSET(E491,-1,0)+1,OFFSET(E491,-1,0)))</f>
        <v>0</v>
      </c>
      <c r="F491">
        <f ca="1">IF(AND($A491&lt;=3,$A491&lt;&gt;0),0,IF($A491=4,OFFSET(F491,-1,0)+1,OFFSET(F491,-1,0)))</f>
        <v>0</v>
      </c>
      <c r="G491">
        <f ca="1">IF(AND($A491&lt;=4,$A491&lt;&gt;0),0,IF($A491="S",OFFSET(G491,-1,0)+1,OFFSET(G491,-1,0)))</f>
        <v>0</v>
      </c>
      <c r="H491">
        <f t="shared" ca="1" si="55"/>
        <v>25</v>
      </c>
      <c r="I491">
        <f t="shared" ca="1" si="56"/>
        <v>8</v>
      </c>
      <c r="J491" s="356" t="s">
        <v>100</v>
      </c>
      <c r="K491" s="138" t="str">
        <f ca="1">IF($A491=0,"-",CONCATENATE(C491&amp;".",IF(AND($A$5&gt;=2,$A491&gt;=2),D491&amp;".",""),IF(AND($A$5&gt;=3,$A491&gt;=3),E491&amp;".",""),IF(AND($A$5&gt;=4,$A491&gt;=4),F491&amp;".",""),IF($A491="S",G491&amp;".","")))</f>
        <v>20.1.</v>
      </c>
      <c r="L491" s="357"/>
      <c r="M491" s="357"/>
      <c r="N491" s="358" t="s">
        <v>576</v>
      </c>
      <c r="O491" s="359" t="s">
        <v>106</v>
      </c>
      <c r="P491" s="360"/>
      <c r="Q491" s="195"/>
      <c r="R491" s="198" t="s">
        <v>7</v>
      </c>
      <c r="S491" s="103">
        <f>IF($A491="S",IF($Q$10="Preço Unitário (R$)",PO.CustoUnitario,ROUND(PO.CustoUnitario*(1+$Z491),15-13*$X$6)),0)</f>
        <v>0</v>
      </c>
      <c r="T491" s="83">
        <f ca="1">IF($A491="S",VTOTAL1,IF($A491=0,0,ROUND(SomaAgrup,15-13*$X$7)))</f>
        <v>0</v>
      </c>
      <c r="U491" s="9" t="str">
        <f ca="1">IF($J491="","",IF($N491="","DESCRIÇÃO",IF(AND($J491="Serviço",$O491=""),"UNIDADE",IF($T491&lt;=0,"SEM VALOR",IF(AND($Y491&lt;&gt;"",$Q491&gt;$Y491),"ACIMA REF.","")))))</f>
        <v>SEM VALOR</v>
      </c>
      <c r="V491" s="1">
        <f ca="1">IF(OR($A491=0,$A491="S",$A491&gt;CFF!$A$9),"",MAX(V$12:OFFSET(V491,-1,0))+1)</f>
        <v>74</v>
      </c>
      <c r="W491" s="4" t="b">
        <f>IF(AND($J491="Serviço",$M491&lt;&gt;""),IF($L491="",$M491,CONCATENATE($L491,"-",$M491)))</f>
        <v>0</v>
      </c>
      <c r="X491" s="1" t="str">
        <f ca="1">IF(AND(Fonte&lt;&gt;"",Código&lt;&gt;""),MATCH(Fonte&amp;" "&amp;IF(Fonte="sinapi",SUBSTITUTE(SUBSTITUTE(Código,"/00","/"),"/0","/"),Código),INDIRECT("'[Referência "&amp;_xlnm.Database&amp;".xls]Banco'!$a:$a"),0),"X")</f>
        <v>X</v>
      </c>
      <c r="Y491" s="103">
        <v>0</v>
      </c>
      <c r="Z491" s="113">
        <f ca="1">ROUND(IF(ISNUMBER(R491),R491,IF(LEFT(R491,3)="BDI",HLOOKUP(R491,DADOS!$T$37:$X$38,2,FALSE),0)),15-11*$X$5)</f>
        <v>0.25</v>
      </c>
      <c r="AA491" s="1"/>
    </row>
    <row r="492" spans="1:27" x14ac:dyDescent="0.25">
      <c r="A492" t="str">
        <f t="shared" si="38"/>
        <v>S</v>
      </c>
      <c r="B492">
        <f t="shared" si="39"/>
        <v>0</v>
      </c>
      <c r="C492">
        <f t="shared" ca="1" si="40"/>
        <v>20</v>
      </c>
      <c r="D492">
        <f t="shared" ca="1" si="41"/>
        <v>1</v>
      </c>
      <c r="E492">
        <f t="shared" ca="1" si="42"/>
        <v>0</v>
      </c>
      <c r="F492">
        <f t="shared" ca="1" si="43"/>
        <v>0</v>
      </c>
      <c r="G492">
        <f t="shared" ca="1" si="44"/>
        <v>1</v>
      </c>
      <c r="H492">
        <f t="shared" ca="1" si="55"/>
        <v>0</v>
      </c>
      <c r="I492">
        <f t="shared" ca="1" si="56"/>
        <v>0</v>
      </c>
      <c r="J492" s="356" t="s">
        <v>103</v>
      </c>
      <c r="K492" s="138" t="str">
        <f t="shared" ca="1" si="45"/>
        <v>20.1.0.1.</v>
      </c>
      <c r="L492" s="357" t="s">
        <v>233</v>
      </c>
      <c r="M492" s="357" t="s">
        <v>562</v>
      </c>
      <c r="N492" s="358" t="s">
        <v>1168</v>
      </c>
      <c r="O492" s="359" t="s">
        <v>470</v>
      </c>
      <c r="P492" s="360">
        <v>3</v>
      </c>
      <c r="Q492" s="195"/>
      <c r="R492" s="198" t="s">
        <v>7</v>
      </c>
      <c r="S492" s="103">
        <f t="shared" si="46"/>
        <v>0</v>
      </c>
      <c r="T492" s="83">
        <f t="shared" si="47"/>
        <v>0</v>
      </c>
      <c r="U492" s="9" t="str">
        <f t="shared" si="48"/>
        <v>SEM VALOR</v>
      </c>
      <c r="V492" s="1" t="str">
        <f ca="1">IF(OR($A492=0,$A492="S",$A492&gt;CFF!$A$9),"",MAX(V$12:OFFSET(V492,-1,0))+1)</f>
        <v/>
      </c>
      <c r="W492" s="4" t="str">
        <f t="shared" si="49"/>
        <v>SINAPI-98302</v>
      </c>
      <c r="X492" s="1">
        <f t="shared" ca="1" si="50"/>
        <v>3567</v>
      </c>
      <c r="Y492" s="103">
        <v>1483.96</v>
      </c>
      <c r="Z492" s="113">
        <f ca="1">ROUND(IF(ISNUMBER(R492),R492,IF(LEFT(R492,3)="BDI",HLOOKUP(R492,DADOS!$T$37:$X$38,2,FALSE),0)),15-11*$X$5)</f>
        <v>0.25</v>
      </c>
      <c r="AA492" s="1"/>
    </row>
    <row r="493" spans="1:27" x14ac:dyDescent="0.25">
      <c r="A493" t="str">
        <f t="shared" si="38"/>
        <v>S</v>
      </c>
      <c r="B493">
        <f t="shared" si="39"/>
        <v>0</v>
      </c>
      <c r="C493">
        <f t="shared" ca="1" si="40"/>
        <v>20</v>
      </c>
      <c r="D493">
        <f t="shared" ca="1" si="41"/>
        <v>1</v>
      </c>
      <c r="E493">
        <f t="shared" ca="1" si="42"/>
        <v>0</v>
      </c>
      <c r="F493">
        <f t="shared" ca="1" si="43"/>
        <v>0</v>
      </c>
      <c r="G493">
        <f t="shared" ca="1" si="44"/>
        <v>2</v>
      </c>
      <c r="H493">
        <f t="shared" ca="1" si="55"/>
        <v>0</v>
      </c>
      <c r="I493">
        <f t="shared" ca="1" si="56"/>
        <v>0</v>
      </c>
      <c r="J493" s="356" t="s">
        <v>103</v>
      </c>
      <c r="K493" s="138" t="str">
        <f t="shared" ca="1" si="45"/>
        <v>20.1.0.2.</v>
      </c>
      <c r="L493" s="357" t="s">
        <v>469</v>
      </c>
      <c r="M493" s="357" t="s">
        <v>563</v>
      </c>
      <c r="N493" s="358" t="s">
        <v>569</v>
      </c>
      <c r="O493" s="359" t="s">
        <v>470</v>
      </c>
      <c r="P493" s="360">
        <v>1</v>
      </c>
      <c r="Q493" s="195"/>
      <c r="R493" s="198" t="s">
        <v>7</v>
      </c>
      <c r="S493" s="103">
        <f t="shared" si="46"/>
        <v>0</v>
      </c>
      <c r="T493" s="83">
        <f t="shared" si="47"/>
        <v>0</v>
      </c>
      <c r="U493" s="9" t="str">
        <f t="shared" si="48"/>
        <v>SEM VALOR</v>
      </c>
      <c r="V493" s="1" t="str">
        <f ca="1">IF(OR($A493=0,$A493="S",$A493&gt;CFF!$A$9),"",MAX(V$12:OFFSET(V493,-1,0))+1)</f>
        <v/>
      </c>
      <c r="W493" s="4" t="str">
        <f t="shared" si="49"/>
        <v>FNDE-FNDE 76</v>
      </c>
      <c r="X493" s="1" t="e">
        <f t="shared" ca="1" si="50"/>
        <v>#N/A</v>
      </c>
      <c r="Y493" s="103">
        <v>4023.86</v>
      </c>
      <c r="Z493" s="113">
        <f ca="1">ROUND(IF(ISNUMBER(R493),R493,IF(LEFT(R493,3)="BDI",HLOOKUP(R493,DADOS!$T$37:$X$38,2,FALSE),0)),15-11*$X$5)</f>
        <v>0.25</v>
      </c>
      <c r="AA493" s="1"/>
    </row>
    <row r="494" spans="1:27" x14ac:dyDescent="0.25">
      <c r="A494" t="str">
        <f t="shared" si="38"/>
        <v>S</v>
      </c>
      <c r="B494">
        <f t="shared" si="39"/>
        <v>0</v>
      </c>
      <c r="C494">
        <f t="shared" ca="1" si="40"/>
        <v>20</v>
      </c>
      <c r="D494">
        <f t="shared" ca="1" si="41"/>
        <v>1</v>
      </c>
      <c r="E494">
        <f t="shared" ca="1" si="42"/>
        <v>0</v>
      </c>
      <c r="F494">
        <f t="shared" ca="1" si="43"/>
        <v>0</v>
      </c>
      <c r="G494">
        <f t="shared" ca="1" si="44"/>
        <v>3</v>
      </c>
      <c r="H494">
        <f t="shared" ca="1" si="55"/>
        <v>0</v>
      </c>
      <c r="I494">
        <f t="shared" ca="1" si="56"/>
        <v>0</v>
      </c>
      <c r="J494" s="356" t="s">
        <v>103</v>
      </c>
      <c r="K494" s="138" t="str">
        <f t="shared" ca="1" si="45"/>
        <v>20.1.0.3.</v>
      </c>
      <c r="L494" s="357" t="s">
        <v>469</v>
      </c>
      <c r="M494" s="357" t="s">
        <v>564</v>
      </c>
      <c r="N494" s="358" t="s">
        <v>570</v>
      </c>
      <c r="O494" s="359" t="s">
        <v>470</v>
      </c>
      <c r="P494" s="360">
        <v>19</v>
      </c>
      <c r="Q494" s="195"/>
      <c r="R494" s="198" t="s">
        <v>7</v>
      </c>
      <c r="S494" s="103">
        <f t="shared" si="46"/>
        <v>0</v>
      </c>
      <c r="T494" s="83">
        <f t="shared" si="47"/>
        <v>0</v>
      </c>
      <c r="U494" s="9" t="str">
        <f t="shared" si="48"/>
        <v>SEM VALOR</v>
      </c>
      <c r="V494" s="1" t="str">
        <f ca="1">IF(OR($A494=0,$A494="S",$A494&gt;CFF!$A$9),"",MAX(V$12:OFFSET(V494,-1,0))+1)</f>
        <v/>
      </c>
      <c r="W494" s="4" t="str">
        <f t="shared" si="49"/>
        <v>FNDE-FNDE 385</v>
      </c>
      <c r="X494" s="1" t="e">
        <f t="shared" ca="1" si="50"/>
        <v>#N/A</v>
      </c>
      <c r="Y494" s="103">
        <v>80.08</v>
      </c>
      <c r="Z494" s="113">
        <f ca="1">ROUND(IF(ISNUMBER(R494),R494,IF(LEFT(R494,3)="BDI",HLOOKUP(R494,DADOS!$T$37:$X$38,2,FALSE),0)),15-11*$X$5)</f>
        <v>0.25</v>
      </c>
      <c r="AA494" s="1"/>
    </row>
    <row r="495" spans="1:27" x14ac:dyDescent="0.25">
      <c r="A495" t="str">
        <f t="shared" si="38"/>
        <v>S</v>
      </c>
      <c r="B495">
        <f t="shared" si="39"/>
        <v>0</v>
      </c>
      <c r="C495">
        <f t="shared" ca="1" si="40"/>
        <v>20</v>
      </c>
      <c r="D495">
        <f t="shared" ca="1" si="41"/>
        <v>1</v>
      </c>
      <c r="E495">
        <f t="shared" ca="1" si="42"/>
        <v>0</v>
      </c>
      <c r="F495">
        <f t="shared" ca="1" si="43"/>
        <v>0</v>
      </c>
      <c r="G495">
        <f t="shared" ca="1" si="44"/>
        <v>4</v>
      </c>
      <c r="H495">
        <f t="shared" ca="1" si="55"/>
        <v>0</v>
      </c>
      <c r="I495">
        <f t="shared" ca="1" si="56"/>
        <v>0</v>
      </c>
      <c r="J495" s="356" t="s">
        <v>103</v>
      </c>
      <c r="K495" s="138" t="str">
        <f t="shared" ca="1" si="45"/>
        <v>20.1.0.4.</v>
      </c>
      <c r="L495" s="357" t="s">
        <v>469</v>
      </c>
      <c r="M495" s="357" t="s">
        <v>565</v>
      </c>
      <c r="N495" s="358" t="s">
        <v>571</v>
      </c>
      <c r="O495" s="359" t="s">
        <v>574</v>
      </c>
      <c r="P495" s="360">
        <v>3</v>
      </c>
      <c r="Q495" s="195"/>
      <c r="R495" s="198" t="s">
        <v>7</v>
      </c>
      <c r="S495" s="103">
        <f t="shared" si="46"/>
        <v>0</v>
      </c>
      <c r="T495" s="83">
        <f t="shared" si="47"/>
        <v>0</v>
      </c>
      <c r="U495" s="9" t="str">
        <f t="shared" si="48"/>
        <v>SEM VALOR</v>
      </c>
      <c r="V495" s="1" t="str">
        <f ca="1">IF(OR($A495=0,$A495="S",$A495&gt;CFF!$A$9),"",MAX(V$12:OFFSET(V495,-1,0))+1)</f>
        <v/>
      </c>
      <c r="W495" s="4" t="str">
        <f t="shared" si="49"/>
        <v>FNDE-FNDE 123</v>
      </c>
      <c r="X495" s="1" t="e">
        <f t="shared" ca="1" si="50"/>
        <v>#N/A</v>
      </c>
      <c r="Y495" s="103">
        <v>35.130000000000003</v>
      </c>
      <c r="Z495" s="113">
        <f ca="1">ROUND(IF(ISNUMBER(R495),R495,IF(LEFT(R495,3)="BDI",HLOOKUP(R495,DADOS!$T$37:$X$38,2,FALSE),0)),15-11*$X$5)</f>
        <v>0.25</v>
      </c>
      <c r="AA495" s="1"/>
    </row>
    <row r="496" spans="1:27" x14ac:dyDescent="0.25">
      <c r="A496" t="str">
        <f t="shared" si="38"/>
        <v>S</v>
      </c>
      <c r="B496">
        <f t="shared" si="39"/>
        <v>0</v>
      </c>
      <c r="C496">
        <f t="shared" ca="1" si="40"/>
        <v>20</v>
      </c>
      <c r="D496">
        <f t="shared" ca="1" si="41"/>
        <v>1</v>
      </c>
      <c r="E496">
        <f t="shared" ca="1" si="42"/>
        <v>0</v>
      </c>
      <c r="F496">
        <f t="shared" ca="1" si="43"/>
        <v>0</v>
      </c>
      <c r="G496">
        <f t="shared" ca="1" si="44"/>
        <v>5</v>
      </c>
      <c r="H496">
        <f t="shared" ca="1" si="55"/>
        <v>0</v>
      </c>
      <c r="I496">
        <f t="shared" ca="1" si="56"/>
        <v>0</v>
      </c>
      <c r="J496" s="356" t="s">
        <v>103</v>
      </c>
      <c r="K496" s="138" t="str">
        <f t="shared" ca="1" si="45"/>
        <v>20.1.0.5.</v>
      </c>
      <c r="L496" s="357" t="s">
        <v>469</v>
      </c>
      <c r="M496" s="357" t="s">
        <v>566</v>
      </c>
      <c r="N496" s="358" t="s">
        <v>572</v>
      </c>
      <c r="O496" s="359" t="s">
        <v>470</v>
      </c>
      <c r="P496" s="360">
        <v>2</v>
      </c>
      <c r="Q496" s="195"/>
      <c r="R496" s="198" t="s">
        <v>7</v>
      </c>
      <c r="S496" s="103">
        <f t="shared" si="46"/>
        <v>0</v>
      </c>
      <c r="T496" s="83">
        <f t="shared" si="47"/>
        <v>0</v>
      </c>
      <c r="U496" s="9" t="str">
        <f t="shared" si="48"/>
        <v>SEM VALOR</v>
      </c>
      <c r="V496" s="1" t="str">
        <f ca="1">IF(OR($A496=0,$A496="S",$A496&gt;CFF!$A$9),"",MAX(V$12:OFFSET(V496,-1,0))+1)</f>
        <v/>
      </c>
      <c r="W496" s="4" t="str">
        <f t="shared" si="49"/>
        <v>FNDE-FNDE 122</v>
      </c>
      <c r="X496" s="1" t="e">
        <f t="shared" ca="1" si="50"/>
        <v>#N/A</v>
      </c>
      <c r="Y496" s="103">
        <v>241.59</v>
      </c>
      <c r="Z496" s="113">
        <f ca="1">ROUND(IF(ISNUMBER(R496),R496,IF(LEFT(R496,3)="BDI",HLOOKUP(R496,DADOS!$T$37:$X$38,2,FALSE),0)),15-11*$X$5)</f>
        <v>0.25</v>
      </c>
      <c r="AA496" s="1"/>
    </row>
    <row r="497" spans="1:27" x14ac:dyDescent="0.25">
      <c r="A497" t="str">
        <f t="shared" si="38"/>
        <v>S</v>
      </c>
      <c r="B497">
        <f t="shared" si="39"/>
        <v>0</v>
      </c>
      <c r="C497">
        <f t="shared" ca="1" si="40"/>
        <v>20</v>
      </c>
      <c r="D497">
        <f t="shared" ca="1" si="41"/>
        <v>1</v>
      </c>
      <c r="E497">
        <f t="shared" ca="1" si="42"/>
        <v>0</v>
      </c>
      <c r="F497">
        <f t="shared" ca="1" si="43"/>
        <v>0</v>
      </c>
      <c r="G497">
        <f t="shared" ca="1" si="44"/>
        <v>6</v>
      </c>
      <c r="H497">
        <f t="shared" ca="1" si="55"/>
        <v>0</v>
      </c>
      <c r="I497">
        <f t="shared" ca="1" si="56"/>
        <v>0</v>
      </c>
      <c r="J497" s="356" t="s">
        <v>103</v>
      </c>
      <c r="K497" s="138" t="str">
        <f t="shared" ca="1" si="45"/>
        <v>20.1.0.6.</v>
      </c>
      <c r="L497" s="357" t="s">
        <v>233</v>
      </c>
      <c r="M497" s="357" t="s">
        <v>567</v>
      </c>
      <c r="N497" s="358" t="s">
        <v>1169</v>
      </c>
      <c r="O497" s="359" t="s">
        <v>470</v>
      </c>
      <c r="P497" s="360">
        <v>3</v>
      </c>
      <c r="Q497" s="195"/>
      <c r="R497" s="198" t="s">
        <v>7</v>
      </c>
      <c r="S497" s="103">
        <f t="shared" si="46"/>
        <v>0</v>
      </c>
      <c r="T497" s="83">
        <f t="shared" si="47"/>
        <v>0</v>
      </c>
      <c r="U497" s="9" t="str">
        <f t="shared" si="48"/>
        <v>SEM VALOR</v>
      </c>
      <c r="V497" s="1" t="str">
        <f ca="1">IF(OR($A497=0,$A497="S",$A497&gt;CFF!$A$9),"",MAX(V$12:OFFSET(V497,-1,0))+1)</f>
        <v/>
      </c>
      <c r="W497" s="4" t="str">
        <f t="shared" si="49"/>
        <v>SINAPI-100555</v>
      </c>
      <c r="X497" s="1">
        <f t="shared" ca="1" si="50"/>
        <v>3576</v>
      </c>
      <c r="Y497" s="103">
        <v>1652.65</v>
      </c>
      <c r="Z497" s="113">
        <f ca="1">ROUND(IF(ISNUMBER(R497),R497,IF(LEFT(R497,3)="BDI",HLOOKUP(R497,DADOS!$T$37:$X$38,2,FALSE),0)),15-11*$X$5)</f>
        <v>0.25</v>
      </c>
      <c r="AA497" s="1"/>
    </row>
    <row r="498" spans="1:27" x14ac:dyDescent="0.25">
      <c r="A498" t="str">
        <f t="shared" si="38"/>
        <v>S</v>
      </c>
      <c r="B498">
        <f t="shared" si="39"/>
        <v>0</v>
      </c>
      <c r="C498">
        <f t="shared" ca="1" si="40"/>
        <v>20</v>
      </c>
      <c r="D498">
        <f t="shared" ca="1" si="41"/>
        <v>1</v>
      </c>
      <c r="E498">
        <f t="shared" ca="1" si="42"/>
        <v>0</v>
      </c>
      <c r="F498">
        <f t="shared" ca="1" si="43"/>
        <v>0</v>
      </c>
      <c r="G498">
        <f t="shared" ca="1" si="44"/>
        <v>7</v>
      </c>
      <c r="H498">
        <f t="shared" ca="1" si="55"/>
        <v>0</v>
      </c>
      <c r="I498">
        <f t="shared" ca="1" si="56"/>
        <v>0</v>
      </c>
      <c r="J498" s="356" t="s">
        <v>103</v>
      </c>
      <c r="K498" s="138" t="str">
        <f t="shared" ca="1" si="45"/>
        <v>20.1.0.7.</v>
      </c>
      <c r="L498" s="357"/>
      <c r="M498" s="357" t="s">
        <v>568</v>
      </c>
      <c r="N498" s="358" t="s">
        <v>573</v>
      </c>
      <c r="O498" s="359" t="s">
        <v>470</v>
      </c>
      <c r="P498" s="360">
        <v>4</v>
      </c>
      <c r="Q498" s="195"/>
      <c r="R498" s="198" t="s">
        <v>7</v>
      </c>
      <c r="S498" s="103">
        <f t="shared" si="46"/>
        <v>0</v>
      </c>
      <c r="T498" s="83">
        <f t="shared" si="47"/>
        <v>0</v>
      </c>
      <c r="U498" s="9" t="str">
        <f t="shared" si="48"/>
        <v>SEM VALOR</v>
      </c>
      <c r="V498" s="1" t="str">
        <f ca="1">IF(OR($A498=0,$A498="S",$A498&gt;CFF!$A$9),"",MAX(V$12:OFFSET(V498,-1,0))+1)</f>
        <v/>
      </c>
      <c r="W498" s="4" t="str">
        <f t="shared" si="49"/>
        <v>FNDE 125</v>
      </c>
      <c r="X498" s="1" t="str">
        <f t="shared" ca="1" si="50"/>
        <v>X</v>
      </c>
      <c r="Y498" s="103">
        <v>43.28</v>
      </c>
      <c r="Z498" s="113">
        <f ca="1">ROUND(IF(ISNUMBER(R498),R498,IF(LEFT(R498,3)="BDI",HLOOKUP(R498,DADOS!$T$37:$X$38,2,FALSE),0)),15-11*$X$5)</f>
        <v>0.25</v>
      </c>
      <c r="AA498" s="1"/>
    </row>
    <row r="499" spans="1:27" x14ac:dyDescent="0.25">
      <c r="A499">
        <f t="shared" si="38"/>
        <v>2</v>
      </c>
      <c r="B499">
        <f t="shared" ca="1" si="39"/>
        <v>3</v>
      </c>
      <c r="C499">
        <f t="shared" ca="1" si="40"/>
        <v>20</v>
      </c>
      <c r="D499">
        <f t="shared" ca="1" si="41"/>
        <v>2</v>
      </c>
      <c r="E499">
        <f t="shared" ca="1" si="42"/>
        <v>0</v>
      </c>
      <c r="F499">
        <f t="shared" ca="1" si="43"/>
        <v>0</v>
      </c>
      <c r="G499">
        <f t="shared" ca="1" si="44"/>
        <v>0</v>
      </c>
      <c r="H499">
        <f t="shared" ca="1" si="55"/>
        <v>17</v>
      </c>
      <c r="I499">
        <f t="shared" ca="1" si="56"/>
        <v>3</v>
      </c>
      <c r="J499" s="356" t="s">
        <v>100</v>
      </c>
      <c r="K499" s="138" t="str">
        <f t="shared" ca="1" si="45"/>
        <v>20.2.</v>
      </c>
      <c r="L499" s="357"/>
      <c r="M499" s="357"/>
      <c r="N499" s="358" t="s">
        <v>575</v>
      </c>
      <c r="O499" s="359" t="s">
        <v>106</v>
      </c>
      <c r="P499" s="360"/>
      <c r="Q499" s="195"/>
      <c r="R499" s="198" t="s">
        <v>7</v>
      </c>
      <c r="S499" s="103">
        <f t="shared" si="46"/>
        <v>0</v>
      </c>
      <c r="T499" s="83">
        <f t="shared" ca="1" si="47"/>
        <v>0</v>
      </c>
      <c r="U499" s="9" t="str">
        <f t="shared" ca="1" si="48"/>
        <v>SEM VALOR</v>
      </c>
      <c r="V499" s="1">
        <f ca="1">IF(OR($A499=0,$A499="S",$A499&gt;CFF!$A$9),"",MAX(V$12:OFFSET(V499,-1,0))+1)</f>
        <v>75</v>
      </c>
      <c r="W499" s="4" t="b">
        <f t="shared" si="49"/>
        <v>0</v>
      </c>
      <c r="X499" s="1" t="str">
        <f t="shared" ca="1" si="50"/>
        <v>X</v>
      </c>
      <c r="Y499" s="103">
        <v>0</v>
      </c>
      <c r="Z499" s="113">
        <f ca="1">ROUND(IF(ISNUMBER(R499),R499,IF(LEFT(R499,3)="BDI",HLOOKUP(R499,DADOS!$T$37:$X$38,2,FALSE),0)),15-11*$X$5)</f>
        <v>0.25</v>
      </c>
      <c r="AA499" s="1"/>
    </row>
    <row r="500" spans="1:27" ht="26.4" x14ac:dyDescent="0.25">
      <c r="A500" t="str">
        <f t="shared" si="38"/>
        <v>S</v>
      </c>
      <c r="B500">
        <f t="shared" si="39"/>
        <v>0</v>
      </c>
      <c r="C500">
        <f t="shared" ca="1" si="40"/>
        <v>20</v>
      </c>
      <c r="D500">
        <f t="shared" ca="1" si="41"/>
        <v>2</v>
      </c>
      <c r="E500">
        <f t="shared" ca="1" si="42"/>
        <v>0</v>
      </c>
      <c r="F500">
        <f t="shared" ca="1" si="43"/>
        <v>0</v>
      </c>
      <c r="G500">
        <f t="shared" ca="1" si="44"/>
        <v>1</v>
      </c>
      <c r="H500">
        <f t="shared" ca="1" si="55"/>
        <v>0</v>
      </c>
      <c r="I500">
        <f t="shared" ca="1" si="56"/>
        <v>0</v>
      </c>
      <c r="J500" s="356" t="s">
        <v>103</v>
      </c>
      <c r="K500" s="138" t="str">
        <f t="shared" ca="1" si="45"/>
        <v>20.2.0.1.</v>
      </c>
      <c r="L500" s="357" t="s">
        <v>233</v>
      </c>
      <c r="M500" s="357" t="s">
        <v>524</v>
      </c>
      <c r="N500" s="358" t="s">
        <v>1140</v>
      </c>
      <c r="O500" s="359" t="s">
        <v>470</v>
      </c>
      <c r="P500" s="360">
        <v>4</v>
      </c>
      <c r="Q500" s="195"/>
      <c r="R500" s="198" t="s">
        <v>7</v>
      </c>
      <c r="S500" s="103">
        <f t="shared" si="46"/>
        <v>0</v>
      </c>
      <c r="T500" s="83">
        <f t="shared" si="47"/>
        <v>0</v>
      </c>
      <c r="U500" s="9" t="str">
        <f t="shared" si="48"/>
        <v>SEM VALOR</v>
      </c>
      <c r="V500" s="1" t="str">
        <f ca="1">IF(OR($A500=0,$A500="S",$A500&gt;CFF!$A$9),"",MAX(V$12:OFFSET(V500,-1,0))+1)</f>
        <v/>
      </c>
      <c r="W500" s="4" t="str">
        <f t="shared" si="49"/>
        <v>SINAPI-97886</v>
      </c>
      <c r="X500" s="1">
        <f t="shared" ca="1" si="50"/>
        <v>3094</v>
      </c>
      <c r="Y500" s="103">
        <v>215.43</v>
      </c>
      <c r="Z500" s="113">
        <f ca="1">ROUND(IF(ISNUMBER(R500),R500,IF(LEFT(R500,3)="BDI",HLOOKUP(R500,DADOS!$T$37:$X$38,2,FALSE),0)),15-11*$X$5)</f>
        <v>0.25</v>
      </c>
      <c r="AA500" s="1"/>
    </row>
    <row r="501" spans="1:27" ht="26.4" x14ac:dyDescent="0.25">
      <c r="A501" t="str">
        <f t="shared" si="38"/>
        <v>S</v>
      </c>
      <c r="B501">
        <f t="shared" si="39"/>
        <v>0</v>
      </c>
      <c r="C501">
        <f t="shared" ca="1" si="40"/>
        <v>20</v>
      </c>
      <c r="D501">
        <f t="shared" ca="1" si="41"/>
        <v>2</v>
      </c>
      <c r="E501">
        <f t="shared" ca="1" si="42"/>
        <v>0</v>
      </c>
      <c r="F501">
        <f t="shared" ca="1" si="43"/>
        <v>0</v>
      </c>
      <c r="G501">
        <f t="shared" ca="1" si="44"/>
        <v>2</v>
      </c>
      <c r="H501">
        <f t="shared" ca="1" si="55"/>
        <v>0</v>
      </c>
      <c r="I501">
        <f t="shared" ca="1" si="56"/>
        <v>0</v>
      </c>
      <c r="J501" s="356" t="s">
        <v>103</v>
      </c>
      <c r="K501" s="138" t="str">
        <f t="shared" ca="1" si="45"/>
        <v>20.2.0.2.</v>
      </c>
      <c r="L501" s="357" t="s">
        <v>233</v>
      </c>
      <c r="M501" s="357" t="s">
        <v>526</v>
      </c>
      <c r="N501" s="358" t="s">
        <v>1142</v>
      </c>
      <c r="O501" s="359" t="s">
        <v>470</v>
      </c>
      <c r="P501" s="360">
        <v>27</v>
      </c>
      <c r="Q501" s="195"/>
      <c r="R501" s="198" t="s">
        <v>7</v>
      </c>
      <c r="S501" s="103">
        <f t="shared" si="46"/>
        <v>0</v>
      </c>
      <c r="T501" s="83">
        <f t="shared" si="47"/>
        <v>0</v>
      </c>
      <c r="U501" s="9" t="str">
        <f t="shared" si="48"/>
        <v>SEM VALOR</v>
      </c>
      <c r="V501" s="1" t="str">
        <f ca="1">IF(OR($A501=0,$A501="S",$A501&gt;CFF!$A$9),"",MAX(V$12:OFFSET(V501,-1,0))+1)</f>
        <v/>
      </c>
      <c r="W501" s="4" t="str">
        <f t="shared" si="49"/>
        <v>SINAPI-91940</v>
      </c>
      <c r="X501" s="1">
        <f t="shared" ca="1" si="50"/>
        <v>3045</v>
      </c>
      <c r="Y501" s="103">
        <v>23.96</v>
      </c>
      <c r="Z501" s="113">
        <f ca="1">ROUND(IF(ISNUMBER(R501),R501,IF(LEFT(R501,3)="BDI",HLOOKUP(R501,DADOS!$T$37:$X$38,2,FALSE),0)),15-11*$X$5)</f>
        <v>0.25</v>
      </c>
      <c r="AA501" s="1"/>
    </row>
    <row r="502" spans="1:27" x14ac:dyDescent="0.25">
      <c r="A502">
        <f t="shared" si="38"/>
        <v>2</v>
      </c>
      <c r="B502">
        <f t="shared" ca="1" si="39"/>
        <v>4</v>
      </c>
      <c r="C502">
        <f t="shared" ca="1" si="40"/>
        <v>20</v>
      </c>
      <c r="D502">
        <f t="shared" ca="1" si="41"/>
        <v>3</v>
      </c>
      <c r="E502">
        <f t="shared" ca="1" si="42"/>
        <v>0</v>
      </c>
      <c r="F502">
        <f t="shared" ca="1" si="43"/>
        <v>0</v>
      </c>
      <c r="G502">
        <f t="shared" ca="1" si="44"/>
        <v>0</v>
      </c>
      <c r="H502">
        <f t="shared" ca="1" si="55"/>
        <v>14</v>
      </c>
      <c r="I502">
        <f t="shared" ca="1" si="56"/>
        <v>4</v>
      </c>
      <c r="J502" s="356" t="s">
        <v>100</v>
      </c>
      <c r="K502" s="138" t="str">
        <f t="shared" ca="1" si="45"/>
        <v>20.3.</v>
      </c>
      <c r="L502" s="357"/>
      <c r="M502" s="357"/>
      <c r="N502" s="358" t="s">
        <v>577</v>
      </c>
      <c r="O502" s="359" t="s">
        <v>106</v>
      </c>
      <c r="P502" s="360"/>
      <c r="Q502" s="195"/>
      <c r="R502" s="198" t="s">
        <v>7</v>
      </c>
      <c r="S502" s="103">
        <f t="shared" si="46"/>
        <v>0</v>
      </c>
      <c r="T502" s="83">
        <f t="shared" ca="1" si="47"/>
        <v>0</v>
      </c>
      <c r="U502" s="9" t="str">
        <f t="shared" ca="1" si="48"/>
        <v>SEM VALOR</v>
      </c>
      <c r="V502" s="1">
        <f ca="1">IF(OR($A502=0,$A502="S",$A502&gt;CFF!$A$9),"",MAX(V$12:OFFSET(V502,-1,0))+1)</f>
        <v>76</v>
      </c>
      <c r="W502" s="4" t="b">
        <f t="shared" si="49"/>
        <v>0</v>
      </c>
      <c r="X502" s="1" t="str">
        <f t="shared" ca="1" si="50"/>
        <v>X</v>
      </c>
      <c r="Y502" s="103">
        <v>0</v>
      </c>
      <c r="Z502" s="113">
        <f ca="1">ROUND(IF(ISNUMBER(R502),R502,IF(LEFT(R502,3)="BDI",HLOOKUP(R502,DADOS!$T$37:$X$38,2,FALSE),0)),15-11*$X$5)</f>
        <v>0.25</v>
      </c>
      <c r="AA502" s="1"/>
    </row>
    <row r="503" spans="1:27" x14ac:dyDescent="0.25">
      <c r="A503" t="str">
        <f t="shared" si="38"/>
        <v>S</v>
      </c>
      <c r="B503">
        <f t="shared" si="39"/>
        <v>0</v>
      </c>
      <c r="C503">
        <f t="shared" ca="1" si="40"/>
        <v>20</v>
      </c>
      <c r="D503">
        <f t="shared" ca="1" si="41"/>
        <v>3</v>
      </c>
      <c r="E503">
        <f t="shared" ca="1" si="42"/>
        <v>0</v>
      </c>
      <c r="F503">
        <f t="shared" ca="1" si="43"/>
        <v>0</v>
      </c>
      <c r="G503">
        <f t="shared" ca="1" si="44"/>
        <v>1</v>
      </c>
      <c r="H503">
        <f t="shared" ca="1" si="55"/>
        <v>0</v>
      </c>
      <c r="I503">
        <f t="shared" ca="1" si="56"/>
        <v>0</v>
      </c>
      <c r="J503" s="356" t="s">
        <v>103</v>
      </c>
      <c r="K503" s="138" t="str">
        <f t="shared" ca="1" si="45"/>
        <v>20.3.0.1.</v>
      </c>
      <c r="L503" s="357" t="s">
        <v>233</v>
      </c>
      <c r="M503" s="357" t="s">
        <v>578</v>
      </c>
      <c r="N503" s="358" t="s">
        <v>1170</v>
      </c>
      <c r="O503" s="359" t="s">
        <v>470</v>
      </c>
      <c r="P503" s="360">
        <v>19</v>
      </c>
      <c r="Q503" s="195"/>
      <c r="R503" s="198" t="s">
        <v>7</v>
      </c>
      <c r="S503" s="103">
        <f t="shared" si="46"/>
        <v>0</v>
      </c>
      <c r="T503" s="83">
        <f t="shared" si="47"/>
        <v>0</v>
      </c>
      <c r="U503" s="9" t="str">
        <f t="shared" si="48"/>
        <v>SEM VALOR</v>
      </c>
      <c r="V503" s="1" t="str">
        <f ca="1">IF(OR($A503=0,$A503="S",$A503&gt;CFF!$A$9),"",MAX(V$12:OFFSET(V503,-1,0))+1)</f>
        <v/>
      </c>
      <c r="W503" s="4" t="str">
        <f t="shared" si="49"/>
        <v>SINAPI-98307</v>
      </c>
      <c r="X503" s="1">
        <f t="shared" ca="1" si="50"/>
        <v>3571</v>
      </c>
      <c r="Y503" s="103">
        <v>67.64</v>
      </c>
      <c r="Z503" s="113">
        <f ca="1">ROUND(IF(ISNUMBER(R503),R503,IF(LEFT(R503,3)="BDI",HLOOKUP(R503,DADOS!$T$37:$X$38,2,FALSE),0)),15-11*$X$5)</f>
        <v>0.25</v>
      </c>
      <c r="AA503" s="1"/>
    </row>
    <row r="504" spans="1:27" x14ac:dyDescent="0.25">
      <c r="A504" t="str">
        <f t="shared" si="38"/>
        <v>S</v>
      </c>
      <c r="B504">
        <f t="shared" si="39"/>
        <v>0</v>
      </c>
      <c r="C504">
        <f t="shared" ca="1" si="40"/>
        <v>20</v>
      </c>
      <c r="D504">
        <f t="shared" ca="1" si="41"/>
        <v>3</v>
      </c>
      <c r="E504">
        <f t="shared" ca="1" si="42"/>
        <v>0</v>
      </c>
      <c r="F504">
        <f t="shared" ca="1" si="43"/>
        <v>0</v>
      </c>
      <c r="G504">
        <f t="shared" ca="1" si="44"/>
        <v>2</v>
      </c>
      <c r="H504">
        <f t="shared" ca="1" si="55"/>
        <v>0</v>
      </c>
      <c r="I504">
        <f t="shared" ca="1" si="56"/>
        <v>0</v>
      </c>
      <c r="J504" s="356" t="s">
        <v>103</v>
      </c>
      <c r="K504" s="138" t="str">
        <f t="shared" ca="1" si="45"/>
        <v>20.3.0.2.</v>
      </c>
      <c r="L504" s="357" t="s">
        <v>469</v>
      </c>
      <c r="M504" s="357" t="s">
        <v>853</v>
      </c>
      <c r="N504" s="358" t="s">
        <v>854</v>
      </c>
      <c r="O504" s="359" t="s">
        <v>470</v>
      </c>
      <c r="P504" s="360">
        <v>8</v>
      </c>
      <c r="Q504" s="195"/>
      <c r="R504" s="198" t="s">
        <v>7</v>
      </c>
      <c r="S504" s="103">
        <f t="shared" si="46"/>
        <v>0</v>
      </c>
      <c r="T504" s="83">
        <f t="shared" si="47"/>
        <v>0</v>
      </c>
      <c r="U504" s="9" t="str">
        <f t="shared" si="48"/>
        <v>SEM VALOR</v>
      </c>
      <c r="V504" s="1" t="str">
        <f ca="1">IF(OR($A504=0,$A504="S",$A504&gt;CFF!$A$9),"",MAX(V$12:OFFSET(V504,-1,0))+1)</f>
        <v/>
      </c>
      <c r="W504" s="4" t="str">
        <f t="shared" si="49"/>
        <v>FNDE-FNDE 375</v>
      </c>
      <c r="X504" s="1" t="e">
        <f t="shared" ca="1" si="50"/>
        <v>#N/A</v>
      </c>
      <c r="Y504" s="103">
        <v>39.090000000000003</v>
      </c>
      <c r="Z504" s="113">
        <f ca="1">ROUND(IF(ISNUMBER(R504),R504,IF(LEFT(R504,3)="BDI",HLOOKUP(R504,DADOS!$T$37:$X$38,2,FALSE),0)),15-11*$X$5)</f>
        <v>0.25</v>
      </c>
      <c r="AA504" s="1"/>
    </row>
    <row r="505" spans="1:27" x14ac:dyDescent="0.25">
      <c r="A505" t="str">
        <f t="shared" si="38"/>
        <v>S</v>
      </c>
      <c r="B505">
        <f t="shared" si="39"/>
        <v>0</v>
      </c>
      <c r="C505">
        <f t="shared" ca="1" si="40"/>
        <v>20</v>
      </c>
      <c r="D505">
        <f t="shared" ca="1" si="41"/>
        <v>3</v>
      </c>
      <c r="E505">
        <f t="shared" ca="1" si="42"/>
        <v>0</v>
      </c>
      <c r="F505">
        <f t="shared" ca="1" si="43"/>
        <v>0</v>
      </c>
      <c r="G505">
        <f t="shared" ca="1" si="44"/>
        <v>3</v>
      </c>
      <c r="H505">
        <f t="shared" ca="1" si="55"/>
        <v>0</v>
      </c>
      <c r="I505">
        <f t="shared" ca="1" si="56"/>
        <v>0</v>
      </c>
      <c r="J505" s="356" t="s">
        <v>103</v>
      </c>
      <c r="K505" s="138" t="str">
        <f t="shared" ca="1" si="45"/>
        <v>20.3.0.3.</v>
      </c>
      <c r="L505" s="357" t="s">
        <v>469</v>
      </c>
      <c r="M505" s="357" t="s">
        <v>613</v>
      </c>
      <c r="N505" s="358" t="s">
        <v>579</v>
      </c>
      <c r="O505" s="359" t="s">
        <v>470</v>
      </c>
      <c r="P505" s="360">
        <v>10</v>
      </c>
      <c r="Q505" s="195"/>
      <c r="R505" s="198" t="s">
        <v>7</v>
      </c>
      <c r="S505" s="103">
        <f t="shared" si="46"/>
        <v>0</v>
      </c>
      <c r="T505" s="83">
        <f t="shared" si="47"/>
        <v>0</v>
      </c>
      <c r="U505" s="9" t="str">
        <f t="shared" si="48"/>
        <v>SEM VALOR</v>
      </c>
      <c r="V505" s="1" t="str">
        <f ca="1">IF(OR($A505=0,$A505="S",$A505&gt;CFF!$A$9),"",MAX(V$12:OFFSET(V505,-1,0))+1)</f>
        <v/>
      </c>
      <c r="W505" s="4" t="str">
        <f t="shared" si="49"/>
        <v>FNDE-FNDE 70</v>
      </c>
      <c r="X505" s="1" t="e">
        <f t="shared" ca="1" si="50"/>
        <v>#N/A</v>
      </c>
      <c r="Y505" s="103">
        <v>24.13</v>
      </c>
      <c r="Z505" s="113">
        <f ca="1">ROUND(IF(ISNUMBER(R505),R505,IF(LEFT(R505,3)="BDI",HLOOKUP(R505,DADOS!$T$37:$X$38,2,FALSE),0)),15-11*$X$5)</f>
        <v>0.25</v>
      </c>
      <c r="AA505" s="1"/>
    </row>
    <row r="506" spans="1:27" x14ac:dyDescent="0.25">
      <c r="A506">
        <f t="shared" si="38"/>
        <v>2</v>
      </c>
      <c r="B506">
        <f t="shared" ca="1" si="39"/>
        <v>7</v>
      </c>
      <c r="C506">
        <f t="shared" ca="1" si="40"/>
        <v>20</v>
      </c>
      <c r="D506">
        <f t="shared" ca="1" si="41"/>
        <v>4</v>
      </c>
      <c r="E506">
        <f t="shared" ca="1" si="42"/>
        <v>0</v>
      </c>
      <c r="F506">
        <f t="shared" ca="1" si="43"/>
        <v>0</v>
      </c>
      <c r="G506">
        <f t="shared" ca="1" si="44"/>
        <v>0</v>
      </c>
      <c r="H506">
        <f t="shared" ca="1" si="55"/>
        <v>10</v>
      </c>
      <c r="I506">
        <f t="shared" ca="1" si="56"/>
        <v>7</v>
      </c>
      <c r="J506" s="356" t="s">
        <v>100</v>
      </c>
      <c r="K506" s="138" t="str">
        <f t="shared" ca="1" si="45"/>
        <v>20.4.</v>
      </c>
      <c r="L506" s="357"/>
      <c r="M506" s="357"/>
      <c r="N506" s="358" t="s">
        <v>580</v>
      </c>
      <c r="O506" s="359" t="s">
        <v>106</v>
      </c>
      <c r="P506" s="360"/>
      <c r="Q506" s="195"/>
      <c r="R506" s="198" t="s">
        <v>7</v>
      </c>
      <c r="S506" s="103">
        <f t="shared" si="46"/>
        <v>0</v>
      </c>
      <c r="T506" s="83">
        <f t="shared" ca="1" si="47"/>
        <v>0</v>
      </c>
      <c r="U506" s="9" t="str">
        <f t="shared" ca="1" si="48"/>
        <v>SEM VALOR</v>
      </c>
      <c r="V506" s="1">
        <f ca="1">IF(OR($A506=0,$A506="S",$A506&gt;CFF!$A$9),"",MAX(V$12:OFFSET(V506,-1,0))+1)</f>
        <v>77</v>
      </c>
      <c r="W506" s="4" t="b">
        <f t="shared" si="49"/>
        <v>0</v>
      </c>
      <c r="X506" s="1" t="str">
        <f t="shared" ca="1" si="50"/>
        <v>X</v>
      </c>
      <c r="Y506" s="103">
        <v>0</v>
      </c>
      <c r="Z506" s="113">
        <f ca="1">ROUND(IF(ISNUMBER(R506),R506,IF(LEFT(R506,3)="BDI",HLOOKUP(R506,DADOS!$T$37:$X$38,2,FALSE),0)),15-11*$X$5)</f>
        <v>0.25</v>
      </c>
      <c r="AA506" s="1"/>
    </row>
    <row r="507" spans="1:27" ht="26.4" x14ac:dyDescent="0.25">
      <c r="A507" t="str">
        <f>CHOOSE(1+LOG(1+2*(J507="Meta")+4*(J507="Nível 2")+8*(J507="Nível 3")+16*(J507="Nível 4")+32*(J507="Serviço"),2),0,1,2,3,4,"S")</f>
        <v>S</v>
      </c>
      <c r="B507">
        <f>IF(OR(A507="S",A507=0),0,IF(ISERROR(I507),H507,SMALL(H507:I507,1)))</f>
        <v>0</v>
      </c>
      <c r="C507">
        <f ca="1">IF($A507=1,OFFSET(C507,-1,0)+1,OFFSET(C507,-1,0))</f>
        <v>20</v>
      </c>
      <c r="D507">
        <f ca="1">IF($A507=1,0,IF($A507=2,OFFSET(D507,-1,0)+1,OFFSET(D507,-1,0)))</f>
        <v>4</v>
      </c>
      <c r="E507">
        <f ca="1">IF(AND($A507&lt;=2,$A507&lt;&gt;0),0,IF($A507=3,OFFSET(E507,-1,0)+1,OFFSET(E507,-1,0)))</f>
        <v>0</v>
      </c>
      <c r="F507">
        <f ca="1">IF(AND($A507&lt;=3,$A507&lt;&gt;0),0,IF($A507=4,OFFSET(F507,-1,0)+1,OFFSET(F507,-1,0)))</f>
        <v>0</v>
      </c>
      <c r="G507">
        <f ca="1">IF(AND($A507&lt;=4,$A507&lt;&gt;0),0,IF($A507="S",OFFSET(G507,-1,0)+1,OFFSET(G507,-1,0)))</f>
        <v>1</v>
      </c>
      <c r="H507">
        <f t="shared" ca="1" si="55"/>
        <v>0</v>
      </c>
      <c r="I507">
        <f t="shared" ca="1" si="56"/>
        <v>0</v>
      </c>
      <c r="J507" s="356" t="s">
        <v>103</v>
      </c>
      <c r="K507" s="138" t="str">
        <f ca="1">IF($A507=0,"-",CONCATENATE(C507&amp;".",IF(AND($A$5&gt;=2,$A507&gt;=2),D507&amp;".",""),IF(AND($A$5&gt;=3,$A507&gt;=3),E507&amp;".",""),IF(AND($A$5&gt;=4,$A507&gt;=4),F507&amp;".",""),IF($A507="S",G507&amp;".","")))</f>
        <v>20.4.0.1.</v>
      </c>
      <c r="L507" s="357" t="s">
        <v>469</v>
      </c>
      <c r="M507" s="357" t="s">
        <v>581</v>
      </c>
      <c r="N507" s="358" t="s">
        <v>587</v>
      </c>
      <c r="O507" s="359" t="s">
        <v>590</v>
      </c>
      <c r="P507" s="360">
        <v>51.65</v>
      </c>
      <c r="Q507" s="195"/>
      <c r="R507" s="198" t="s">
        <v>7</v>
      </c>
      <c r="S507" s="103">
        <f>IF($A507="S",IF($Q$10="Preço Unitário (R$)",PO.CustoUnitario,ROUND(PO.CustoUnitario*(1+$Z507),15-13*$X$6)),0)</f>
        <v>0</v>
      </c>
      <c r="T507" s="83">
        <f>IF($A507="S",VTOTAL1,IF($A507=0,0,ROUND(SomaAgrup,15-13*$X$7)))</f>
        <v>0</v>
      </c>
      <c r="U507" s="9" t="str">
        <f>IF($J507="","",IF($N507="","DESCRIÇÃO",IF(AND($J507="Serviço",$O507=""),"UNIDADE",IF($T507&lt;=0,"SEM VALOR",IF(AND($Y507&lt;&gt;"",$Q507&gt;$Y507),"ACIMA REF.","")))))</f>
        <v>SEM VALOR</v>
      </c>
      <c r="V507" s="1" t="str">
        <f ca="1">IF(OR($A507=0,$A507="S",$A507&gt;CFF!$A$9),"",MAX(V$12:OFFSET(V507,-1,0))+1)</f>
        <v/>
      </c>
      <c r="W507" s="4" t="str">
        <f>IF(AND($J507="Serviço",$M507&lt;&gt;""),IF($L507="",$M507,CONCATENATE($L507,"-",$M507)))</f>
        <v>FNDE-FNDE 312</v>
      </c>
      <c r="X507" s="1" t="e">
        <f ca="1">IF(AND(Fonte&lt;&gt;"",Código&lt;&gt;""),MATCH(Fonte&amp;" "&amp;IF(Fonte="sinapi",SUBSTITUTE(SUBSTITUTE(Código,"/00","/"),"/0","/"),Código),INDIRECT("'[Referência "&amp;_xlnm.Database&amp;".xls]Banco'!$a:$a"),0),"X")</f>
        <v>#N/A</v>
      </c>
      <c r="Y507" s="103">
        <v>195.45</v>
      </c>
      <c r="Z507" s="113">
        <f ca="1">ROUND(IF(ISNUMBER(R507),R507,IF(LEFT(R507,3)="BDI",HLOOKUP(R507,DADOS!$T$37:$X$38,2,FALSE),0)),15-11*$X$5)</f>
        <v>0.25</v>
      </c>
      <c r="AA507" s="1"/>
    </row>
    <row r="508" spans="1:27" ht="26.4" x14ac:dyDescent="0.25">
      <c r="A508" t="str">
        <f t="shared" si="38"/>
        <v>S</v>
      </c>
      <c r="B508">
        <f t="shared" si="39"/>
        <v>0</v>
      </c>
      <c r="C508">
        <f t="shared" ca="1" si="40"/>
        <v>20</v>
      </c>
      <c r="D508">
        <f t="shared" ca="1" si="41"/>
        <v>4</v>
      </c>
      <c r="E508">
        <f t="shared" ca="1" si="42"/>
        <v>0</v>
      </c>
      <c r="F508">
        <f t="shared" ca="1" si="43"/>
        <v>0</v>
      </c>
      <c r="G508">
        <f t="shared" ca="1" si="44"/>
        <v>2</v>
      </c>
      <c r="H508">
        <f t="shared" ca="1" si="55"/>
        <v>0</v>
      </c>
      <c r="I508">
        <f t="shared" ca="1" si="56"/>
        <v>0</v>
      </c>
      <c r="J508" s="356" t="s">
        <v>103</v>
      </c>
      <c r="K508" s="138" t="str">
        <f t="shared" ca="1" si="45"/>
        <v>20.4.0.2.</v>
      </c>
      <c r="L508" s="357" t="s">
        <v>233</v>
      </c>
      <c r="M508" s="357" t="s">
        <v>582</v>
      </c>
      <c r="N508" s="358" t="s">
        <v>1171</v>
      </c>
      <c r="O508" s="359" t="s">
        <v>590</v>
      </c>
      <c r="P508" s="360">
        <v>15.2</v>
      </c>
      <c r="Q508" s="195"/>
      <c r="R508" s="198" t="s">
        <v>7</v>
      </c>
      <c r="S508" s="103">
        <f t="shared" si="46"/>
        <v>0</v>
      </c>
      <c r="T508" s="83">
        <f t="shared" si="47"/>
        <v>0</v>
      </c>
      <c r="U508" s="9" t="str">
        <f t="shared" si="48"/>
        <v>SEM VALOR</v>
      </c>
      <c r="V508" s="1" t="str">
        <f ca="1">IF(OR($A508=0,$A508="S",$A508&gt;CFF!$A$9),"",MAX(V$12:OFFSET(V508,-1,0))+1)</f>
        <v/>
      </c>
      <c r="W508" s="4" t="str">
        <f t="shared" si="49"/>
        <v>SINAPI-91837</v>
      </c>
      <c r="X508" s="1">
        <f t="shared" ca="1" si="50"/>
        <v>2917</v>
      </c>
      <c r="Y508" s="103">
        <v>35.1</v>
      </c>
      <c r="Z508" s="113">
        <f ca="1">ROUND(IF(ISNUMBER(R508),R508,IF(LEFT(R508,3)="BDI",HLOOKUP(R508,DADOS!$T$37:$X$38,2,FALSE),0)),15-11*$X$5)</f>
        <v>0.25</v>
      </c>
      <c r="AA508" s="1"/>
    </row>
    <row r="509" spans="1:27" ht="26.4" x14ac:dyDescent="0.25">
      <c r="A509" t="str">
        <f t="shared" si="38"/>
        <v>S</v>
      </c>
      <c r="B509">
        <f t="shared" si="39"/>
        <v>0</v>
      </c>
      <c r="C509">
        <f t="shared" ca="1" si="40"/>
        <v>20</v>
      </c>
      <c r="D509">
        <f t="shared" ca="1" si="41"/>
        <v>4</v>
      </c>
      <c r="E509">
        <f t="shared" ca="1" si="42"/>
        <v>0</v>
      </c>
      <c r="F509">
        <f t="shared" ca="1" si="43"/>
        <v>0</v>
      </c>
      <c r="G509">
        <f t="shared" ca="1" si="44"/>
        <v>3</v>
      </c>
      <c r="H509">
        <f t="shared" ca="1" si="55"/>
        <v>0</v>
      </c>
      <c r="I509">
        <f t="shared" ca="1" si="56"/>
        <v>0</v>
      </c>
      <c r="J509" s="356" t="s">
        <v>103</v>
      </c>
      <c r="K509" s="138" t="str">
        <f t="shared" ca="1" si="45"/>
        <v>20.4.0.3.</v>
      </c>
      <c r="L509" s="357" t="s">
        <v>233</v>
      </c>
      <c r="M509" s="357" t="s">
        <v>583</v>
      </c>
      <c r="N509" s="358" t="s">
        <v>1172</v>
      </c>
      <c r="O509" s="359" t="s">
        <v>590</v>
      </c>
      <c r="P509" s="360">
        <v>112.05</v>
      </c>
      <c r="Q509" s="195"/>
      <c r="R509" s="198" t="s">
        <v>7</v>
      </c>
      <c r="S509" s="103">
        <f t="shared" si="46"/>
        <v>0</v>
      </c>
      <c r="T509" s="83">
        <f t="shared" si="47"/>
        <v>0</v>
      </c>
      <c r="U509" s="9" t="str">
        <f t="shared" si="48"/>
        <v>SEM VALOR</v>
      </c>
      <c r="V509" s="1" t="str">
        <f ca="1">IF(OR($A509=0,$A509="S",$A509&gt;CFF!$A$9),"",MAX(V$12:OFFSET(V509,-1,0))+1)</f>
        <v/>
      </c>
      <c r="W509" s="4" t="str">
        <f t="shared" si="49"/>
        <v>SINAPI-91835</v>
      </c>
      <c r="X509" s="1">
        <f t="shared" ca="1" si="50"/>
        <v>2915</v>
      </c>
      <c r="Y509" s="103">
        <v>27.81</v>
      </c>
      <c r="Z509" s="113">
        <f ca="1">ROUND(IF(ISNUMBER(R509),R509,IF(LEFT(R509,3)="BDI",HLOOKUP(R509,DADOS!$T$37:$X$38,2,FALSE),0)),15-11*$X$5)</f>
        <v>0.25</v>
      </c>
      <c r="AA509" s="1"/>
    </row>
    <row r="510" spans="1:27" ht="26.4" x14ac:dyDescent="0.25">
      <c r="A510" t="str">
        <f t="shared" si="38"/>
        <v>S</v>
      </c>
      <c r="B510">
        <f t="shared" si="39"/>
        <v>0</v>
      </c>
      <c r="C510">
        <f t="shared" ca="1" si="40"/>
        <v>20</v>
      </c>
      <c r="D510">
        <f t="shared" ca="1" si="41"/>
        <v>4</v>
      </c>
      <c r="E510">
        <f t="shared" ca="1" si="42"/>
        <v>0</v>
      </c>
      <c r="F510">
        <f t="shared" ca="1" si="43"/>
        <v>0</v>
      </c>
      <c r="G510">
        <f t="shared" ca="1" si="44"/>
        <v>4</v>
      </c>
      <c r="H510">
        <f t="shared" ca="1" si="55"/>
        <v>0</v>
      </c>
      <c r="I510">
        <f t="shared" ca="1" si="56"/>
        <v>0</v>
      </c>
      <c r="J510" s="356" t="s">
        <v>103</v>
      </c>
      <c r="K510" s="138" t="str">
        <f t="shared" ca="1" si="45"/>
        <v>20.4.0.4.</v>
      </c>
      <c r="L510" s="357" t="s">
        <v>233</v>
      </c>
      <c r="M510" s="357" t="s">
        <v>584</v>
      </c>
      <c r="N510" s="358" t="s">
        <v>1173</v>
      </c>
      <c r="O510" s="359" t="s">
        <v>590</v>
      </c>
      <c r="P510" s="360">
        <v>4.8</v>
      </c>
      <c r="Q510" s="195"/>
      <c r="R510" s="198" t="s">
        <v>7</v>
      </c>
      <c r="S510" s="103">
        <f t="shared" si="46"/>
        <v>0</v>
      </c>
      <c r="T510" s="83">
        <f t="shared" si="47"/>
        <v>0</v>
      </c>
      <c r="U510" s="9" t="str">
        <f t="shared" si="48"/>
        <v>SEM VALOR</v>
      </c>
      <c r="V510" s="1" t="str">
        <f ca="1">IF(OR($A510=0,$A510="S",$A510&gt;CFF!$A$9),"",MAX(V$12:OFFSET(V510,-1,0))+1)</f>
        <v/>
      </c>
      <c r="W510" s="4" t="str">
        <f t="shared" si="49"/>
        <v>SINAPI-91865</v>
      </c>
      <c r="X510" s="1">
        <f t="shared" ca="1" si="50"/>
        <v>2939</v>
      </c>
      <c r="Y510" s="103">
        <v>27.54</v>
      </c>
      <c r="Z510" s="113">
        <f ca="1">ROUND(IF(ISNUMBER(R510),R510,IF(LEFT(R510,3)="BDI",HLOOKUP(R510,DADOS!$T$37:$X$38,2,FALSE),0)),15-11*$X$5)</f>
        <v>0.25</v>
      </c>
      <c r="AA510" s="1"/>
    </row>
    <row r="511" spans="1:27" x14ac:dyDescent="0.25">
      <c r="A511" t="str">
        <f t="shared" si="38"/>
        <v>S</v>
      </c>
      <c r="B511">
        <f t="shared" si="39"/>
        <v>0</v>
      </c>
      <c r="C511">
        <f t="shared" ca="1" si="40"/>
        <v>20</v>
      </c>
      <c r="D511">
        <f t="shared" ca="1" si="41"/>
        <v>4</v>
      </c>
      <c r="E511">
        <f t="shared" ca="1" si="42"/>
        <v>0</v>
      </c>
      <c r="F511">
        <f t="shared" ca="1" si="43"/>
        <v>0</v>
      </c>
      <c r="G511">
        <f t="shared" ca="1" si="44"/>
        <v>5</v>
      </c>
      <c r="H511">
        <f t="shared" ca="1" si="55"/>
        <v>0</v>
      </c>
      <c r="I511">
        <f t="shared" ca="1" si="56"/>
        <v>0</v>
      </c>
      <c r="J511" s="356" t="s">
        <v>103</v>
      </c>
      <c r="K511" s="138" t="str">
        <f t="shared" ca="1" si="45"/>
        <v>20.4.0.5.</v>
      </c>
      <c r="L511" s="357" t="s">
        <v>469</v>
      </c>
      <c r="M511" s="357" t="s">
        <v>585</v>
      </c>
      <c r="N511" s="358" t="s">
        <v>588</v>
      </c>
      <c r="O511" s="359" t="s">
        <v>782</v>
      </c>
      <c r="P511" s="360">
        <v>4</v>
      </c>
      <c r="Q511" s="195"/>
      <c r="R511" s="198" t="s">
        <v>7</v>
      </c>
      <c r="S511" s="103">
        <f t="shared" si="46"/>
        <v>0</v>
      </c>
      <c r="T511" s="83">
        <f t="shared" si="47"/>
        <v>0</v>
      </c>
      <c r="U511" s="9" t="str">
        <f t="shared" si="48"/>
        <v>SEM VALOR</v>
      </c>
      <c r="V511" s="1" t="str">
        <f ca="1">IF(OR($A511=0,$A511="S",$A511&gt;CFF!$A$9),"",MAX(V$12:OFFSET(V511,-1,0))+1)</f>
        <v/>
      </c>
      <c r="W511" s="4" t="str">
        <f t="shared" si="49"/>
        <v>FNDE-FNDE 346</v>
      </c>
      <c r="X511" s="1" t="e">
        <f t="shared" ca="1" si="50"/>
        <v>#N/A</v>
      </c>
      <c r="Y511" s="103">
        <v>21.43</v>
      </c>
      <c r="Z511" s="113">
        <f ca="1">ROUND(IF(ISNUMBER(R511),R511,IF(LEFT(R511,3)="BDI",HLOOKUP(R511,DADOS!$T$37:$X$38,2,FALSE),0)),15-11*$X$5)</f>
        <v>0.25</v>
      </c>
      <c r="AA511" s="1"/>
    </row>
    <row r="512" spans="1:27" ht="26.4" x14ac:dyDescent="0.25">
      <c r="A512" t="str">
        <f t="shared" si="38"/>
        <v>S</v>
      </c>
      <c r="B512">
        <f t="shared" si="39"/>
        <v>0</v>
      </c>
      <c r="C512">
        <f t="shared" ca="1" si="40"/>
        <v>20</v>
      </c>
      <c r="D512">
        <f t="shared" ca="1" si="41"/>
        <v>4</v>
      </c>
      <c r="E512">
        <f t="shared" ca="1" si="42"/>
        <v>0</v>
      </c>
      <c r="F512">
        <f t="shared" ca="1" si="43"/>
        <v>0</v>
      </c>
      <c r="G512">
        <f t="shared" ca="1" si="44"/>
        <v>6</v>
      </c>
      <c r="H512">
        <f t="shared" ca="1" si="55"/>
        <v>0</v>
      </c>
      <c r="I512">
        <f t="shared" ca="1" si="56"/>
        <v>0</v>
      </c>
      <c r="J512" s="356" t="s">
        <v>103</v>
      </c>
      <c r="K512" s="138" t="str">
        <f t="shared" ca="1" si="45"/>
        <v>20.4.0.6.</v>
      </c>
      <c r="L512" s="357" t="s">
        <v>469</v>
      </c>
      <c r="M512" s="357" t="s">
        <v>586</v>
      </c>
      <c r="N512" s="358" t="s">
        <v>589</v>
      </c>
      <c r="O512" s="359" t="s">
        <v>590</v>
      </c>
      <c r="P512" s="360">
        <v>55.2</v>
      </c>
      <c r="Q512" s="195"/>
      <c r="R512" s="198" t="s">
        <v>7</v>
      </c>
      <c r="S512" s="103">
        <f t="shared" si="46"/>
        <v>0</v>
      </c>
      <c r="T512" s="83">
        <f t="shared" si="47"/>
        <v>0</v>
      </c>
      <c r="U512" s="9" t="str">
        <f t="shared" si="48"/>
        <v>SEM VALOR</v>
      </c>
      <c r="V512" s="1" t="str">
        <f ca="1">IF(OR($A512=0,$A512="S",$A512&gt;CFF!$A$9),"",MAX(V$12:OFFSET(V512,-1,0))+1)</f>
        <v/>
      </c>
      <c r="W512" s="4" t="str">
        <f t="shared" si="49"/>
        <v>FNDE-FNDE 90</v>
      </c>
      <c r="X512" s="1" t="e">
        <f t="shared" ca="1" si="50"/>
        <v>#N/A</v>
      </c>
      <c r="Y512" s="103">
        <v>48.65</v>
      </c>
      <c r="Z512" s="113">
        <f ca="1">ROUND(IF(ISNUMBER(R512),R512,IF(LEFT(R512,3)="BDI",HLOOKUP(R512,DADOS!$T$37:$X$38,2,FALSE),0)),15-11*$X$5)</f>
        <v>0.25</v>
      </c>
      <c r="AA512" s="1"/>
    </row>
    <row r="513" spans="1:27" x14ac:dyDescent="0.25">
      <c r="A513">
        <f t="shared" si="38"/>
        <v>2</v>
      </c>
      <c r="B513">
        <f t="shared" ca="1" si="39"/>
        <v>3</v>
      </c>
      <c r="C513">
        <f t="shared" ca="1" si="40"/>
        <v>20</v>
      </c>
      <c r="D513">
        <f t="shared" ca="1" si="41"/>
        <v>5</v>
      </c>
      <c r="E513">
        <f t="shared" ca="1" si="42"/>
        <v>0</v>
      </c>
      <c r="F513">
        <f t="shared" ca="1" si="43"/>
        <v>0</v>
      </c>
      <c r="G513">
        <f t="shared" ca="1" si="44"/>
        <v>0</v>
      </c>
      <c r="H513">
        <f t="shared" ca="1" si="55"/>
        <v>3</v>
      </c>
      <c r="I513">
        <f t="shared" ca="1" si="56"/>
        <v>64</v>
      </c>
      <c r="J513" s="356" t="s">
        <v>100</v>
      </c>
      <c r="K513" s="138" t="str">
        <f t="shared" ca="1" si="45"/>
        <v>20.5.</v>
      </c>
      <c r="L513" s="357"/>
      <c r="M513" s="357"/>
      <c r="N513" s="358" t="s">
        <v>591</v>
      </c>
      <c r="O513" s="359" t="s">
        <v>106</v>
      </c>
      <c r="P513" s="360"/>
      <c r="Q513" s="195"/>
      <c r="R513" s="198" t="s">
        <v>7</v>
      </c>
      <c r="S513" s="103">
        <f t="shared" si="46"/>
        <v>0</v>
      </c>
      <c r="T513" s="83">
        <f t="shared" ca="1" si="47"/>
        <v>0</v>
      </c>
      <c r="U513" s="9" t="str">
        <f t="shared" ca="1" si="48"/>
        <v>SEM VALOR</v>
      </c>
      <c r="V513" s="1">
        <f ca="1">IF(OR($A513=0,$A513="S",$A513&gt;CFF!$A$9),"",MAX(V$12:OFFSET(V513,-1,0))+1)</f>
        <v>78</v>
      </c>
      <c r="W513" s="4" t="b">
        <f t="shared" si="49"/>
        <v>0</v>
      </c>
      <c r="X513" s="1" t="str">
        <f t="shared" ca="1" si="50"/>
        <v>X</v>
      </c>
      <c r="Y513" s="103">
        <v>0</v>
      </c>
      <c r="Z513" s="113">
        <f ca="1">ROUND(IF(ISNUMBER(R513),R513,IF(LEFT(R513,3)="BDI",HLOOKUP(R513,DADOS!$T$37:$X$38,2,FALSE),0)),15-11*$X$5)</f>
        <v>0.25</v>
      </c>
      <c r="AA513" s="1"/>
    </row>
    <row r="514" spans="1:27" ht="26.4" x14ac:dyDescent="0.25">
      <c r="A514" t="str">
        <f t="shared" si="38"/>
        <v>S</v>
      </c>
      <c r="B514">
        <f t="shared" si="39"/>
        <v>0</v>
      </c>
      <c r="C514">
        <f t="shared" ca="1" si="40"/>
        <v>20</v>
      </c>
      <c r="D514">
        <f t="shared" ca="1" si="41"/>
        <v>5</v>
      </c>
      <c r="E514">
        <f t="shared" ca="1" si="42"/>
        <v>0</v>
      </c>
      <c r="F514">
        <f t="shared" ca="1" si="43"/>
        <v>0</v>
      </c>
      <c r="G514">
        <f t="shared" ca="1" si="44"/>
        <v>1</v>
      </c>
      <c r="H514">
        <f t="shared" ca="1" si="55"/>
        <v>0</v>
      </c>
      <c r="I514">
        <f t="shared" ca="1" si="56"/>
        <v>0</v>
      </c>
      <c r="J514" s="356" t="s">
        <v>103</v>
      </c>
      <c r="K514" s="138" t="str">
        <f t="shared" ca="1" si="45"/>
        <v>20.5.0.1.</v>
      </c>
      <c r="L514" s="357" t="s">
        <v>233</v>
      </c>
      <c r="M514" s="357" t="s">
        <v>592</v>
      </c>
      <c r="N514" s="358" t="s">
        <v>1174</v>
      </c>
      <c r="O514" s="359" t="s">
        <v>590</v>
      </c>
      <c r="P514" s="360">
        <v>579</v>
      </c>
      <c r="Q514" s="195"/>
      <c r="R514" s="198" t="s">
        <v>7</v>
      </c>
      <c r="S514" s="103">
        <f t="shared" si="46"/>
        <v>0</v>
      </c>
      <c r="T514" s="83">
        <f t="shared" si="47"/>
        <v>0</v>
      </c>
      <c r="U514" s="9" t="str">
        <f t="shared" si="48"/>
        <v>SEM VALOR</v>
      </c>
      <c r="V514" s="1" t="str">
        <f ca="1">IF(OR($A514=0,$A514="S",$A514&gt;CFF!$A$9),"",MAX(V$12:OFFSET(V514,-1,0))+1)</f>
        <v/>
      </c>
      <c r="W514" s="4" t="str">
        <f t="shared" si="49"/>
        <v>SINAPI-98297</v>
      </c>
      <c r="X514" s="1">
        <f t="shared" ca="1" si="50"/>
        <v>3562</v>
      </c>
      <c r="Y514" s="103">
        <v>11.33</v>
      </c>
      <c r="Z514" s="113">
        <f ca="1">ROUND(IF(ISNUMBER(R514),R514,IF(LEFT(R514,3)="BDI",HLOOKUP(R514,DADOS!$T$37:$X$38,2,FALSE),0)),15-11*$X$5)</f>
        <v>0.25</v>
      </c>
      <c r="AA514" s="1"/>
    </row>
    <row r="515" spans="1:27" x14ac:dyDescent="0.25">
      <c r="A515" t="str">
        <f t="shared" si="38"/>
        <v>S</v>
      </c>
      <c r="B515">
        <f t="shared" si="39"/>
        <v>0</v>
      </c>
      <c r="C515">
        <f t="shared" ca="1" si="40"/>
        <v>20</v>
      </c>
      <c r="D515">
        <f t="shared" ca="1" si="41"/>
        <v>5</v>
      </c>
      <c r="E515">
        <f t="shared" ca="1" si="42"/>
        <v>0</v>
      </c>
      <c r="F515">
        <f t="shared" ca="1" si="43"/>
        <v>0</v>
      </c>
      <c r="G515">
        <f t="shared" ca="1" si="44"/>
        <v>2</v>
      </c>
      <c r="H515">
        <f t="shared" ca="1" si="55"/>
        <v>0</v>
      </c>
      <c r="I515">
        <f t="shared" ca="1" si="56"/>
        <v>0</v>
      </c>
      <c r="J515" s="356" t="s">
        <v>103</v>
      </c>
      <c r="K515" s="138" t="str">
        <f t="shared" ca="1" si="45"/>
        <v>20.5.0.2.</v>
      </c>
      <c r="L515" s="357" t="s">
        <v>233</v>
      </c>
      <c r="M515" s="357" t="s">
        <v>593</v>
      </c>
      <c r="N515" s="358" t="s">
        <v>1175</v>
      </c>
      <c r="O515" s="359" t="s">
        <v>590</v>
      </c>
      <c r="P515" s="360">
        <v>113</v>
      </c>
      <c r="Q515" s="195"/>
      <c r="R515" s="198" t="s">
        <v>7</v>
      </c>
      <c r="S515" s="103">
        <f t="shared" si="46"/>
        <v>0</v>
      </c>
      <c r="T515" s="83">
        <f t="shared" si="47"/>
        <v>0</v>
      </c>
      <c r="U515" s="9" t="str">
        <f t="shared" si="48"/>
        <v>SEM VALOR</v>
      </c>
      <c r="V515" s="1" t="str">
        <f ca="1">IF(OR($A515=0,$A515="S",$A515&gt;CFF!$A$9),"",MAX(V$12:OFFSET(V515,-1,0))+1)</f>
        <v/>
      </c>
      <c r="W515" s="4" t="str">
        <f t="shared" si="49"/>
        <v>SINAPI-100554</v>
      </c>
      <c r="X515" s="1">
        <f t="shared" ca="1" si="50"/>
        <v>3575</v>
      </c>
      <c r="Y515" s="103">
        <v>7.38</v>
      </c>
      <c r="Z515" s="113">
        <f ca="1">ROUND(IF(ISNUMBER(R515),R515,IF(LEFT(R515,3)="BDI",HLOOKUP(R515,DADOS!$T$37:$X$38,2,FALSE),0)),15-11*$X$5)</f>
        <v>0.25</v>
      </c>
      <c r="AA515" s="1"/>
    </row>
    <row r="516" spans="1:27" x14ac:dyDescent="0.25">
      <c r="A516">
        <f t="shared" si="38"/>
        <v>1</v>
      </c>
      <c r="B516">
        <f t="shared" ca="1" si="39"/>
        <v>3</v>
      </c>
      <c r="C516">
        <f t="shared" ca="1" si="40"/>
        <v>21</v>
      </c>
      <c r="D516">
        <f t="shared" ca="1" si="41"/>
        <v>0</v>
      </c>
      <c r="E516">
        <f t="shared" ca="1" si="42"/>
        <v>0</v>
      </c>
      <c r="F516">
        <f t="shared" ca="1" si="43"/>
        <v>0</v>
      </c>
      <c r="G516">
        <f t="shared" ca="1" si="44"/>
        <v>0</v>
      </c>
      <c r="H516">
        <f t="shared" ca="1" si="55"/>
        <v>87</v>
      </c>
      <c r="I516">
        <f t="shared" ca="1" si="56"/>
        <v>3</v>
      </c>
      <c r="J516" s="356" t="s">
        <v>99</v>
      </c>
      <c r="K516" s="138" t="str">
        <f t="shared" ca="1" si="45"/>
        <v>21.</v>
      </c>
      <c r="L516" s="357"/>
      <c r="M516" s="357"/>
      <c r="N516" s="358" t="s">
        <v>594</v>
      </c>
      <c r="O516" s="359" t="s">
        <v>106</v>
      </c>
      <c r="P516" s="360"/>
      <c r="Q516" s="195"/>
      <c r="R516" s="198" t="s">
        <v>7</v>
      </c>
      <c r="S516" s="103">
        <f t="shared" si="46"/>
        <v>0</v>
      </c>
      <c r="T516" s="83">
        <f t="shared" ca="1" si="47"/>
        <v>0</v>
      </c>
      <c r="U516" s="9" t="str">
        <f t="shared" ca="1" si="48"/>
        <v>SEM VALOR</v>
      </c>
      <c r="V516" s="1">
        <f ca="1">IF(OR($A516=0,$A516="S",$A516&gt;CFF!$A$9),"",MAX(V$12:OFFSET(V516,-1,0))+1)</f>
        <v>79</v>
      </c>
      <c r="W516" s="4" t="b">
        <f t="shared" si="49"/>
        <v>0</v>
      </c>
      <c r="X516" s="1" t="str">
        <f t="shared" ca="1" si="50"/>
        <v>X</v>
      </c>
      <c r="Y516" s="103">
        <v>0</v>
      </c>
      <c r="Z516" s="113">
        <f ca="1">ROUND(IF(ISNUMBER(R516),R516,IF(LEFT(R516,3)="BDI",HLOOKUP(R516,DADOS!$T$37:$X$38,2,FALSE),0)),15-11*$X$5)</f>
        <v>0.25</v>
      </c>
      <c r="AA516" s="1"/>
    </row>
    <row r="517" spans="1:27" x14ac:dyDescent="0.25">
      <c r="A517" t="str">
        <f t="shared" si="38"/>
        <v>S</v>
      </c>
      <c r="B517">
        <f t="shared" si="39"/>
        <v>0</v>
      </c>
      <c r="C517">
        <f t="shared" ca="1" si="40"/>
        <v>21</v>
      </c>
      <c r="D517">
        <f t="shared" ca="1" si="41"/>
        <v>0</v>
      </c>
      <c r="E517">
        <f t="shared" ca="1" si="42"/>
        <v>0</v>
      </c>
      <c r="F517">
        <f t="shared" ca="1" si="43"/>
        <v>0</v>
      </c>
      <c r="G517">
        <f t="shared" ca="1" si="44"/>
        <v>1</v>
      </c>
      <c r="H517">
        <f t="shared" ca="1" si="55"/>
        <v>0</v>
      </c>
      <c r="I517">
        <f t="shared" ca="1" si="56"/>
        <v>0</v>
      </c>
      <c r="J517" s="356" t="s">
        <v>103</v>
      </c>
      <c r="K517" s="138" t="str">
        <f t="shared" ca="1" si="45"/>
        <v>21.0.0.1.</v>
      </c>
      <c r="L517" s="357" t="s">
        <v>469</v>
      </c>
      <c r="M517" s="357" t="s">
        <v>595</v>
      </c>
      <c r="N517" s="358" t="s">
        <v>596</v>
      </c>
      <c r="O517" s="359" t="s">
        <v>590</v>
      </c>
      <c r="P517" s="360">
        <v>4</v>
      </c>
      <c r="Q517" s="195"/>
      <c r="R517" s="198" t="s">
        <v>7</v>
      </c>
      <c r="S517" s="103">
        <f t="shared" si="46"/>
        <v>0</v>
      </c>
      <c r="T517" s="83">
        <f t="shared" si="47"/>
        <v>0</v>
      </c>
      <c r="U517" s="9" t="str">
        <f t="shared" si="48"/>
        <v>SEM VALOR</v>
      </c>
      <c r="V517" s="1" t="str">
        <f ca="1">IF(OR($A517=0,$A517="S",$A517&gt;CFF!$A$9),"",MAX(V$12:OFFSET(V517,-1,0))+1)</f>
        <v/>
      </c>
      <c r="W517" s="4" t="str">
        <f t="shared" si="49"/>
        <v>FNDE-FNDE 44</v>
      </c>
      <c r="X517" s="1" t="e">
        <f t="shared" ca="1" si="50"/>
        <v>#N/A</v>
      </c>
      <c r="Y517" s="103">
        <v>145.36000000000001</v>
      </c>
      <c r="Z517" s="113">
        <f ca="1">ROUND(IF(ISNUMBER(R517),R517,IF(LEFT(R517,3)="BDI",HLOOKUP(R517,DADOS!$T$37:$X$38,2,FALSE),0)),15-11*$X$5)</f>
        <v>0.25</v>
      </c>
      <c r="AA517" s="1"/>
    </row>
    <row r="518" spans="1:27" x14ac:dyDescent="0.25">
      <c r="A518" t="str">
        <f t="shared" si="38"/>
        <v>S</v>
      </c>
      <c r="B518">
        <f t="shared" si="39"/>
        <v>0</v>
      </c>
      <c r="C518">
        <f t="shared" ca="1" si="40"/>
        <v>21</v>
      </c>
      <c r="D518">
        <f t="shared" ca="1" si="41"/>
        <v>0</v>
      </c>
      <c r="E518">
        <f t="shared" ca="1" si="42"/>
        <v>0</v>
      </c>
      <c r="F518">
        <f t="shared" ca="1" si="43"/>
        <v>0</v>
      </c>
      <c r="G518">
        <f t="shared" ca="1" si="44"/>
        <v>2</v>
      </c>
      <c r="H518">
        <f t="shared" ca="1" si="55"/>
        <v>0</v>
      </c>
      <c r="I518">
        <f t="shared" ca="1" si="56"/>
        <v>0</v>
      </c>
      <c r="J518" s="356" t="s">
        <v>103</v>
      </c>
      <c r="K518" s="138" t="str">
        <f t="shared" ca="1" si="45"/>
        <v>21.0.0.2.</v>
      </c>
      <c r="L518" s="357" t="s">
        <v>469</v>
      </c>
      <c r="M518" s="357" t="s">
        <v>597</v>
      </c>
      <c r="N518" s="358" t="s">
        <v>598</v>
      </c>
      <c r="O518" s="359" t="s">
        <v>574</v>
      </c>
      <c r="P518" s="360">
        <v>1</v>
      </c>
      <c r="Q518" s="195"/>
      <c r="R518" s="198" t="s">
        <v>7</v>
      </c>
      <c r="S518" s="103">
        <f t="shared" si="46"/>
        <v>0</v>
      </c>
      <c r="T518" s="83">
        <f t="shared" si="47"/>
        <v>0</v>
      </c>
      <c r="U518" s="9" t="str">
        <f t="shared" si="48"/>
        <v>SEM VALOR</v>
      </c>
      <c r="V518" s="1" t="str">
        <f ca="1">IF(OR($A518=0,$A518="S",$A518&gt;CFF!$A$9),"",MAX(V$12:OFFSET(V518,-1,0))+1)</f>
        <v/>
      </c>
      <c r="W518" s="4" t="str">
        <f t="shared" si="49"/>
        <v>FNDE-FNDE 45</v>
      </c>
      <c r="X518" s="1" t="e">
        <f t="shared" ca="1" si="50"/>
        <v>#N/A</v>
      </c>
      <c r="Y518" s="103">
        <v>11297.19</v>
      </c>
      <c r="Z518" s="113">
        <f ca="1">ROUND(IF(ISNUMBER(R518),R518,IF(LEFT(R518,3)="BDI",HLOOKUP(R518,DADOS!$T$37:$X$38,2,FALSE),0)),15-11*$X$5)</f>
        <v>0.25</v>
      </c>
      <c r="AA518" s="1"/>
    </row>
    <row r="519" spans="1:27" x14ac:dyDescent="0.25">
      <c r="A519">
        <f t="shared" si="38"/>
        <v>1</v>
      </c>
      <c r="B519">
        <f t="shared" ca="1" si="39"/>
        <v>16</v>
      </c>
      <c r="C519">
        <f t="shared" ca="1" si="40"/>
        <v>22</v>
      </c>
      <c r="D519">
        <f t="shared" ca="1" si="41"/>
        <v>0</v>
      </c>
      <c r="E519">
        <f t="shared" ca="1" si="42"/>
        <v>0</v>
      </c>
      <c r="F519">
        <f t="shared" ca="1" si="43"/>
        <v>0</v>
      </c>
      <c r="G519">
        <f t="shared" ca="1" si="44"/>
        <v>0</v>
      </c>
      <c r="H519">
        <f t="shared" ca="1" si="55"/>
        <v>84</v>
      </c>
      <c r="I519">
        <f t="shared" ca="1" si="56"/>
        <v>16</v>
      </c>
      <c r="J519" s="356" t="s">
        <v>99</v>
      </c>
      <c r="K519" s="138" t="str">
        <f t="shared" ca="1" si="45"/>
        <v>22.</v>
      </c>
      <c r="L519" s="357"/>
      <c r="M519" s="357"/>
      <c r="N519" s="358" t="s">
        <v>599</v>
      </c>
      <c r="O519" s="359" t="s">
        <v>106</v>
      </c>
      <c r="P519" s="360"/>
      <c r="Q519" s="195"/>
      <c r="R519" s="198" t="s">
        <v>7</v>
      </c>
      <c r="S519" s="103">
        <f t="shared" si="46"/>
        <v>0</v>
      </c>
      <c r="T519" s="83">
        <f t="shared" ca="1" si="47"/>
        <v>0</v>
      </c>
      <c r="U519" s="9" t="str">
        <f t="shared" ca="1" si="48"/>
        <v>SEM VALOR</v>
      </c>
      <c r="V519" s="1">
        <f ca="1">IF(OR($A519=0,$A519="S",$A519&gt;CFF!$A$9),"",MAX(V$12:OFFSET(V519,-1,0))+1)</f>
        <v>80</v>
      </c>
      <c r="W519" s="4" t="b">
        <f t="shared" si="49"/>
        <v>0</v>
      </c>
      <c r="X519" s="1" t="str">
        <f t="shared" ca="1" si="50"/>
        <v>X</v>
      </c>
      <c r="Y519" s="103">
        <v>0</v>
      </c>
      <c r="Z519" s="113">
        <f ca="1">ROUND(IF(ISNUMBER(R519),R519,IF(LEFT(R519,3)="BDI",HLOOKUP(R519,DADOS!$T$37:$X$38,2,FALSE),0)),15-11*$X$5)</f>
        <v>0.25</v>
      </c>
      <c r="AA519" s="1"/>
    </row>
    <row r="520" spans="1:27" x14ac:dyDescent="0.25">
      <c r="A520" t="str">
        <f t="shared" si="38"/>
        <v>S</v>
      </c>
      <c r="B520">
        <f t="shared" si="39"/>
        <v>0</v>
      </c>
      <c r="C520">
        <f t="shared" ca="1" si="40"/>
        <v>22</v>
      </c>
      <c r="D520">
        <f t="shared" ca="1" si="41"/>
        <v>0</v>
      </c>
      <c r="E520">
        <f t="shared" ca="1" si="42"/>
        <v>0</v>
      </c>
      <c r="F520">
        <f t="shared" ca="1" si="43"/>
        <v>0</v>
      </c>
      <c r="G520">
        <f t="shared" ca="1" si="44"/>
        <v>1</v>
      </c>
      <c r="H520">
        <f t="shared" ca="1" si="55"/>
        <v>0</v>
      </c>
      <c r="I520">
        <f t="shared" ca="1" si="56"/>
        <v>0</v>
      </c>
      <c r="J520" s="356" t="s">
        <v>103</v>
      </c>
      <c r="K520" s="138" t="str">
        <f t="shared" ca="1" si="45"/>
        <v>22.0.0.1.</v>
      </c>
      <c r="L520" s="357" t="s">
        <v>233</v>
      </c>
      <c r="M520" s="357" t="s">
        <v>600</v>
      </c>
      <c r="N520" s="358" t="s">
        <v>1176</v>
      </c>
      <c r="O520" s="359" t="s">
        <v>470</v>
      </c>
      <c r="P520" s="360">
        <v>1</v>
      </c>
      <c r="Q520" s="195"/>
      <c r="R520" s="198" t="s">
        <v>7</v>
      </c>
      <c r="S520" s="103">
        <f t="shared" si="46"/>
        <v>0</v>
      </c>
      <c r="T520" s="83">
        <f t="shared" si="47"/>
        <v>0</v>
      </c>
      <c r="U520" s="9" t="str">
        <f t="shared" si="48"/>
        <v>SEM VALOR</v>
      </c>
      <c r="V520" s="1" t="str">
        <f ca="1">IF(OR($A520=0,$A520="S",$A520&gt;CFF!$A$9),"",MAX(V$12:OFFSET(V520,-1,0))+1)</f>
        <v/>
      </c>
      <c r="W520" s="4" t="str">
        <f t="shared" si="49"/>
        <v>SINAPI-96989</v>
      </c>
      <c r="X520" s="1">
        <f t="shared" ca="1" si="50"/>
        <v>3428</v>
      </c>
      <c r="Y520" s="103">
        <v>176.99</v>
      </c>
      <c r="Z520" s="113">
        <f ca="1">ROUND(IF(ISNUMBER(R520),R520,IF(LEFT(R520,3)="BDI",HLOOKUP(R520,DADOS!$T$37:$X$38,2,FALSE),0)),15-11*$X$5)</f>
        <v>0.25</v>
      </c>
      <c r="AA520" s="1"/>
    </row>
    <row r="521" spans="1:27" x14ac:dyDescent="0.25">
      <c r="A521" t="str">
        <f t="shared" si="38"/>
        <v>S</v>
      </c>
      <c r="B521">
        <f t="shared" si="39"/>
        <v>0</v>
      </c>
      <c r="C521">
        <f t="shared" ca="1" si="40"/>
        <v>22</v>
      </c>
      <c r="D521">
        <f t="shared" ca="1" si="41"/>
        <v>0</v>
      </c>
      <c r="E521">
        <f t="shared" ca="1" si="42"/>
        <v>0</v>
      </c>
      <c r="F521">
        <f t="shared" ca="1" si="43"/>
        <v>0</v>
      </c>
      <c r="G521">
        <f t="shared" ca="1" si="44"/>
        <v>2</v>
      </c>
      <c r="H521">
        <f t="shared" ca="1" si="55"/>
        <v>0</v>
      </c>
      <c r="I521">
        <f t="shared" ca="1" si="56"/>
        <v>0</v>
      </c>
      <c r="J521" s="356" t="s">
        <v>103</v>
      </c>
      <c r="K521" s="138" t="str">
        <f t="shared" ca="1" si="45"/>
        <v>22.0.0.2.</v>
      </c>
      <c r="L521" s="357" t="s">
        <v>233</v>
      </c>
      <c r="M521" s="357" t="s">
        <v>601</v>
      </c>
      <c r="N521" s="358" t="s">
        <v>1177</v>
      </c>
      <c r="O521" s="359" t="s">
        <v>892</v>
      </c>
      <c r="P521" s="360">
        <v>45</v>
      </c>
      <c r="Q521" s="195"/>
      <c r="R521" s="198" t="s">
        <v>7</v>
      </c>
      <c r="S521" s="103">
        <f t="shared" si="46"/>
        <v>0</v>
      </c>
      <c r="T521" s="83">
        <f t="shared" si="47"/>
        <v>0</v>
      </c>
      <c r="U521" s="9" t="str">
        <f t="shared" si="48"/>
        <v>SEM VALOR</v>
      </c>
      <c r="V521" s="1" t="str">
        <f ca="1">IF(OR($A521=0,$A521="S",$A521&gt;CFF!$A$9),"",MAX(V$12:OFFSET(V521,-1,0))+1)</f>
        <v/>
      </c>
      <c r="W521" s="4" t="str">
        <f t="shared" si="49"/>
        <v>SINAPI-92884</v>
      </c>
      <c r="X521" s="1">
        <f t="shared" ca="1" si="50"/>
        <v>2621</v>
      </c>
      <c r="Y521" s="103">
        <v>15.84</v>
      </c>
      <c r="Z521" s="113">
        <f ca="1">ROUND(IF(ISNUMBER(R521),R521,IF(LEFT(R521,3)="BDI",HLOOKUP(R521,DADOS!$T$37:$X$38,2,FALSE),0)),15-11*$X$5)</f>
        <v>0.25</v>
      </c>
      <c r="AA521" s="1"/>
    </row>
    <row r="522" spans="1:27" x14ac:dyDescent="0.25">
      <c r="A522" t="str">
        <f t="shared" si="38"/>
        <v>S</v>
      </c>
      <c r="B522">
        <f t="shared" si="39"/>
        <v>0</v>
      </c>
      <c r="C522">
        <f t="shared" ca="1" si="40"/>
        <v>22</v>
      </c>
      <c r="D522">
        <f t="shared" ca="1" si="41"/>
        <v>0</v>
      </c>
      <c r="E522">
        <f t="shared" ca="1" si="42"/>
        <v>0</v>
      </c>
      <c r="F522">
        <f t="shared" ca="1" si="43"/>
        <v>0</v>
      </c>
      <c r="G522">
        <f t="shared" ca="1" si="44"/>
        <v>3</v>
      </c>
      <c r="H522">
        <f t="shared" ca="1" si="55"/>
        <v>0</v>
      </c>
      <c r="I522">
        <f t="shared" ca="1" si="56"/>
        <v>0</v>
      </c>
      <c r="J522" s="356" t="s">
        <v>103</v>
      </c>
      <c r="K522" s="138" t="str">
        <f t="shared" ca="1" si="45"/>
        <v>22.0.0.3.</v>
      </c>
      <c r="L522" s="357" t="s">
        <v>233</v>
      </c>
      <c r="M522" s="357" t="s">
        <v>602</v>
      </c>
      <c r="N522" s="358" t="s">
        <v>1178</v>
      </c>
      <c r="O522" s="359" t="s">
        <v>470</v>
      </c>
      <c r="P522" s="360">
        <v>11</v>
      </c>
      <c r="Q522" s="195"/>
      <c r="R522" s="198" t="s">
        <v>7</v>
      </c>
      <c r="S522" s="103">
        <f t="shared" si="46"/>
        <v>0</v>
      </c>
      <c r="T522" s="83">
        <f t="shared" si="47"/>
        <v>0</v>
      </c>
      <c r="U522" s="9" t="str">
        <f t="shared" si="48"/>
        <v>SEM VALOR</v>
      </c>
      <c r="V522" s="1" t="str">
        <f ca="1">IF(OR($A522=0,$A522="S",$A522&gt;CFF!$A$9),"",MAX(V$12:OFFSET(V522,-1,0))+1)</f>
        <v/>
      </c>
      <c r="W522" s="4" t="str">
        <f t="shared" si="49"/>
        <v>SINAPI-104753</v>
      </c>
      <c r="X522" s="1">
        <f t="shared" ca="1" si="50"/>
        <v>3435</v>
      </c>
      <c r="Y522" s="103">
        <v>31.89</v>
      </c>
      <c r="Z522" s="113">
        <f ca="1">ROUND(IF(ISNUMBER(R522),R522,IF(LEFT(R522,3)="BDI",HLOOKUP(R522,DADOS!$T$37:$X$38,2,FALSE),0)),15-11*$X$5)</f>
        <v>0.25</v>
      </c>
      <c r="AA522" s="1"/>
    </row>
    <row r="523" spans="1:27" x14ac:dyDescent="0.25">
      <c r="A523" t="str">
        <f t="shared" si="38"/>
        <v>S</v>
      </c>
      <c r="B523">
        <f t="shared" si="39"/>
        <v>0</v>
      </c>
      <c r="C523">
        <f t="shared" ca="1" si="40"/>
        <v>22</v>
      </c>
      <c r="D523">
        <f t="shared" ca="1" si="41"/>
        <v>0</v>
      </c>
      <c r="E523">
        <f t="shared" ca="1" si="42"/>
        <v>0</v>
      </c>
      <c r="F523">
        <f t="shared" ca="1" si="43"/>
        <v>0</v>
      </c>
      <c r="G523">
        <f t="shared" ca="1" si="44"/>
        <v>4</v>
      </c>
      <c r="H523">
        <f t="shared" ca="1" si="55"/>
        <v>0</v>
      </c>
      <c r="I523">
        <f t="shared" ca="1" si="56"/>
        <v>0</v>
      </c>
      <c r="J523" s="356" t="s">
        <v>103</v>
      </c>
      <c r="K523" s="138" t="str">
        <f t="shared" ca="1" si="45"/>
        <v>22.0.0.4.</v>
      </c>
      <c r="L523" s="357" t="s">
        <v>233</v>
      </c>
      <c r="M523" s="357" t="s">
        <v>603</v>
      </c>
      <c r="N523" s="358" t="s">
        <v>1179</v>
      </c>
      <c r="O523" s="359" t="s">
        <v>470</v>
      </c>
      <c r="P523" s="360">
        <v>4</v>
      </c>
      <c r="Q523" s="195"/>
      <c r="R523" s="198" t="s">
        <v>7</v>
      </c>
      <c r="S523" s="103">
        <f t="shared" si="46"/>
        <v>0</v>
      </c>
      <c r="T523" s="83">
        <f t="shared" si="47"/>
        <v>0</v>
      </c>
      <c r="U523" s="9" t="str">
        <f t="shared" si="48"/>
        <v>SEM VALOR</v>
      </c>
      <c r="V523" s="1" t="str">
        <f ca="1">IF(OR($A523=0,$A523="S",$A523&gt;CFF!$A$9),"",MAX(V$12:OFFSET(V523,-1,0))+1)</f>
        <v/>
      </c>
      <c r="W523" s="4" t="str">
        <f t="shared" si="49"/>
        <v>SINAPI-101663</v>
      </c>
      <c r="X523" s="1">
        <f t="shared" ca="1" si="50"/>
        <v>3353</v>
      </c>
      <c r="Y523" s="103">
        <v>35.06</v>
      </c>
      <c r="Z523" s="113">
        <f ca="1">ROUND(IF(ISNUMBER(R523),R523,IF(LEFT(R523,3)="BDI",HLOOKUP(R523,DADOS!$T$37:$X$38,2,FALSE),0)),15-11*$X$5)</f>
        <v>0.25</v>
      </c>
      <c r="AA523" s="1"/>
    </row>
    <row r="524" spans="1:27" x14ac:dyDescent="0.25">
      <c r="A524" t="str">
        <f t="shared" si="38"/>
        <v>S</v>
      </c>
      <c r="B524">
        <f t="shared" si="39"/>
        <v>0</v>
      </c>
      <c r="C524">
        <f t="shared" ca="1" si="40"/>
        <v>22</v>
      </c>
      <c r="D524">
        <f t="shared" ca="1" si="41"/>
        <v>0</v>
      </c>
      <c r="E524">
        <f t="shared" ca="1" si="42"/>
        <v>0</v>
      </c>
      <c r="F524">
        <f t="shared" ca="1" si="43"/>
        <v>0</v>
      </c>
      <c r="G524">
        <f t="shared" ca="1" si="44"/>
        <v>5</v>
      </c>
      <c r="H524">
        <f t="shared" ca="1" si="55"/>
        <v>0</v>
      </c>
      <c r="I524">
        <f t="shared" ca="1" si="56"/>
        <v>0</v>
      </c>
      <c r="J524" s="356" t="s">
        <v>103</v>
      </c>
      <c r="K524" s="138" t="str">
        <f t="shared" ca="1" si="45"/>
        <v>22.0.0.5.</v>
      </c>
      <c r="L524" s="357" t="s">
        <v>469</v>
      </c>
      <c r="M524" s="357" t="s">
        <v>604</v>
      </c>
      <c r="N524" s="358" t="s">
        <v>615</v>
      </c>
      <c r="O524" s="359" t="s">
        <v>782</v>
      </c>
      <c r="P524" s="360">
        <v>1</v>
      </c>
      <c r="Q524" s="195"/>
      <c r="R524" s="198" t="s">
        <v>7</v>
      </c>
      <c r="S524" s="103">
        <f t="shared" si="46"/>
        <v>0</v>
      </c>
      <c r="T524" s="83">
        <f t="shared" si="47"/>
        <v>0</v>
      </c>
      <c r="U524" s="9" t="str">
        <f t="shared" si="48"/>
        <v>SEM VALOR</v>
      </c>
      <c r="V524" s="1" t="str">
        <f ca="1">IF(OR($A524=0,$A524="S",$A524&gt;CFF!$A$9),"",MAX(V$12:OFFSET(V524,-1,0))+1)</f>
        <v/>
      </c>
      <c r="W524" s="4" t="str">
        <f t="shared" si="49"/>
        <v>FNDE-FNDE 68</v>
      </c>
      <c r="X524" s="1" t="e">
        <f t="shared" ca="1" si="50"/>
        <v>#N/A</v>
      </c>
      <c r="Y524" s="103">
        <v>571.83000000000004</v>
      </c>
      <c r="Z524" s="113">
        <f ca="1">ROUND(IF(ISNUMBER(R524),R524,IF(LEFT(R524,3)="BDI",HLOOKUP(R524,DADOS!$T$37:$X$38,2,FALSE),0)),15-11*$X$5)</f>
        <v>0.25</v>
      </c>
      <c r="AA524" s="1"/>
    </row>
    <row r="525" spans="1:27" ht="26.4" x14ac:dyDescent="0.25">
      <c r="A525" t="str">
        <f t="shared" si="38"/>
        <v>S</v>
      </c>
      <c r="B525">
        <f t="shared" si="39"/>
        <v>0</v>
      </c>
      <c r="C525">
        <f t="shared" ca="1" si="40"/>
        <v>22</v>
      </c>
      <c r="D525">
        <f t="shared" ca="1" si="41"/>
        <v>0</v>
      </c>
      <c r="E525">
        <f t="shared" ca="1" si="42"/>
        <v>0</v>
      </c>
      <c r="F525">
        <f t="shared" ca="1" si="43"/>
        <v>0</v>
      </c>
      <c r="G525">
        <f t="shared" ca="1" si="44"/>
        <v>6</v>
      </c>
      <c r="H525">
        <f t="shared" ca="1" si="55"/>
        <v>0</v>
      </c>
      <c r="I525">
        <f t="shared" ca="1" si="56"/>
        <v>0</v>
      </c>
      <c r="J525" s="356" t="s">
        <v>103</v>
      </c>
      <c r="K525" s="138" t="str">
        <f t="shared" ca="1" si="45"/>
        <v>22.0.0.6.</v>
      </c>
      <c r="L525" s="357" t="s">
        <v>233</v>
      </c>
      <c r="M525" s="357" t="s">
        <v>605</v>
      </c>
      <c r="N525" s="358" t="s">
        <v>1180</v>
      </c>
      <c r="O525" s="359" t="s">
        <v>470</v>
      </c>
      <c r="P525" s="360">
        <v>33</v>
      </c>
      <c r="Q525" s="195"/>
      <c r="R525" s="198" t="s">
        <v>7</v>
      </c>
      <c r="S525" s="103">
        <f t="shared" si="46"/>
        <v>0</v>
      </c>
      <c r="T525" s="83">
        <f t="shared" si="47"/>
        <v>0</v>
      </c>
      <c r="U525" s="9" t="str">
        <f t="shared" si="48"/>
        <v>SEM VALOR</v>
      </c>
      <c r="V525" s="1" t="str">
        <f ca="1">IF(OR($A525=0,$A525="S",$A525&gt;CFF!$A$9),"",MAX(V$12:OFFSET(V525,-1,0))+1)</f>
        <v/>
      </c>
      <c r="W525" s="4" t="str">
        <f t="shared" si="49"/>
        <v>SINAPI-98463</v>
      </c>
      <c r="X525" s="1">
        <f t="shared" ca="1" si="50"/>
        <v>3429</v>
      </c>
      <c r="Y525" s="103">
        <v>34.409999999999997</v>
      </c>
      <c r="Z525" s="113">
        <f ca="1">ROUND(IF(ISNUMBER(R525),R525,IF(LEFT(R525,3)="BDI",HLOOKUP(R525,DADOS!$T$37:$X$38,2,FALSE),0)),15-11*$X$5)</f>
        <v>0.25</v>
      </c>
      <c r="AA525" s="1"/>
    </row>
    <row r="526" spans="1:27" x14ac:dyDescent="0.25">
      <c r="A526" t="str">
        <f t="shared" si="38"/>
        <v>S</v>
      </c>
      <c r="B526">
        <f t="shared" si="39"/>
        <v>0</v>
      </c>
      <c r="C526">
        <f t="shared" ca="1" si="40"/>
        <v>22</v>
      </c>
      <c r="D526">
        <f t="shared" ca="1" si="41"/>
        <v>0</v>
      </c>
      <c r="E526">
        <f t="shared" ca="1" si="42"/>
        <v>0</v>
      </c>
      <c r="F526">
        <f t="shared" ca="1" si="43"/>
        <v>0</v>
      </c>
      <c r="G526">
        <f t="shared" ca="1" si="44"/>
        <v>7</v>
      </c>
      <c r="H526">
        <f t="shared" ref="H526:H602" ca="1" si="57">IF(OR($A526="S",$A526=0),0,MATCH(0,OFFSET($B526,1,$A526,ROW($A$603)-ROW($A526)),0))</f>
        <v>0</v>
      </c>
      <c r="I526">
        <f t="shared" ref="I526:I602" ca="1" si="58">IF(OR($A526="S",$A526=0),0,MATCH(OFFSET($B526,0,$A526)+1,OFFSET($B526,1,$A526,ROW($A$603)-ROW($A526)),0))</f>
        <v>0</v>
      </c>
      <c r="J526" s="356" t="s">
        <v>103</v>
      </c>
      <c r="K526" s="138" t="str">
        <f t="shared" ca="1" si="45"/>
        <v>22.0.0.7.</v>
      </c>
      <c r="L526" s="357" t="s">
        <v>469</v>
      </c>
      <c r="M526" s="357" t="s">
        <v>606</v>
      </c>
      <c r="N526" s="358" t="s">
        <v>616</v>
      </c>
      <c r="O526" s="359" t="s">
        <v>782</v>
      </c>
      <c r="P526" s="360">
        <v>1</v>
      </c>
      <c r="Q526" s="195"/>
      <c r="R526" s="198" t="s">
        <v>7</v>
      </c>
      <c r="S526" s="103">
        <f t="shared" si="46"/>
        <v>0</v>
      </c>
      <c r="T526" s="83">
        <f t="shared" si="47"/>
        <v>0</v>
      </c>
      <c r="U526" s="9" t="str">
        <f t="shared" si="48"/>
        <v>SEM VALOR</v>
      </c>
      <c r="V526" s="1" t="str">
        <f ca="1">IF(OR($A526=0,$A526="S",$A526&gt;CFF!$A$9),"",MAX(V$12:OFFSET(V526,-1,0))+1)</f>
        <v/>
      </c>
      <c r="W526" s="4" t="str">
        <f t="shared" si="49"/>
        <v>FNDE-FNDE 69</v>
      </c>
      <c r="X526" s="1" t="e">
        <f t="shared" ca="1" si="50"/>
        <v>#N/A</v>
      </c>
      <c r="Y526" s="103">
        <v>432.04</v>
      </c>
      <c r="Z526" s="113">
        <f ca="1">ROUND(IF(ISNUMBER(R526),R526,IF(LEFT(R526,3)="BDI",HLOOKUP(R526,DADOS!$T$37:$X$38,2,FALSE),0)),15-11*$X$5)</f>
        <v>0.25</v>
      </c>
      <c r="AA526" s="1"/>
    </row>
    <row r="527" spans="1:27" x14ac:dyDescent="0.25">
      <c r="A527" t="str">
        <f t="shared" si="38"/>
        <v>S</v>
      </c>
      <c r="B527">
        <f t="shared" si="39"/>
        <v>0</v>
      </c>
      <c r="C527">
        <f t="shared" ca="1" si="40"/>
        <v>22</v>
      </c>
      <c r="D527">
        <f t="shared" ca="1" si="41"/>
        <v>0</v>
      </c>
      <c r="E527">
        <f t="shared" ca="1" si="42"/>
        <v>0</v>
      </c>
      <c r="F527">
        <f t="shared" ca="1" si="43"/>
        <v>0</v>
      </c>
      <c r="G527">
        <f t="shared" ca="1" si="44"/>
        <v>8</v>
      </c>
      <c r="H527">
        <f t="shared" ca="1" si="57"/>
        <v>0</v>
      </c>
      <c r="I527">
        <f t="shared" ca="1" si="58"/>
        <v>0</v>
      </c>
      <c r="J527" s="356" t="s">
        <v>103</v>
      </c>
      <c r="K527" s="138" t="str">
        <f t="shared" ca="1" si="45"/>
        <v>22.0.0.8.</v>
      </c>
      <c r="L527" s="357" t="s">
        <v>233</v>
      </c>
      <c r="M527" s="357" t="s">
        <v>607</v>
      </c>
      <c r="N527" s="358" t="s">
        <v>1181</v>
      </c>
      <c r="O527" s="359" t="s">
        <v>660</v>
      </c>
      <c r="P527" s="360">
        <v>26.18</v>
      </c>
      <c r="Q527" s="195"/>
      <c r="R527" s="198" t="s">
        <v>7</v>
      </c>
      <c r="S527" s="103">
        <f t="shared" si="46"/>
        <v>0</v>
      </c>
      <c r="T527" s="83">
        <f t="shared" si="47"/>
        <v>0</v>
      </c>
      <c r="U527" s="9" t="str">
        <f t="shared" si="48"/>
        <v>SEM VALOR</v>
      </c>
      <c r="V527" s="1" t="str">
        <f ca="1">IF(OR($A527=0,$A527="S",$A527&gt;CFF!$A$9),"",MAX(V$12:OFFSET(V527,-1,0))+1)</f>
        <v/>
      </c>
      <c r="W527" s="4" t="str">
        <f t="shared" si="49"/>
        <v>SINAPI-93358</v>
      </c>
      <c r="X527" s="1">
        <f t="shared" ca="1" si="50"/>
        <v>5807</v>
      </c>
      <c r="Y527" s="103">
        <v>114.11</v>
      </c>
      <c r="Z527" s="113">
        <f ca="1">ROUND(IF(ISNUMBER(R527),R527,IF(LEFT(R527,3)="BDI",HLOOKUP(R527,DADOS!$T$37:$X$38,2,FALSE),0)),15-11*$X$5)</f>
        <v>0.25</v>
      </c>
      <c r="AA527" s="1"/>
    </row>
    <row r="528" spans="1:27" x14ac:dyDescent="0.25">
      <c r="A528" t="str">
        <f t="shared" si="38"/>
        <v>S</v>
      </c>
      <c r="B528">
        <f t="shared" si="39"/>
        <v>0</v>
      </c>
      <c r="C528">
        <f t="shared" ca="1" si="40"/>
        <v>22</v>
      </c>
      <c r="D528">
        <f t="shared" ca="1" si="41"/>
        <v>0</v>
      </c>
      <c r="E528">
        <f t="shared" ca="1" si="42"/>
        <v>0</v>
      </c>
      <c r="F528">
        <f t="shared" ca="1" si="43"/>
        <v>0</v>
      </c>
      <c r="G528">
        <f t="shared" ca="1" si="44"/>
        <v>9</v>
      </c>
      <c r="H528">
        <f t="shared" ca="1" si="57"/>
        <v>0</v>
      </c>
      <c r="I528">
        <f t="shared" ca="1" si="58"/>
        <v>0</v>
      </c>
      <c r="J528" s="356" t="s">
        <v>103</v>
      </c>
      <c r="K528" s="138" t="str">
        <f t="shared" ca="1" si="45"/>
        <v>22.0.0.9.</v>
      </c>
      <c r="L528" s="357" t="s">
        <v>233</v>
      </c>
      <c r="M528" s="357" t="s">
        <v>608</v>
      </c>
      <c r="N528" s="358" t="s">
        <v>1182</v>
      </c>
      <c r="O528" s="359" t="s">
        <v>660</v>
      </c>
      <c r="P528" s="360">
        <v>26.18</v>
      </c>
      <c r="Q528" s="195"/>
      <c r="R528" s="198" t="s">
        <v>7</v>
      </c>
      <c r="S528" s="103">
        <f t="shared" si="46"/>
        <v>0</v>
      </c>
      <c r="T528" s="83">
        <f t="shared" si="47"/>
        <v>0</v>
      </c>
      <c r="U528" s="9" t="str">
        <f t="shared" si="48"/>
        <v>SEM VALOR</v>
      </c>
      <c r="V528" s="1" t="str">
        <f ca="1">IF(OR($A528=0,$A528="S",$A528&gt;CFF!$A$9),"",MAX(V$12:OFFSET(V528,-1,0))+1)</f>
        <v/>
      </c>
      <c r="W528" s="4" t="str">
        <f t="shared" si="49"/>
        <v>SINAPI-93382</v>
      </c>
      <c r="X528" s="1">
        <f t="shared" ca="1" si="50"/>
        <v>5895</v>
      </c>
      <c r="Y528" s="103">
        <v>36.69</v>
      </c>
      <c r="Z528" s="113">
        <f ca="1">ROUND(IF(ISNUMBER(R528),R528,IF(LEFT(R528,3)="BDI",HLOOKUP(R528,DADOS!$T$37:$X$38,2,FALSE),0)),15-11*$X$5)</f>
        <v>0.25</v>
      </c>
      <c r="AA528" s="1"/>
    </row>
    <row r="529" spans="1:27" x14ac:dyDescent="0.25">
      <c r="A529" t="str">
        <f t="shared" si="38"/>
        <v>S</v>
      </c>
      <c r="B529">
        <f t="shared" si="39"/>
        <v>0</v>
      </c>
      <c r="C529">
        <f t="shared" ca="1" si="40"/>
        <v>22</v>
      </c>
      <c r="D529">
        <f t="shared" ca="1" si="41"/>
        <v>0</v>
      </c>
      <c r="E529">
        <f t="shared" ca="1" si="42"/>
        <v>0</v>
      </c>
      <c r="F529">
        <f t="shared" ca="1" si="43"/>
        <v>0</v>
      </c>
      <c r="G529">
        <f t="shared" ca="1" si="44"/>
        <v>10</v>
      </c>
      <c r="H529">
        <f t="shared" ca="1" si="57"/>
        <v>0</v>
      </c>
      <c r="I529">
        <f t="shared" ca="1" si="58"/>
        <v>0</v>
      </c>
      <c r="J529" s="356" t="s">
        <v>103</v>
      </c>
      <c r="K529" s="138" t="str">
        <f t="shared" ca="1" si="45"/>
        <v>22.0.0.10.</v>
      </c>
      <c r="L529" s="357" t="s">
        <v>233</v>
      </c>
      <c r="M529" s="357" t="s">
        <v>609</v>
      </c>
      <c r="N529" s="358" t="s">
        <v>1183</v>
      </c>
      <c r="O529" s="359" t="s">
        <v>470</v>
      </c>
      <c r="P529" s="360">
        <v>11</v>
      </c>
      <c r="Q529" s="195"/>
      <c r="R529" s="198" t="s">
        <v>7</v>
      </c>
      <c r="S529" s="103">
        <f t="shared" si="46"/>
        <v>0</v>
      </c>
      <c r="T529" s="83">
        <f t="shared" si="47"/>
        <v>0</v>
      </c>
      <c r="U529" s="9" t="str">
        <f t="shared" si="48"/>
        <v>SEM VALOR</v>
      </c>
      <c r="V529" s="1" t="str">
        <f ca="1">IF(OR($A529=0,$A529="S",$A529&gt;CFF!$A$9),"",MAX(V$12:OFFSET(V529,-1,0))+1)</f>
        <v/>
      </c>
      <c r="W529" s="4" t="str">
        <f t="shared" si="49"/>
        <v>SINAPI-96985</v>
      </c>
      <c r="X529" s="1">
        <f t="shared" ca="1" si="50"/>
        <v>3424</v>
      </c>
      <c r="Y529" s="103">
        <v>136.09</v>
      </c>
      <c r="Z529" s="113">
        <f ca="1">ROUND(IF(ISNUMBER(R529),R529,IF(LEFT(R529,3)="BDI",HLOOKUP(R529,DADOS!$T$37:$X$38,2,FALSE),0)),15-11*$X$5)</f>
        <v>0.25</v>
      </c>
      <c r="AA529" s="1"/>
    </row>
    <row r="530" spans="1:27" ht="26.4" x14ac:dyDescent="0.25">
      <c r="A530" t="str">
        <f t="shared" si="38"/>
        <v>S</v>
      </c>
      <c r="B530">
        <f t="shared" si="39"/>
        <v>0</v>
      </c>
      <c r="C530">
        <f t="shared" ca="1" si="40"/>
        <v>22</v>
      </c>
      <c r="D530">
        <f t="shared" ca="1" si="41"/>
        <v>0</v>
      </c>
      <c r="E530">
        <f t="shared" ca="1" si="42"/>
        <v>0</v>
      </c>
      <c r="F530">
        <f t="shared" ca="1" si="43"/>
        <v>0</v>
      </c>
      <c r="G530">
        <f t="shared" ca="1" si="44"/>
        <v>11</v>
      </c>
      <c r="H530">
        <f t="shared" ca="1" si="57"/>
        <v>0</v>
      </c>
      <c r="I530">
        <f t="shared" ca="1" si="58"/>
        <v>0</v>
      </c>
      <c r="J530" s="356" t="s">
        <v>103</v>
      </c>
      <c r="K530" s="138" t="str">
        <f t="shared" ca="1" si="45"/>
        <v>22.0.0.11.</v>
      </c>
      <c r="L530" s="357" t="s">
        <v>233</v>
      </c>
      <c r="M530" s="357" t="s">
        <v>610</v>
      </c>
      <c r="N530" s="358" t="s">
        <v>1184</v>
      </c>
      <c r="O530" s="359" t="s">
        <v>590</v>
      </c>
      <c r="P530" s="360">
        <v>287</v>
      </c>
      <c r="Q530" s="195"/>
      <c r="R530" s="198" t="s">
        <v>7</v>
      </c>
      <c r="S530" s="103">
        <f t="shared" si="46"/>
        <v>0</v>
      </c>
      <c r="T530" s="83">
        <f t="shared" si="47"/>
        <v>0</v>
      </c>
      <c r="U530" s="9" t="str">
        <f t="shared" si="48"/>
        <v>SEM VALOR</v>
      </c>
      <c r="V530" s="1" t="str">
        <f ca="1">IF(OR($A530=0,$A530="S",$A530&gt;CFF!$A$9),"",MAX(V$12:OFFSET(V530,-1,0))+1)</f>
        <v/>
      </c>
      <c r="W530" s="4" t="str">
        <f t="shared" si="49"/>
        <v>SINAPI-96973</v>
      </c>
      <c r="X530" s="1">
        <f t="shared" ca="1" si="50"/>
        <v>3416</v>
      </c>
      <c r="Y530" s="103">
        <v>86.53</v>
      </c>
      <c r="Z530" s="113">
        <f ca="1">ROUND(IF(ISNUMBER(R530),R530,IF(LEFT(R530,3)="BDI",HLOOKUP(R530,DADOS!$T$37:$X$38,2,FALSE),0)),15-11*$X$5)</f>
        <v>0.25</v>
      </c>
      <c r="AA530" s="1"/>
    </row>
    <row r="531" spans="1:27" x14ac:dyDescent="0.25">
      <c r="A531" t="str">
        <f t="shared" si="38"/>
        <v>S</v>
      </c>
      <c r="B531">
        <f t="shared" si="39"/>
        <v>0</v>
      </c>
      <c r="C531">
        <f t="shared" ca="1" si="40"/>
        <v>22</v>
      </c>
      <c r="D531">
        <f t="shared" ca="1" si="41"/>
        <v>0</v>
      </c>
      <c r="E531">
        <f t="shared" ca="1" si="42"/>
        <v>0</v>
      </c>
      <c r="F531">
        <f t="shared" ca="1" si="43"/>
        <v>0</v>
      </c>
      <c r="G531">
        <f t="shared" ca="1" si="44"/>
        <v>12</v>
      </c>
      <c r="H531">
        <f t="shared" ca="1" si="57"/>
        <v>0</v>
      </c>
      <c r="I531">
        <f t="shared" ca="1" si="58"/>
        <v>0</v>
      </c>
      <c r="J531" s="356" t="s">
        <v>103</v>
      </c>
      <c r="K531" s="138" t="str">
        <f t="shared" ca="1" si="45"/>
        <v>22.0.0.12.</v>
      </c>
      <c r="L531" s="357" t="s">
        <v>233</v>
      </c>
      <c r="M531" s="357" t="s">
        <v>611</v>
      </c>
      <c r="N531" s="358" t="s">
        <v>1185</v>
      </c>
      <c r="O531" s="359" t="s">
        <v>590</v>
      </c>
      <c r="P531" s="360">
        <v>174.5</v>
      </c>
      <c r="Q531" s="195"/>
      <c r="R531" s="198" t="s">
        <v>7</v>
      </c>
      <c r="S531" s="103">
        <f t="shared" si="46"/>
        <v>0</v>
      </c>
      <c r="T531" s="83">
        <f t="shared" si="47"/>
        <v>0</v>
      </c>
      <c r="U531" s="9" t="str">
        <f t="shared" si="48"/>
        <v>SEM VALOR</v>
      </c>
      <c r="V531" s="1" t="str">
        <f ca="1">IF(OR($A531=0,$A531="S",$A531&gt;CFF!$A$9),"",MAX(V$12:OFFSET(V531,-1,0))+1)</f>
        <v/>
      </c>
      <c r="W531" s="4" t="str">
        <f t="shared" si="49"/>
        <v>SINAPI-96977</v>
      </c>
      <c r="X531" s="1">
        <f t="shared" ca="1" si="50"/>
        <v>3420</v>
      </c>
      <c r="Y531" s="103">
        <v>68.64</v>
      </c>
      <c r="Z531" s="113">
        <f ca="1">ROUND(IF(ISNUMBER(R531),R531,IF(LEFT(R531,3)="BDI",HLOOKUP(R531,DADOS!$T$37:$X$38,2,FALSE),0)),15-11*$X$5)</f>
        <v>0.25</v>
      </c>
      <c r="AA531" s="1"/>
    </row>
    <row r="532" spans="1:27" x14ac:dyDescent="0.25">
      <c r="A532" t="str">
        <f t="shared" si="38"/>
        <v>S</v>
      </c>
      <c r="B532">
        <f t="shared" si="39"/>
        <v>0</v>
      </c>
      <c r="C532">
        <f t="shared" ca="1" si="40"/>
        <v>22</v>
      </c>
      <c r="D532">
        <f t="shared" ca="1" si="41"/>
        <v>0</v>
      </c>
      <c r="E532">
        <f t="shared" ca="1" si="42"/>
        <v>0</v>
      </c>
      <c r="F532">
        <f t="shared" ca="1" si="43"/>
        <v>0</v>
      </c>
      <c r="G532">
        <f t="shared" ca="1" si="44"/>
        <v>13</v>
      </c>
      <c r="H532">
        <f t="shared" ca="1" si="57"/>
        <v>0</v>
      </c>
      <c r="I532">
        <f t="shared" ca="1" si="58"/>
        <v>0</v>
      </c>
      <c r="J532" s="356" t="s">
        <v>103</v>
      </c>
      <c r="K532" s="138" t="str">
        <f t="shared" ca="1" si="45"/>
        <v>22.0.0.13.</v>
      </c>
      <c r="L532" s="357" t="s">
        <v>233</v>
      </c>
      <c r="M532" s="357" t="s">
        <v>612</v>
      </c>
      <c r="N532" s="358" t="s">
        <v>1186</v>
      </c>
      <c r="O532" s="359" t="s">
        <v>470</v>
      </c>
      <c r="P532" s="360">
        <v>11</v>
      </c>
      <c r="Q532" s="195"/>
      <c r="R532" s="198" t="s">
        <v>7</v>
      </c>
      <c r="S532" s="103">
        <f t="shared" si="46"/>
        <v>0</v>
      </c>
      <c r="T532" s="83">
        <f t="shared" si="47"/>
        <v>0</v>
      </c>
      <c r="U532" s="9" t="str">
        <f t="shared" si="48"/>
        <v>SEM VALOR</v>
      </c>
      <c r="V532" s="1" t="str">
        <f ca="1">IF(OR($A532=0,$A532="S",$A532&gt;CFF!$A$9),"",MAX(V$12:OFFSET(V532,-1,0))+1)</f>
        <v/>
      </c>
      <c r="W532" s="4" t="str">
        <f t="shared" si="49"/>
        <v>SINAPI-98111</v>
      </c>
      <c r="X532" s="1">
        <f t="shared" ca="1" si="50"/>
        <v>5392</v>
      </c>
      <c r="Y532" s="103">
        <v>64.3</v>
      </c>
      <c r="Z532" s="113">
        <f ca="1">ROUND(IF(ISNUMBER(R532),R532,IF(LEFT(R532,3)="BDI",HLOOKUP(R532,DADOS!$T$37:$X$38,2,FALSE),0)),15-11*$X$5)</f>
        <v>0.25</v>
      </c>
      <c r="AA532" s="1"/>
    </row>
    <row r="533" spans="1:27" x14ac:dyDescent="0.25">
      <c r="A533" t="str">
        <f t="shared" si="38"/>
        <v>S</v>
      </c>
      <c r="B533">
        <f t="shared" si="39"/>
        <v>0</v>
      </c>
      <c r="C533">
        <f t="shared" ca="1" si="40"/>
        <v>22</v>
      </c>
      <c r="D533">
        <f t="shared" ca="1" si="41"/>
        <v>0</v>
      </c>
      <c r="E533">
        <f t="shared" ca="1" si="42"/>
        <v>0</v>
      </c>
      <c r="F533">
        <f t="shared" ca="1" si="43"/>
        <v>0</v>
      </c>
      <c r="G533">
        <f t="shared" ca="1" si="44"/>
        <v>14</v>
      </c>
      <c r="H533">
        <f t="shared" ca="1" si="57"/>
        <v>0</v>
      </c>
      <c r="I533">
        <f t="shared" ca="1" si="58"/>
        <v>0</v>
      </c>
      <c r="J533" s="356" t="s">
        <v>103</v>
      </c>
      <c r="K533" s="138" t="str">
        <f t="shared" ca="1" si="45"/>
        <v>22.0.0.14.</v>
      </c>
      <c r="L533" s="357" t="s">
        <v>469</v>
      </c>
      <c r="M533" s="357" t="s">
        <v>613</v>
      </c>
      <c r="N533" s="358" t="s">
        <v>579</v>
      </c>
      <c r="O533" s="359" t="s">
        <v>470</v>
      </c>
      <c r="P533" s="360">
        <v>251</v>
      </c>
      <c r="Q533" s="195"/>
      <c r="R533" s="198" t="s">
        <v>7</v>
      </c>
      <c r="S533" s="103">
        <f t="shared" si="46"/>
        <v>0</v>
      </c>
      <c r="T533" s="83">
        <f t="shared" si="47"/>
        <v>0</v>
      </c>
      <c r="U533" s="9" t="str">
        <f t="shared" si="48"/>
        <v>SEM VALOR</v>
      </c>
      <c r="V533" s="1" t="str">
        <f ca="1">IF(OR($A533=0,$A533="S",$A533&gt;CFF!$A$9),"",MAX(V$12:OFFSET(V533,-1,0))+1)</f>
        <v/>
      </c>
      <c r="W533" s="4" t="str">
        <f t="shared" si="49"/>
        <v>FNDE-FNDE 70</v>
      </c>
      <c r="X533" s="1" t="e">
        <f t="shared" ca="1" si="50"/>
        <v>#N/A</v>
      </c>
      <c r="Y533" s="103">
        <v>24.13</v>
      </c>
      <c r="Z533" s="113">
        <f ca="1">ROUND(IF(ISNUMBER(R533),R533,IF(LEFT(R533,3)="BDI",HLOOKUP(R533,DADOS!$T$37:$X$38,2,FALSE),0)),15-11*$X$5)</f>
        <v>0.25</v>
      </c>
      <c r="AA533" s="1"/>
    </row>
    <row r="534" spans="1:27" x14ac:dyDescent="0.25">
      <c r="A534" t="str">
        <f t="shared" si="38"/>
        <v>S</v>
      </c>
      <c r="B534">
        <f t="shared" si="39"/>
        <v>0</v>
      </c>
      <c r="C534">
        <f t="shared" ca="1" si="40"/>
        <v>22</v>
      </c>
      <c r="D534">
        <f t="shared" ca="1" si="41"/>
        <v>0</v>
      </c>
      <c r="E534">
        <f t="shared" ca="1" si="42"/>
        <v>0</v>
      </c>
      <c r="F534">
        <f t="shared" ca="1" si="43"/>
        <v>0</v>
      </c>
      <c r="G534">
        <f t="shared" ca="1" si="44"/>
        <v>15</v>
      </c>
      <c r="H534">
        <f t="shared" ca="1" si="57"/>
        <v>0</v>
      </c>
      <c r="I534">
        <f t="shared" ca="1" si="58"/>
        <v>0</v>
      </c>
      <c r="J534" s="356" t="s">
        <v>103</v>
      </c>
      <c r="K534" s="138" t="str">
        <f t="shared" ca="1" si="45"/>
        <v>22.0.0.15.</v>
      </c>
      <c r="L534" s="357" t="s">
        <v>469</v>
      </c>
      <c r="M534" s="357" t="s">
        <v>614</v>
      </c>
      <c r="N534" s="358" t="s">
        <v>617</v>
      </c>
      <c r="O534" s="359" t="s">
        <v>470</v>
      </c>
      <c r="P534" s="360">
        <v>22</v>
      </c>
      <c r="Q534" s="195"/>
      <c r="R534" s="198" t="s">
        <v>7</v>
      </c>
      <c r="S534" s="103">
        <f t="shared" si="46"/>
        <v>0</v>
      </c>
      <c r="T534" s="83">
        <f t="shared" si="47"/>
        <v>0</v>
      </c>
      <c r="U534" s="9" t="str">
        <f t="shared" si="48"/>
        <v>SEM VALOR</v>
      </c>
      <c r="V534" s="1" t="str">
        <f ca="1">IF(OR($A534=0,$A534="S",$A534&gt;CFF!$A$9),"",MAX(V$12:OFFSET(V534,-1,0))+1)</f>
        <v/>
      </c>
      <c r="W534" s="4" t="str">
        <f t="shared" si="49"/>
        <v>FNDE-FNDE 71</v>
      </c>
      <c r="X534" s="1" t="e">
        <f t="shared" ca="1" si="50"/>
        <v>#N/A</v>
      </c>
      <c r="Y534" s="103">
        <v>98.43</v>
      </c>
      <c r="Z534" s="113">
        <f ca="1">ROUND(IF(ISNUMBER(R534),R534,IF(LEFT(R534,3)="BDI",HLOOKUP(R534,DADOS!$T$37:$X$38,2,FALSE),0)),15-11*$X$5)</f>
        <v>0.25</v>
      </c>
      <c r="AA534" s="1"/>
    </row>
    <row r="535" spans="1:27" x14ac:dyDescent="0.25">
      <c r="A535">
        <f t="shared" si="38"/>
        <v>1</v>
      </c>
      <c r="B535">
        <f t="shared" ca="1" si="39"/>
        <v>10</v>
      </c>
      <c r="C535">
        <f t="shared" ca="1" si="40"/>
        <v>23</v>
      </c>
      <c r="D535">
        <f t="shared" ca="1" si="41"/>
        <v>0</v>
      </c>
      <c r="E535">
        <f t="shared" ca="1" si="42"/>
        <v>0</v>
      </c>
      <c r="F535">
        <f t="shared" ca="1" si="43"/>
        <v>0</v>
      </c>
      <c r="G535">
        <f t="shared" ca="1" si="44"/>
        <v>0</v>
      </c>
      <c r="H535">
        <f t="shared" ca="1" si="57"/>
        <v>68</v>
      </c>
      <c r="I535">
        <f t="shared" ca="1" si="58"/>
        <v>10</v>
      </c>
      <c r="J535" s="356" t="s">
        <v>99</v>
      </c>
      <c r="K535" s="138" t="str">
        <f t="shared" ca="1" si="45"/>
        <v>23.</v>
      </c>
      <c r="L535" s="357"/>
      <c r="M535" s="357"/>
      <c r="N535" s="358" t="s">
        <v>618</v>
      </c>
      <c r="O535" s="359" t="s">
        <v>106</v>
      </c>
      <c r="P535" s="360"/>
      <c r="Q535" s="195"/>
      <c r="R535" s="198" t="s">
        <v>7</v>
      </c>
      <c r="S535" s="103">
        <f t="shared" si="46"/>
        <v>0</v>
      </c>
      <c r="T535" s="83">
        <f t="shared" ca="1" si="47"/>
        <v>0</v>
      </c>
      <c r="U535" s="9" t="str">
        <f t="shared" ca="1" si="48"/>
        <v>SEM VALOR</v>
      </c>
      <c r="V535" s="1">
        <f ca="1">IF(OR($A535=0,$A535="S",$A535&gt;CFF!$A$9),"",MAX(V$12:OFFSET(V535,-1,0))+1)</f>
        <v>81</v>
      </c>
      <c r="W535" s="4" t="b">
        <f t="shared" si="49"/>
        <v>0</v>
      </c>
      <c r="X535" s="1" t="str">
        <f t="shared" ca="1" si="50"/>
        <v>X</v>
      </c>
      <c r="Y535" s="103">
        <v>0</v>
      </c>
      <c r="Z535" s="113">
        <f ca="1">ROUND(IF(ISNUMBER(R535),R535,IF(LEFT(R535,3)="BDI",HLOOKUP(R535,DADOS!$T$37:$X$38,2,FALSE),0)),15-11*$X$5)</f>
        <v>0.25</v>
      </c>
      <c r="AA535" s="1"/>
    </row>
    <row r="536" spans="1:27" x14ac:dyDescent="0.25">
      <c r="A536" t="str">
        <f t="shared" si="38"/>
        <v>S</v>
      </c>
      <c r="B536">
        <f t="shared" si="39"/>
        <v>0</v>
      </c>
      <c r="C536">
        <f t="shared" ca="1" si="40"/>
        <v>23</v>
      </c>
      <c r="D536">
        <f t="shared" ca="1" si="41"/>
        <v>0</v>
      </c>
      <c r="E536">
        <f t="shared" ca="1" si="42"/>
        <v>0</v>
      </c>
      <c r="F536">
        <f t="shared" ca="1" si="43"/>
        <v>0</v>
      </c>
      <c r="G536">
        <f t="shared" ca="1" si="44"/>
        <v>1</v>
      </c>
      <c r="H536">
        <f t="shared" ca="1" si="57"/>
        <v>0</v>
      </c>
      <c r="I536">
        <f t="shared" ca="1" si="58"/>
        <v>0</v>
      </c>
      <c r="J536" s="356" t="s">
        <v>103</v>
      </c>
      <c r="K536" s="138" t="str">
        <f t="shared" ca="1" si="45"/>
        <v>23.0.0.1.</v>
      </c>
      <c r="L536" s="357" t="s">
        <v>469</v>
      </c>
      <c r="M536" s="357" t="s">
        <v>619</v>
      </c>
      <c r="N536" s="358" t="s">
        <v>628</v>
      </c>
      <c r="O536" s="359" t="s">
        <v>470</v>
      </c>
      <c r="P536" s="360">
        <v>1</v>
      </c>
      <c r="Q536" s="195"/>
      <c r="R536" s="198" t="s">
        <v>7</v>
      </c>
      <c r="S536" s="103">
        <f t="shared" si="46"/>
        <v>0</v>
      </c>
      <c r="T536" s="83">
        <f t="shared" si="47"/>
        <v>0</v>
      </c>
      <c r="U536" s="9" t="str">
        <f t="shared" si="48"/>
        <v>SEM VALOR</v>
      </c>
      <c r="V536" s="1" t="str">
        <f ca="1">IF(OR($A536=0,$A536="S",$A536&gt;CFF!$A$9),"",MAX(V$12:OFFSET(V536,-1,0))+1)</f>
        <v/>
      </c>
      <c r="W536" s="4" t="str">
        <f t="shared" si="49"/>
        <v>FNDE-FNDE 39</v>
      </c>
      <c r="X536" s="1" t="e">
        <f t="shared" ca="1" si="50"/>
        <v>#N/A</v>
      </c>
      <c r="Y536" s="103">
        <v>5452.28</v>
      </c>
      <c r="Z536" s="113">
        <f ca="1">ROUND(IF(ISNUMBER(R536),R536,IF(LEFT(R536,3)="BDI",HLOOKUP(R536,DADOS!$T$37:$X$38,2,FALSE),0)),15-11*$X$5)</f>
        <v>0.25</v>
      </c>
      <c r="AA536" s="1"/>
    </row>
    <row r="537" spans="1:27" ht="26.4" x14ac:dyDescent="0.25">
      <c r="A537" t="str">
        <f>CHOOSE(1+LOG(1+2*(J537="Meta")+4*(J537="Nível 2")+8*(J537="Nível 3")+16*(J537="Nível 4")+32*(J537="Serviço"),2),0,1,2,3,4,"S")</f>
        <v>S</v>
      </c>
      <c r="B537">
        <f>IF(OR(A537="S",A537=0),0,IF(ISERROR(I537),H537,SMALL(H537:I537,1)))</f>
        <v>0</v>
      </c>
      <c r="C537">
        <f ca="1">IF($A537=1,OFFSET(C537,-1,0)+1,OFFSET(C537,-1,0))</f>
        <v>23</v>
      </c>
      <c r="D537">
        <f ca="1">IF($A537=1,0,IF($A537=2,OFFSET(D537,-1,0)+1,OFFSET(D537,-1,0)))</f>
        <v>0</v>
      </c>
      <c r="E537">
        <f ca="1">IF(AND($A537&lt;=2,$A537&lt;&gt;0),0,IF($A537=3,OFFSET(E537,-1,0)+1,OFFSET(E537,-1,0)))</f>
        <v>0</v>
      </c>
      <c r="F537">
        <f ca="1">IF(AND($A537&lt;=3,$A537&lt;&gt;0),0,IF($A537=4,OFFSET(F537,-1,0)+1,OFFSET(F537,-1,0)))</f>
        <v>0</v>
      </c>
      <c r="G537">
        <f ca="1">IF(AND($A537&lt;=4,$A537&lt;&gt;0),0,IF($A537="S",OFFSET(G537,-1,0)+1,OFFSET(G537,-1,0)))</f>
        <v>2</v>
      </c>
      <c r="H537">
        <f t="shared" ca="1" si="57"/>
        <v>0</v>
      </c>
      <c r="I537">
        <f t="shared" ca="1" si="58"/>
        <v>0</v>
      </c>
      <c r="J537" s="356" t="s">
        <v>103</v>
      </c>
      <c r="K537" s="138" t="str">
        <f ca="1">IF($A537=0,"-",CONCATENATE(C537&amp;".",IF(AND($A$5&gt;=2,$A537&gt;=2),D537&amp;".",""),IF(AND($A$5&gt;=3,$A537&gt;=3),E537&amp;".",""),IF(AND($A$5&gt;=4,$A537&gt;=4),F537&amp;".",""),IF($A537="S",G537&amp;".","")))</f>
        <v>23.0.0.2.</v>
      </c>
      <c r="L537" s="357" t="s">
        <v>469</v>
      </c>
      <c r="M537" s="357" t="s">
        <v>620</v>
      </c>
      <c r="N537" s="358" t="s">
        <v>629</v>
      </c>
      <c r="O537" s="359" t="s">
        <v>635</v>
      </c>
      <c r="P537" s="360">
        <v>42.96</v>
      </c>
      <c r="Q537" s="195"/>
      <c r="R537" s="198" t="s">
        <v>7</v>
      </c>
      <c r="S537" s="103">
        <f>IF($A537="S",IF($Q$10="Preço Unitário (R$)",PO.CustoUnitario,ROUND(PO.CustoUnitario*(1+$Z537),15-13*$X$6)),0)</f>
        <v>0</v>
      </c>
      <c r="T537" s="83">
        <f>IF($A537="S",VTOTAL1,IF($A537=0,0,ROUND(SomaAgrup,15-13*$X$7)))</f>
        <v>0</v>
      </c>
      <c r="U537" s="9" t="str">
        <f>IF($J537="","",IF($N537="","DESCRIÇÃO",IF(AND($J537="Serviço",$O537=""),"UNIDADE",IF($T537&lt;=0,"SEM VALOR",IF(AND($Y537&lt;&gt;"",$Q537&gt;$Y537),"ACIMA REF.","")))))</f>
        <v>SEM VALOR</v>
      </c>
      <c r="V537" s="1" t="str">
        <f ca="1">IF(OR($A537=0,$A537="S",$A537&gt;CFF!$A$9),"",MAX(V$12:OFFSET(V537,-1,0))+1)</f>
        <v/>
      </c>
      <c r="W537" s="4" t="str">
        <f>IF(AND($J537="Serviço",$M537&lt;&gt;""),IF($L537="",$M537,CONCATENATE($L537,"-",$M537)))</f>
        <v>FNDE-FNDE 40</v>
      </c>
      <c r="X537" s="1" t="e">
        <f ca="1">IF(AND(Fonte&lt;&gt;"",Código&lt;&gt;""),MATCH(Fonte&amp;" "&amp;IF(Fonte="sinapi",SUBSTITUTE(SUBSTITUTE(Código,"/00","/"),"/0","/"),Código),INDIRECT("'[Referência "&amp;_xlnm.Database&amp;".xls]Banco'!$a:$a"),0),"X")</f>
        <v>#N/A</v>
      </c>
      <c r="Y537" s="103">
        <v>1026.2</v>
      </c>
      <c r="Z537" s="113">
        <f ca="1">ROUND(IF(ISNUMBER(R537),R537,IF(LEFT(R537,3)="BDI",HLOOKUP(R537,DADOS!$T$37:$X$38,2,FALSE),0)),15-11*$X$5)</f>
        <v>0.25</v>
      </c>
      <c r="AA537" s="1"/>
    </row>
    <row r="538" spans="1:27" x14ac:dyDescent="0.25">
      <c r="A538" t="str">
        <f t="shared" si="38"/>
        <v>S</v>
      </c>
      <c r="B538">
        <f t="shared" si="39"/>
        <v>0</v>
      </c>
      <c r="C538">
        <f t="shared" ca="1" si="40"/>
        <v>23</v>
      </c>
      <c r="D538">
        <f t="shared" ca="1" si="41"/>
        <v>0</v>
      </c>
      <c r="E538">
        <f t="shared" ca="1" si="42"/>
        <v>0</v>
      </c>
      <c r="F538">
        <f t="shared" ca="1" si="43"/>
        <v>0</v>
      </c>
      <c r="G538">
        <f t="shared" ca="1" si="44"/>
        <v>3</v>
      </c>
      <c r="H538">
        <f t="shared" ca="1" si="57"/>
        <v>0</v>
      </c>
      <c r="I538">
        <f t="shared" ca="1" si="58"/>
        <v>0</v>
      </c>
      <c r="J538" s="356" t="s">
        <v>103</v>
      </c>
      <c r="K538" s="138" t="str">
        <f t="shared" ca="1" si="45"/>
        <v>23.0.0.3.</v>
      </c>
      <c r="L538" s="357" t="s">
        <v>469</v>
      </c>
      <c r="M538" s="357" t="s">
        <v>621</v>
      </c>
      <c r="N538" s="358" t="s">
        <v>630</v>
      </c>
      <c r="O538" s="359" t="s">
        <v>635</v>
      </c>
      <c r="P538" s="360">
        <v>26.89</v>
      </c>
      <c r="Q538" s="195"/>
      <c r="R538" s="198" t="s">
        <v>7</v>
      </c>
      <c r="S538" s="103">
        <f t="shared" si="46"/>
        <v>0</v>
      </c>
      <c r="T538" s="83">
        <f t="shared" si="47"/>
        <v>0</v>
      </c>
      <c r="U538" s="9" t="str">
        <f t="shared" si="48"/>
        <v>SEM VALOR</v>
      </c>
      <c r="V538" s="1" t="str">
        <f ca="1">IF(OR($A538=0,$A538="S",$A538&gt;CFF!$A$9),"",MAX(V$12:OFFSET(V538,-1,0))+1)</f>
        <v/>
      </c>
      <c r="W538" s="4" t="str">
        <f t="shared" si="49"/>
        <v>FNDE-FNDE 47</v>
      </c>
      <c r="X538" s="1" t="e">
        <f t="shared" ca="1" si="50"/>
        <v>#N/A</v>
      </c>
      <c r="Y538" s="103">
        <v>902.71</v>
      </c>
      <c r="Z538" s="113">
        <f ca="1">ROUND(IF(ISNUMBER(R538),R538,IF(LEFT(R538,3)="BDI",HLOOKUP(R538,DADOS!$T$37:$X$38,2,FALSE),0)),15-11*$X$5)</f>
        <v>0.25</v>
      </c>
      <c r="AA538" s="1"/>
    </row>
    <row r="539" spans="1:27" x14ac:dyDescent="0.25">
      <c r="A539" t="str">
        <f t="shared" si="38"/>
        <v>S</v>
      </c>
      <c r="B539">
        <f t="shared" si="39"/>
        <v>0</v>
      </c>
      <c r="C539">
        <f t="shared" ca="1" si="40"/>
        <v>23</v>
      </c>
      <c r="D539">
        <f t="shared" ca="1" si="41"/>
        <v>0</v>
      </c>
      <c r="E539">
        <f t="shared" ca="1" si="42"/>
        <v>0</v>
      </c>
      <c r="F539">
        <f t="shared" ca="1" si="43"/>
        <v>0</v>
      </c>
      <c r="G539">
        <f t="shared" ca="1" si="44"/>
        <v>4</v>
      </c>
      <c r="H539">
        <f t="shared" ca="1" si="57"/>
        <v>0</v>
      </c>
      <c r="I539">
        <f t="shared" ca="1" si="58"/>
        <v>0</v>
      </c>
      <c r="J539" s="356" t="s">
        <v>103</v>
      </c>
      <c r="K539" s="138" t="str">
        <f t="shared" ca="1" si="45"/>
        <v>23.0.0.4.</v>
      </c>
      <c r="L539" s="357" t="s">
        <v>469</v>
      </c>
      <c r="M539" s="357" t="s">
        <v>622</v>
      </c>
      <c r="N539" s="358" t="s">
        <v>631</v>
      </c>
      <c r="O539" s="359" t="s">
        <v>635</v>
      </c>
      <c r="P539" s="360">
        <v>30.15</v>
      </c>
      <c r="Q539" s="195"/>
      <c r="R539" s="198" t="s">
        <v>7</v>
      </c>
      <c r="S539" s="103">
        <f t="shared" si="46"/>
        <v>0</v>
      </c>
      <c r="T539" s="83">
        <f t="shared" si="47"/>
        <v>0</v>
      </c>
      <c r="U539" s="9" t="str">
        <f t="shared" si="48"/>
        <v>SEM VALOR</v>
      </c>
      <c r="V539" s="1" t="str">
        <f ca="1">IF(OR($A539=0,$A539="S",$A539&gt;CFF!$A$9),"",MAX(V$12:OFFSET(V539,-1,0))+1)</f>
        <v/>
      </c>
      <c r="W539" s="4" t="str">
        <f t="shared" si="49"/>
        <v>FNDE-FNDE 48</v>
      </c>
      <c r="X539" s="1" t="e">
        <f t="shared" ca="1" si="50"/>
        <v>#N/A</v>
      </c>
      <c r="Y539" s="103">
        <v>313.61</v>
      </c>
      <c r="Z539" s="113">
        <f ca="1">ROUND(IF(ISNUMBER(R539),R539,IF(LEFT(R539,3)="BDI",HLOOKUP(R539,DADOS!$T$37:$X$38,2,FALSE),0)),15-11*$X$5)</f>
        <v>0.25</v>
      </c>
      <c r="AA539" s="1"/>
    </row>
    <row r="540" spans="1:27" ht="26.4" x14ac:dyDescent="0.25">
      <c r="A540" t="str">
        <f t="shared" si="38"/>
        <v>S</v>
      </c>
      <c r="B540">
        <f t="shared" si="39"/>
        <v>0</v>
      </c>
      <c r="C540">
        <f t="shared" ca="1" si="40"/>
        <v>23</v>
      </c>
      <c r="D540">
        <f t="shared" ca="1" si="41"/>
        <v>0</v>
      </c>
      <c r="E540">
        <f t="shared" ca="1" si="42"/>
        <v>0</v>
      </c>
      <c r="F540">
        <f t="shared" ca="1" si="43"/>
        <v>0</v>
      </c>
      <c r="G540">
        <f t="shared" ca="1" si="44"/>
        <v>5</v>
      </c>
      <c r="H540">
        <f t="shared" ca="1" si="57"/>
        <v>0</v>
      </c>
      <c r="I540">
        <f t="shared" ca="1" si="58"/>
        <v>0</v>
      </c>
      <c r="J540" s="356" t="s">
        <v>103</v>
      </c>
      <c r="K540" s="138" t="str">
        <f t="shared" ca="1" si="45"/>
        <v>23.0.0.5.</v>
      </c>
      <c r="L540" s="357" t="s">
        <v>233</v>
      </c>
      <c r="M540" s="357" t="s">
        <v>623</v>
      </c>
      <c r="N540" s="358" t="s">
        <v>1187</v>
      </c>
      <c r="O540" s="359" t="s">
        <v>590</v>
      </c>
      <c r="P540" s="360">
        <v>79.650000000000006</v>
      </c>
      <c r="Q540" s="195"/>
      <c r="R540" s="198" t="s">
        <v>7</v>
      </c>
      <c r="S540" s="103">
        <f t="shared" si="46"/>
        <v>0</v>
      </c>
      <c r="T540" s="83">
        <f t="shared" si="47"/>
        <v>0</v>
      </c>
      <c r="U540" s="9" t="str">
        <f t="shared" si="48"/>
        <v>SEM VALOR</v>
      </c>
      <c r="V540" s="1" t="str">
        <f ca="1">IF(OR($A540=0,$A540="S",$A540&gt;CFF!$A$9),"",MAX(V$12:OFFSET(V540,-1,0))+1)</f>
        <v/>
      </c>
      <c r="W540" s="4" t="str">
        <f t="shared" si="49"/>
        <v>SINAPI-101965</v>
      </c>
      <c r="X540" s="1">
        <f t="shared" ca="1" si="50"/>
        <v>6768</v>
      </c>
      <c r="Y540" s="103">
        <v>183.45</v>
      </c>
      <c r="Z540" s="113">
        <f ca="1">ROUND(IF(ISNUMBER(R540),R540,IF(LEFT(R540,3)="BDI",HLOOKUP(R540,DADOS!$T$37:$X$38,2,FALSE),0)),15-11*$X$5)</f>
        <v>0.25</v>
      </c>
      <c r="AA540" s="1"/>
    </row>
    <row r="541" spans="1:27" ht="26.4" x14ac:dyDescent="0.25">
      <c r="A541" t="str">
        <f t="shared" si="38"/>
        <v>S</v>
      </c>
      <c r="B541">
        <f t="shared" si="39"/>
        <v>0</v>
      </c>
      <c r="C541">
        <f t="shared" ca="1" si="40"/>
        <v>23</v>
      </c>
      <c r="D541">
        <f t="shared" ca="1" si="41"/>
        <v>0</v>
      </c>
      <c r="E541">
        <f t="shared" ca="1" si="42"/>
        <v>0</v>
      </c>
      <c r="F541">
        <f t="shared" ca="1" si="43"/>
        <v>0</v>
      </c>
      <c r="G541">
        <f t="shared" ca="1" si="44"/>
        <v>6</v>
      </c>
      <c r="H541">
        <f t="shared" ca="1" si="57"/>
        <v>0</v>
      </c>
      <c r="I541">
        <f t="shared" ca="1" si="58"/>
        <v>0</v>
      </c>
      <c r="J541" s="356" t="s">
        <v>103</v>
      </c>
      <c r="K541" s="138" t="str">
        <f t="shared" ca="1" si="45"/>
        <v>23.0.0.6.</v>
      </c>
      <c r="L541" s="357" t="s">
        <v>233</v>
      </c>
      <c r="M541" s="357" t="s">
        <v>624</v>
      </c>
      <c r="N541" s="358" t="s">
        <v>1188</v>
      </c>
      <c r="O541" s="359" t="s">
        <v>470</v>
      </c>
      <c r="P541" s="360">
        <v>148</v>
      </c>
      <c r="Q541" s="195"/>
      <c r="R541" s="198" t="s">
        <v>7</v>
      </c>
      <c r="S541" s="103">
        <f t="shared" si="46"/>
        <v>0</v>
      </c>
      <c r="T541" s="83">
        <f t="shared" si="47"/>
        <v>0</v>
      </c>
      <c r="U541" s="9" t="str">
        <f t="shared" si="48"/>
        <v>SEM VALOR</v>
      </c>
      <c r="V541" s="1" t="str">
        <f ca="1">IF(OR($A541=0,$A541="S",$A541&gt;CFF!$A$9),"",MAX(V$12:OFFSET(V541,-1,0))+1)</f>
        <v/>
      </c>
      <c r="W541" s="4" t="str">
        <f t="shared" si="49"/>
        <v>SINAPI-100861</v>
      </c>
      <c r="X541" s="1">
        <f t="shared" ca="1" si="50"/>
        <v>5328</v>
      </c>
      <c r="Y541" s="103">
        <v>56.65</v>
      </c>
      <c r="Z541" s="113">
        <f ca="1">ROUND(IF(ISNUMBER(R541),R541,IF(LEFT(R541,3)="BDI",HLOOKUP(R541,DADOS!$T$37:$X$38,2,FALSE),0)),15-11*$X$5)</f>
        <v>0.25</v>
      </c>
      <c r="AA541" s="1"/>
    </row>
    <row r="542" spans="1:27" x14ac:dyDescent="0.25">
      <c r="A542" t="str">
        <f t="shared" si="38"/>
        <v>S</v>
      </c>
      <c r="B542">
        <f t="shared" si="39"/>
        <v>0</v>
      </c>
      <c r="C542">
        <f t="shared" ca="1" si="40"/>
        <v>23</v>
      </c>
      <c r="D542">
        <f t="shared" ca="1" si="41"/>
        <v>0</v>
      </c>
      <c r="E542">
        <f t="shared" ca="1" si="42"/>
        <v>0</v>
      </c>
      <c r="F542">
        <f t="shared" ca="1" si="43"/>
        <v>0</v>
      </c>
      <c r="G542">
        <f t="shared" ca="1" si="44"/>
        <v>7</v>
      </c>
      <c r="H542">
        <f t="shared" ca="1" si="57"/>
        <v>0</v>
      </c>
      <c r="I542">
        <f t="shared" ca="1" si="58"/>
        <v>0</v>
      </c>
      <c r="J542" s="356" t="s">
        <v>103</v>
      </c>
      <c r="K542" s="138" t="str">
        <f t="shared" ca="1" si="45"/>
        <v>23.0.0.7.</v>
      </c>
      <c r="L542" s="357" t="s">
        <v>469</v>
      </c>
      <c r="M542" s="357" t="s">
        <v>625</v>
      </c>
      <c r="N542" s="358" t="s">
        <v>632</v>
      </c>
      <c r="O542" s="359" t="s">
        <v>590</v>
      </c>
      <c r="P542" s="360">
        <v>4.12</v>
      </c>
      <c r="Q542" s="195"/>
      <c r="R542" s="198" t="s">
        <v>7</v>
      </c>
      <c r="S542" s="103">
        <f t="shared" si="46"/>
        <v>0</v>
      </c>
      <c r="T542" s="83">
        <f t="shared" si="47"/>
        <v>0</v>
      </c>
      <c r="U542" s="9" t="str">
        <f t="shared" si="48"/>
        <v>SEM VALOR</v>
      </c>
      <c r="V542" s="1" t="str">
        <f ca="1">IF(OR($A542=0,$A542="S",$A542&gt;CFF!$A$9),"",MAX(V$12:OFFSET(V542,-1,0))+1)</f>
        <v/>
      </c>
      <c r="W542" s="4" t="str">
        <f t="shared" si="49"/>
        <v>FNDE-FNDE 49</v>
      </c>
      <c r="X542" s="1" t="e">
        <f t="shared" ca="1" si="50"/>
        <v>#N/A</v>
      </c>
      <c r="Y542" s="103">
        <v>265.95999999999998</v>
      </c>
      <c r="Z542" s="113">
        <f ca="1">ROUND(IF(ISNUMBER(R542),R542,IF(LEFT(R542,3)="BDI",HLOOKUP(R542,DADOS!$T$37:$X$38,2,FALSE),0)),15-11*$X$5)</f>
        <v>0.25</v>
      </c>
      <c r="AA542" s="1"/>
    </row>
    <row r="543" spans="1:27" x14ac:dyDescent="0.25">
      <c r="A543" t="str">
        <f t="shared" si="38"/>
        <v>S</v>
      </c>
      <c r="B543">
        <f t="shared" si="39"/>
        <v>0</v>
      </c>
      <c r="C543">
        <f t="shared" ca="1" si="40"/>
        <v>23</v>
      </c>
      <c r="D543">
        <f t="shared" ca="1" si="41"/>
        <v>0</v>
      </c>
      <c r="E543">
        <f t="shared" ca="1" si="42"/>
        <v>0</v>
      </c>
      <c r="F543">
        <f t="shared" ca="1" si="43"/>
        <v>0</v>
      </c>
      <c r="G543">
        <f t="shared" ca="1" si="44"/>
        <v>8</v>
      </c>
      <c r="H543">
        <f t="shared" ca="1" si="57"/>
        <v>0</v>
      </c>
      <c r="I543">
        <f t="shared" ca="1" si="58"/>
        <v>0</v>
      </c>
      <c r="J543" s="356" t="s">
        <v>103</v>
      </c>
      <c r="K543" s="138" t="str">
        <f t="shared" ca="1" si="45"/>
        <v>23.0.0.8.</v>
      </c>
      <c r="L543" s="357" t="s">
        <v>469</v>
      </c>
      <c r="M543" s="357" t="s">
        <v>626</v>
      </c>
      <c r="N543" s="358" t="s">
        <v>633</v>
      </c>
      <c r="O543" s="359" t="s">
        <v>635</v>
      </c>
      <c r="P543" s="360">
        <v>9.32</v>
      </c>
      <c r="Q543" s="195"/>
      <c r="R543" s="198" t="s">
        <v>7</v>
      </c>
      <c r="S543" s="103">
        <f t="shared" si="46"/>
        <v>0</v>
      </c>
      <c r="T543" s="83">
        <f t="shared" si="47"/>
        <v>0</v>
      </c>
      <c r="U543" s="9" t="str">
        <f t="shared" si="48"/>
        <v>SEM VALOR</v>
      </c>
      <c r="V543" s="1" t="str">
        <f ca="1">IF(OR($A543=0,$A543="S",$A543&gt;CFF!$A$9),"",MAX(V$12:OFFSET(V543,-1,0))+1)</f>
        <v/>
      </c>
      <c r="W543" s="4" t="str">
        <f t="shared" si="49"/>
        <v>FNDE-FNDE 51</v>
      </c>
      <c r="X543" s="1" t="e">
        <f t="shared" ca="1" si="50"/>
        <v>#N/A</v>
      </c>
      <c r="Y543" s="103">
        <v>732.18</v>
      </c>
      <c r="Z543" s="113">
        <f ca="1">ROUND(IF(ISNUMBER(R543),R543,IF(LEFT(R543,3)="BDI",HLOOKUP(R543,DADOS!$T$37:$X$38,2,FALSE),0)),15-11*$X$5)</f>
        <v>0.25</v>
      </c>
      <c r="AA543" s="1"/>
    </row>
    <row r="544" spans="1:27" x14ac:dyDescent="0.25">
      <c r="A544" t="str">
        <f t="shared" si="38"/>
        <v>S</v>
      </c>
      <c r="B544">
        <f t="shared" si="39"/>
        <v>0</v>
      </c>
      <c r="C544">
        <f t="shared" ca="1" si="40"/>
        <v>23</v>
      </c>
      <c r="D544">
        <f t="shared" ca="1" si="41"/>
        <v>0</v>
      </c>
      <c r="E544">
        <f t="shared" ca="1" si="42"/>
        <v>0</v>
      </c>
      <c r="F544">
        <f t="shared" ca="1" si="43"/>
        <v>0</v>
      </c>
      <c r="G544">
        <f t="shared" ca="1" si="44"/>
        <v>9</v>
      </c>
      <c r="H544">
        <f t="shared" ca="1" si="57"/>
        <v>0</v>
      </c>
      <c r="I544">
        <f t="shared" ca="1" si="58"/>
        <v>0</v>
      </c>
      <c r="J544" s="356" t="s">
        <v>103</v>
      </c>
      <c r="K544" s="138" t="str">
        <f t="shared" ca="1" si="45"/>
        <v>23.0.0.9.</v>
      </c>
      <c r="L544" s="357" t="s">
        <v>469</v>
      </c>
      <c r="M544" s="357" t="s">
        <v>627</v>
      </c>
      <c r="N544" s="358" t="s">
        <v>634</v>
      </c>
      <c r="O544" s="359" t="s">
        <v>590</v>
      </c>
      <c r="P544" s="360">
        <v>2</v>
      </c>
      <c r="Q544" s="195"/>
      <c r="R544" s="198" t="s">
        <v>7</v>
      </c>
      <c r="S544" s="103">
        <f t="shared" si="46"/>
        <v>0</v>
      </c>
      <c r="T544" s="83">
        <f t="shared" si="47"/>
        <v>0</v>
      </c>
      <c r="U544" s="9" t="str">
        <f t="shared" si="48"/>
        <v>SEM VALOR</v>
      </c>
      <c r="V544" s="1" t="str">
        <f ca="1">IF(OR($A544=0,$A544="S",$A544&gt;CFF!$A$9),"",MAX(V$12:OFFSET(V544,-1,0))+1)</f>
        <v/>
      </c>
      <c r="W544" s="4" t="str">
        <f t="shared" si="49"/>
        <v>FNDE-FNDE 38</v>
      </c>
      <c r="X544" s="1" t="e">
        <f t="shared" ca="1" si="50"/>
        <v>#N/A</v>
      </c>
      <c r="Y544" s="103">
        <v>23.44</v>
      </c>
      <c r="Z544" s="113">
        <f ca="1">ROUND(IF(ISNUMBER(R544),R544,IF(LEFT(R544,3)="BDI",HLOOKUP(R544,DADOS!$T$37:$X$38,2,FALSE),0)),15-11*$X$5)</f>
        <v>0.25</v>
      </c>
      <c r="AA544" s="1"/>
    </row>
    <row r="545" spans="1:27" x14ac:dyDescent="0.25">
      <c r="A545">
        <f t="shared" si="38"/>
        <v>1</v>
      </c>
      <c r="B545">
        <f t="shared" ca="1" si="39"/>
        <v>55</v>
      </c>
      <c r="C545">
        <f t="shared" ca="1" si="40"/>
        <v>24</v>
      </c>
      <c r="D545">
        <f t="shared" ca="1" si="41"/>
        <v>0</v>
      </c>
      <c r="E545">
        <f t="shared" ca="1" si="42"/>
        <v>0</v>
      </c>
      <c r="F545">
        <f t="shared" ca="1" si="43"/>
        <v>0</v>
      </c>
      <c r="G545">
        <f t="shared" ca="1" si="44"/>
        <v>0</v>
      </c>
      <c r="H545">
        <f t="shared" ca="1" si="57"/>
        <v>58</v>
      </c>
      <c r="I545">
        <f t="shared" ca="1" si="58"/>
        <v>55</v>
      </c>
      <c r="J545" s="356" t="s">
        <v>99</v>
      </c>
      <c r="K545" s="138" t="str">
        <f t="shared" ca="1" si="45"/>
        <v>24.</v>
      </c>
      <c r="L545" s="357"/>
      <c r="M545" s="357"/>
      <c r="N545" s="358" t="s">
        <v>872</v>
      </c>
      <c r="O545" s="359" t="s">
        <v>106</v>
      </c>
      <c r="P545" s="360"/>
      <c r="Q545" s="195"/>
      <c r="R545" s="198" t="s">
        <v>7</v>
      </c>
      <c r="S545" s="103">
        <f t="shared" si="46"/>
        <v>0</v>
      </c>
      <c r="T545" s="83">
        <f t="shared" ca="1" si="47"/>
        <v>0</v>
      </c>
      <c r="U545" s="9" t="str">
        <f t="shared" ca="1" si="48"/>
        <v>SEM VALOR</v>
      </c>
      <c r="V545" s="1">
        <f ca="1">IF(OR($A545=0,$A545="S",$A545&gt;CFF!$A$9),"",MAX(V$12:OFFSET(V545,-1,0))+1)</f>
        <v>82</v>
      </c>
      <c r="W545" s="4" t="b">
        <f t="shared" si="49"/>
        <v>0</v>
      </c>
      <c r="X545" s="1" t="str">
        <f t="shared" ca="1" si="50"/>
        <v>X</v>
      </c>
      <c r="Y545" s="103">
        <v>0</v>
      </c>
      <c r="Z545" s="113">
        <f ca="1">ROUND(IF(ISNUMBER(R545),R545,IF(LEFT(R545,3)="BDI",HLOOKUP(R545,DADOS!$T$37:$X$38,2,FALSE),0)),15-11*$X$5)</f>
        <v>0.25</v>
      </c>
      <c r="AA545" s="1"/>
    </row>
    <row r="546" spans="1:27" x14ac:dyDescent="0.25">
      <c r="A546">
        <f t="shared" si="38"/>
        <v>2</v>
      </c>
      <c r="B546">
        <f t="shared" ca="1" si="39"/>
        <v>6</v>
      </c>
      <c r="C546">
        <f t="shared" ca="1" si="40"/>
        <v>24</v>
      </c>
      <c r="D546">
        <f t="shared" ca="1" si="41"/>
        <v>1</v>
      </c>
      <c r="E546">
        <f t="shared" ca="1" si="42"/>
        <v>0</v>
      </c>
      <c r="F546">
        <f t="shared" ca="1" si="43"/>
        <v>0</v>
      </c>
      <c r="G546">
        <f t="shared" ca="1" si="44"/>
        <v>0</v>
      </c>
      <c r="H546">
        <f t="shared" ca="1" si="57"/>
        <v>54</v>
      </c>
      <c r="I546">
        <f t="shared" ca="1" si="58"/>
        <v>6</v>
      </c>
      <c r="J546" s="356" t="s">
        <v>100</v>
      </c>
      <c r="K546" s="138" t="str">
        <f t="shared" ca="1" si="45"/>
        <v>24.1.</v>
      </c>
      <c r="L546" s="357"/>
      <c r="M546" s="357"/>
      <c r="N546" s="358" t="s">
        <v>873</v>
      </c>
      <c r="O546" s="359" t="s">
        <v>106</v>
      </c>
      <c r="P546" s="360"/>
      <c r="Q546" s="195"/>
      <c r="R546" s="198" t="s">
        <v>7</v>
      </c>
      <c r="S546" s="103">
        <f t="shared" si="46"/>
        <v>0</v>
      </c>
      <c r="T546" s="83">
        <f t="shared" ca="1" si="47"/>
        <v>0</v>
      </c>
      <c r="U546" s="9" t="str">
        <f t="shared" ca="1" si="48"/>
        <v>SEM VALOR</v>
      </c>
      <c r="V546" s="1">
        <f ca="1">IF(OR($A546=0,$A546="S",$A546&gt;CFF!$A$9),"",MAX(V$12:OFFSET(V546,-1,0))+1)</f>
        <v>83</v>
      </c>
      <c r="W546" s="4" t="b">
        <f t="shared" si="49"/>
        <v>0</v>
      </c>
      <c r="X546" s="1" t="str">
        <f t="shared" ca="1" si="50"/>
        <v>X</v>
      </c>
      <c r="Y546" s="103">
        <v>0</v>
      </c>
      <c r="Z546" s="113">
        <f ca="1">ROUND(IF(ISNUMBER(R546),R546,IF(LEFT(R546,3)="BDI",HLOOKUP(R546,DADOS!$T$37:$X$38,2,FALSE),0)),15-11*$X$5)</f>
        <v>0.25</v>
      </c>
      <c r="AA546" s="1"/>
    </row>
    <row r="547" spans="1:27" x14ac:dyDescent="0.25">
      <c r="A547" t="str">
        <f t="shared" si="38"/>
        <v>S</v>
      </c>
      <c r="B547">
        <f t="shared" si="39"/>
        <v>0</v>
      </c>
      <c r="C547">
        <f t="shared" ca="1" si="40"/>
        <v>24</v>
      </c>
      <c r="D547">
        <f t="shared" ca="1" si="41"/>
        <v>1</v>
      </c>
      <c r="E547">
        <f t="shared" ca="1" si="42"/>
        <v>0</v>
      </c>
      <c r="F547">
        <f t="shared" ca="1" si="43"/>
        <v>0</v>
      </c>
      <c r="G547">
        <f t="shared" ca="1" si="44"/>
        <v>1</v>
      </c>
      <c r="H547">
        <f t="shared" ca="1" si="57"/>
        <v>0</v>
      </c>
      <c r="I547">
        <f t="shared" ca="1" si="58"/>
        <v>0</v>
      </c>
      <c r="J547" s="356" t="s">
        <v>103</v>
      </c>
      <c r="K547" s="138" t="str">
        <f t="shared" ca="1" si="45"/>
        <v>24.1.0.1.</v>
      </c>
      <c r="L547" s="357" t="s">
        <v>233</v>
      </c>
      <c r="M547" s="357" t="s">
        <v>874</v>
      </c>
      <c r="N547" s="358" t="s">
        <v>875</v>
      </c>
      <c r="O547" s="359" t="s">
        <v>876</v>
      </c>
      <c r="P547" s="360">
        <v>80</v>
      </c>
      <c r="Q547" s="195"/>
      <c r="R547" s="198" t="s">
        <v>8</v>
      </c>
      <c r="S547" s="103">
        <f t="shared" si="46"/>
        <v>0</v>
      </c>
      <c r="T547" s="83">
        <f t="shared" si="47"/>
        <v>0</v>
      </c>
      <c r="U547" s="9" t="str">
        <f t="shared" si="48"/>
        <v>SEM VALOR</v>
      </c>
      <c r="V547" s="1" t="str">
        <f ca="1">IF(OR($A547=0,$A547="S",$A547&gt;CFF!$A$9),"",MAX(V$12:OFFSET(V547,-1,0))+1)</f>
        <v/>
      </c>
      <c r="W547" s="4" t="str">
        <f t="shared" si="49"/>
        <v>SINAPI-90778</v>
      </c>
      <c r="X547" s="1">
        <f t="shared" ca="1" si="50"/>
        <v>7463</v>
      </c>
      <c r="Y547" s="103">
        <v>137.97</v>
      </c>
      <c r="Z547" s="113">
        <f ca="1">ROUND(IF(ISNUMBER(R547),R547,IF(LEFT(R547,3)="BDI",HLOOKUP(R547,DADOS!$T$37:$X$38,2,FALSE),0)),15-11*$X$5)</f>
        <v>0.09</v>
      </c>
      <c r="AA547" s="1"/>
    </row>
    <row r="548" spans="1:27" x14ac:dyDescent="0.25">
      <c r="A548" t="str">
        <f t="shared" si="38"/>
        <v>S</v>
      </c>
      <c r="B548">
        <f t="shared" si="39"/>
        <v>0</v>
      </c>
      <c r="C548">
        <f t="shared" ca="1" si="40"/>
        <v>24</v>
      </c>
      <c r="D548">
        <f t="shared" ca="1" si="41"/>
        <v>1</v>
      </c>
      <c r="E548">
        <f t="shared" ca="1" si="42"/>
        <v>0</v>
      </c>
      <c r="F548">
        <f t="shared" ca="1" si="43"/>
        <v>0</v>
      </c>
      <c r="G548">
        <f t="shared" ca="1" si="44"/>
        <v>2</v>
      </c>
      <c r="H548">
        <f t="shared" ca="1" si="57"/>
        <v>0</v>
      </c>
      <c r="I548">
        <f t="shared" ca="1" si="58"/>
        <v>0</v>
      </c>
      <c r="J548" s="356" t="s">
        <v>103</v>
      </c>
      <c r="K548" s="138" t="str">
        <f t="shared" ca="1" si="45"/>
        <v>24.1.0.2.</v>
      </c>
      <c r="L548" s="357" t="s">
        <v>233</v>
      </c>
      <c r="M548" s="357" t="s">
        <v>874</v>
      </c>
      <c r="N548" s="358" t="s">
        <v>877</v>
      </c>
      <c r="O548" s="359" t="s">
        <v>876</v>
      </c>
      <c r="P548" s="360">
        <v>40</v>
      </c>
      <c r="Q548" s="195"/>
      <c r="R548" s="198" t="s">
        <v>8</v>
      </c>
      <c r="S548" s="103">
        <f t="shared" si="46"/>
        <v>0</v>
      </c>
      <c r="T548" s="83">
        <f t="shared" si="47"/>
        <v>0</v>
      </c>
      <c r="U548" s="9" t="str">
        <f t="shared" si="48"/>
        <v>SEM VALOR</v>
      </c>
      <c r="V548" s="1" t="str">
        <f ca="1">IF(OR($A548=0,$A548="S",$A548&gt;CFF!$A$9),"",MAX(V$12:OFFSET(V548,-1,0))+1)</f>
        <v/>
      </c>
      <c r="W548" s="4" t="str">
        <f t="shared" si="49"/>
        <v>SINAPI-90778</v>
      </c>
      <c r="X548" s="1">
        <f t="shared" ca="1" si="50"/>
        <v>7463</v>
      </c>
      <c r="Y548" s="103">
        <v>137.97</v>
      </c>
      <c r="Z548" s="113">
        <f ca="1">ROUND(IF(ISNUMBER(R548),R548,IF(LEFT(R548,3)="BDI",HLOOKUP(R548,DADOS!$T$37:$X$38,2,FALSE),0)),15-11*$X$5)</f>
        <v>0.09</v>
      </c>
      <c r="AA548" s="1"/>
    </row>
    <row r="549" spans="1:27" x14ac:dyDescent="0.25">
      <c r="A549" t="str">
        <f t="shared" si="38"/>
        <v>S</v>
      </c>
      <c r="B549">
        <f t="shared" si="39"/>
        <v>0</v>
      </c>
      <c r="C549">
        <f t="shared" ca="1" si="40"/>
        <v>24</v>
      </c>
      <c r="D549">
        <f t="shared" ca="1" si="41"/>
        <v>1</v>
      </c>
      <c r="E549">
        <f t="shared" ca="1" si="42"/>
        <v>0</v>
      </c>
      <c r="F549">
        <f t="shared" ca="1" si="43"/>
        <v>0</v>
      </c>
      <c r="G549">
        <f t="shared" ca="1" si="44"/>
        <v>3</v>
      </c>
      <c r="H549">
        <f t="shared" ca="1" si="57"/>
        <v>0</v>
      </c>
      <c r="I549">
        <f t="shared" ca="1" si="58"/>
        <v>0</v>
      </c>
      <c r="J549" s="356" t="s">
        <v>103</v>
      </c>
      <c r="K549" s="138" t="str">
        <f t="shared" ca="1" si="45"/>
        <v>24.1.0.3.</v>
      </c>
      <c r="L549" s="357" t="s">
        <v>233</v>
      </c>
      <c r="M549" s="357" t="s">
        <v>874</v>
      </c>
      <c r="N549" s="358" t="s">
        <v>878</v>
      </c>
      <c r="O549" s="359" t="s">
        <v>876</v>
      </c>
      <c r="P549" s="360">
        <v>40</v>
      </c>
      <c r="Q549" s="195"/>
      <c r="R549" s="198" t="s">
        <v>8</v>
      </c>
      <c r="S549" s="103">
        <f t="shared" si="46"/>
        <v>0</v>
      </c>
      <c r="T549" s="83">
        <f t="shared" si="47"/>
        <v>0</v>
      </c>
      <c r="U549" s="9" t="str">
        <f t="shared" si="48"/>
        <v>SEM VALOR</v>
      </c>
      <c r="V549" s="1" t="str">
        <f ca="1">IF(OR($A549=0,$A549="S",$A549&gt;CFF!$A$9),"",MAX(V$12:OFFSET(V549,-1,0))+1)</f>
        <v/>
      </c>
      <c r="W549" s="4" t="str">
        <f t="shared" si="49"/>
        <v>SINAPI-90778</v>
      </c>
      <c r="X549" s="1">
        <f t="shared" ca="1" si="50"/>
        <v>7463</v>
      </c>
      <c r="Y549" s="103">
        <v>137.97</v>
      </c>
      <c r="Z549" s="113">
        <f ca="1">ROUND(IF(ISNUMBER(R549),R549,IF(LEFT(R549,3)="BDI",HLOOKUP(R549,DADOS!$T$37:$X$38,2,FALSE),0)),15-11*$X$5)</f>
        <v>0.09</v>
      </c>
      <c r="AA549" s="1"/>
    </row>
    <row r="550" spans="1:27" x14ac:dyDescent="0.25">
      <c r="A550" t="str">
        <f t="shared" si="38"/>
        <v>S</v>
      </c>
      <c r="B550">
        <f t="shared" si="39"/>
        <v>0</v>
      </c>
      <c r="C550">
        <f t="shared" ca="1" si="40"/>
        <v>24</v>
      </c>
      <c r="D550">
        <f t="shared" ca="1" si="41"/>
        <v>1</v>
      </c>
      <c r="E550">
        <f t="shared" ca="1" si="42"/>
        <v>0</v>
      </c>
      <c r="F550">
        <f t="shared" ca="1" si="43"/>
        <v>0</v>
      </c>
      <c r="G550">
        <f t="shared" ca="1" si="44"/>
        <v>4</v>
      </c>
      <c r="H550">
        <f t="shared" ca="1" si="57"/>
        <v>0</v>
      </c>
      <c r="I550">
        <f t="shared" ca="1" si="58"/>
        <v>0</v>
      </c>
      <c r="J550" s="356" t="s">
        <v>103</v>
      </c>
      <c r="K550" s="138" t="str">
        <f t="shared" ca="1" si="45"/>
        <v>24.1.0.4.</v>
      </c>
      <c r="L550" s="357" t="s">
        <v>233</v>
      </c>
      <c r="M550" s="357" t="s">
        <v>874</v>
      </c>
      <c r="N550" s="358" t="s">
        <v>879</v>
      </c>
      <c r="O550" s="359" t="s">
        <v>876</v>
      </c>
      <c r="P550" s="360">
        <v>20</v>
      </c>
      <c r="Q550" s="195"/>
      <c r="R550" s="198" t="s">
        <v>8</v>
      </c>
      <c r="S550" s="103">
        <f t="shared" si="46"/>
        <v>0</v>
      </c>
      <c r="T550" s="83">
        <f t="shared" si="47"/>
        <v>0</v>
      </c>
      <c r="U550" s="9" t="str">
        <f t="shared" si="48"/>
        <v>SEM VALOR</v>
      </c>
      <c r="V550" s="1" t="str">
        <f ca="1">IF(OR($A550=0,$A550="S",$A550&gt;CFF!$A$9),"",MAX(V$12:OFFSET(V550,-1,0))+1)</f>
        <v/>
      </c>
      <c r="W550" s="4" t="str">
        <f t="shared" si="49"/>
        <v>SINAPI-90778</v>
      </c>
      <c r="X550" s="1">
        <f t="shared" ca="1" si="50"/>
        <v>7463</v>
      </c>
      <c r="Y550" s="103">
        <v>137.97</v>
      </c>
      <c r="Z550" s="113">
        <f ca="1">ROUND(IF(ISNUMBER(R550),R550,IF(LEFT(R550,3)="BDI",HLOOKUP(R550,DADOS!$T$37:$X$38,2,FALSE),0)),15-11*$X$5)</f>
        <v>0.09</v>
      </c>
      <c r="AA550" s="1"/>
    </row>
    <row r="551" spans="1:27" x14ac:dyDescent="0.25">
      <c r="A551" t="str">
        <f t="shared" ref="A551:A599" si="59">CHOOSE(1+LOG(1+2*(J551="Meta")+4*(J551="Nível 2")+8*(J551="Nível 3")+16*(J551="Nível 4")+32*(J551="Serviço"),2),0,1,2,3,4,"S")</f>
        <v>S</v>
      </c>
      <c r="B551">
        <f t="shared" ref="B551:B599" si="60">IF(OR(A551="S",A551=0),0,IF(ISERROR(I551),H551,SMALL(H551:I551,1)))</f>
        <v>0</v>
      </c>
      <c r="C551">
        <f t="shared" ref="C551:C599" ca="1" si="61">IF($A551=1,OFFSET(C551,-1,0)+1,OFFSET(C551,-1,0))</f>
        <v>24</v>
      </c>
      <c r="D551">
        <f t="shared" ref="D551:D599" ca="1" si="62">IF($A551=1,0,IF($A551=2,OFFSET(D551,-1,0)+1,OFFSET(D551,-1,0)))</f>
        <v>1</v>
      </c>
      <c r="E551">
        <f t="shared" ref="E551:E599" ca="1" si="63">IF(AND($A551&lt;=2,$A551&lt;&gt;0),0,IF($A551=3,OFFSET(E551,-1,0)+1,OFFSET(E551,-1,0)))</f>
        <v>0</v>
      </c>
      <c r="F551">
        <f t="shared" ref="F551:F599" ca="1" si="64">IF(AND($A551&lt;=3,$A551&lt;&gt;0),0,IF($A551=4,OFFSET(F551,-1,0)+1,OFFSET(F551,-1,0)))</f>
        <v>0</v>
      </c>
      <c r="G551">
        <f t="shared" ref="G551:G599" ca="1" si="65">IF(AND($A551&lt;=4,$A551&lt;&gt;0),0,IF($A551="S",OFFSET(G551,-1,0)+1,OFFSET(G551,-1,0)))</f>
        <v>5</v>
      </c>
      <c r="H551">
        <f t="shared" ca="1" si="57"/>
        <v>0</v>
      </c>
      <c r="I551">
        <f t="shared" ca="1" si="58"/>
        <v>0</v>
      </c>
      <c r="J551" s="356" t="s">
        <v>103</v>
      </c>
      <c r="K551" s="138" t="str">
        <f t="shared" ref="K551:K599" ca="1" si="66">IF($A551=0,"-",CONCATENATE(C551&amp;".",IF(AND($A$5&gt;=2,$A551&gt;=2),D551&amp;".",""),IF(AND($A$5&gt;=3,$A551&gt;=3),E551&amp;".",""),IF(AND($A$5&gt;=4,$A551&gt;=4),F551&amp;".",""),IF($A551="S",G551&amp;".","")))</f>
        <v>24.1.0.5.</v>
      </c>
      <c r="L551" s="357" t="s">
        <v>233</v>
      </c>
      <c r="M551" s="357" t="s">
        <v>880</v>
      </c>
      <c r="N551" s="358" t="s">
        <v>881</v>
      </c>
      <c r="O551" s="359" t="s">
        <v>876</v>
      </c>
      <c r="P551" s="360">
        <v>80</v>
      </c>
      <c r="Q551" s="195"/>
      <c r="R551" s="198" t="s">
        <v>8</v>
      </c>
      <c r="S551" s="103">
        <f>IF($A551="S",IF($Q$10="Preço Unitário (R$)",PO.CustoUnitario,ROUND(PO.CustoUnitario*(1+$Z551),15-13*$X$6)),0)</f>
        <v>0</v>
      </c>
      <c r="T551" s="83">
        <f>IF($A551="S",VTOTAL1,IF($A551=0,0,ROUND(SomaAgrup,15-13*$X$7)))</f>
        <v>0</v>
      </c>
      <c r="U551" s="9" t="str">
        <f t="shared" ref="U551:U599" si="67">IF($J551="","",IF($N551="","DESCRIÇÃO",IF(AND($J551="Serviço",$O551=""),"UNIDADE",IF($T551&lt;=0,"SEM VALOR",IF(AND($Y551&lt;&gt;"",$Q551&gt;$Y551),"ACIMA REF.","")))))</f>
        <v>SEM VALOR</v>
      </c>
      <c r="V551" s="1" t="str">
        <f ca="1">IF(OR($A551=0,$A551="S",$A551&gt;CFF!$A$9),"",MAX(V$12:OFFSET(V551,-1,0))+1)</f>
        <v/>
      </c>
      <c r="W551" s="4" t="str">
        <f t="shared" ref="W551:W599" si="68">IF(AND($J551="Serviço",$M551&lt;&gt;""),IF($L551="",$M551,CONCATENATE($L551,"-",$M551)))</f>
        <v>SINAPI-90769</v>
      </c>
      <c r="X551" s="1">
        <f ca="1">IF(AND(Fonte&lt;&gt;"",Código&lt;&gt;""),MATCH(Fonte&amp;" "&amp;IF(Fonte="sinapi",SUBSTITUTE(SUBSTITUTE(Código,"/00","/"),"/0","/"),Código),INDIRECT("'[Referência "&amp;_xlnm.Database&amp;".xls]Banco'!$a:$a"),0),"X")</f>
        <v>7457</v>
      </c>
      <c r="Y551" s="103">
        <v>135.18</v>
      </c>
      <c r="Z551" s="113">
        <f ca="1">ROUND(IF(ISNUMBER(R551),R551,IF(LEFT(R551,3)="BDI",HLOOKUP(R551,DADOS!$T$37:$X$38,2,FALSE),0)),15-11*$X$5)</f>
        <v>0.09</v>
      </c>
      <c r="AA551" s="1"/>
    </row>
    <row r="552" spans="1:27" x14ac:dyDescent="0.25">
      <c r="A552">
        <f t="shared" si="59"/>
        <v>2</v>
      </c>
      <c r="B552">
        <f t="shared" ca="1" si="60"/>
        <v>3</v>
      </c>
      <c r="C552">
        <f t="shared" ca="1" si="61"/>
        <v>24</v>
      </c>
      <c r="D552">
        <f t="shared" ca="1" si="62"/>
        <v>2</v>
      </c>
      <c r="E552">
        <f t="shared" ca="1" si="63"/>
        <v>0</v>
      </c>
      <c r="F552">
        <f t="shared" ca="1" si="64"/>
        <v>0</v>
      </c>
      <c r="G552">
        <f t="shared" ca="1" si="65"/>
        <v>0</v>
      </c>
      <c r="H552">
        <f t="shared" ca="1" si="57"/>
        <v>48</v>
      </c>
      <c r="I552">
        <f t="shared" ca="1" si="58"/>
        <v>3</v>
      </c>
      <c r="J552" s="356" t="s">
        <v>100</v>
      </c>
      <c r="K552" s="138" t="str">
        <f t="shared" ca="1" si="66"/>
        <v>24.2.</v>
      </c>
      <c r="L552" s="357"/>
      <c r="M552" s="357"/>
      <c r="N552" s="358" t="s">
        <v>882</v>
      </c>
      <c r="O552" s="359" t="s">
        <v>106</v>
      </c>
      <c r="P552" s="360"/>
      <c r="Q552" s="195"/>
      <c r="R552" s="198" t="s">
        <v>7</v>
      </c>
      <c r="S552" s="103">
        <f>IF($A552="S",IF($Q$10="Preço Unitário (R$)",PO.CustoUnitario,ROUND(PO.CustoUnitario*(1+$Z552),15-13*$X$6)),0)</f>
        <v>0</v>
      </c>
      <c r="T552" s="83">
        <f ca="1">IF($A552="S",VTOTAL1,IF($A552=0,0,ROUND(SomaAgrup,15-13*$X$7)))</f>
        <v>0</v>
      </c>
      <c r="U552" s="9" t="str">
        <f t="shared" ca="1" si="67"/>
        <v>SEM VALOR</v>
      </c>
      <c r="V552" s="1">
        <f ca="1">IF(OR($A552=0,$A552="S",$A552&gt;CFF!$A$9),"",MAX(V$12:OFFSET(V552,-1,0))+1)</f>
        <v>84</v>
      </c>
      <c r="W552" s="4" t="b">
        <f t="shared" si="68"/>
        <v>0</v>
      </c>
      <c r="X552" s="1" t="str">
        <f ca="1">IF(AND(Fonte&lt;&gt;"",Código&lt;&gt;""),MATCH(Fonte&amp;" "&amp;IF(Fonte="sinapi",SUBSTITUTE(SUBSTITUTE(Código,"/00","/"),"/0","/"),Código),INDIRECT("'[Referência "&amp;_xlnm.Database&amp;".xls]Banco'!$a:$a"),0),"X")</f>
        <v>X</v>
      </c>
      <c r="Y552" s="103">
        <v>0</v>
      </c>
      <c r="Z552" s="113">
        <f ca="1">ROUND(IF(ISNUMBER(R552),R552,IF(LEFT(R552,3)="BDI",HLOOKUP(R552,DADOS!$T$37:$X$38,2,FALSE),0)),15-11*$X$5)</f>
        <v>0.25</v>
      </c>
      <c r="AA552" s="1"/>
    </row>
    <row r="553" spans="1:27" ht="26.4" x14ac:dyDescent="0.25">
      <c r="A553" t="str">
        <f t="shared" si="59"/>
        <v>S</v>
      </c>
      <c r="B553">
        <f t="shared" si="60"/>
        <v>0</v>
      </c>
      <c r="C553">
        <f t="shared" ca="1" si="61"/>
        <v>24</v>
      </c>
      <c r="D553">
        <f t="shared" ca="1" si="62"/>
        <v>2</v>
      </c>
      <c r="E553">
        <f t="shared" ca="1" si="63"/>
        <v>0</v>
      </c>
      <c r="F553">
        <f t="shared" ca="1" si="64"/>
        <v>0</v>
      </c>
      <c r="G553">
        <f t="shared" ca="1" si="65"/>
        <v>1</v>
      </c>
      <c r="H553">
        <f t="shared" ca="1" si="57"/>
        <v>0</v>
      </c>
      <c r="I553">
        <f t="shared" ca="1" si="58"/>
        <v>0</v>
      </c>
      <c r="J553" s="356" t="s">
        <v>103</v>
      </c>
      <c r="K553" s="138" t="str">
        <f t="shared" ca="1" si="66"/>
        <v>24.2.0.1.</v>
      </c>
      <c r="L553" s="357" t="s">
        <v>233</v>
      </c>
      <c r="M553" s="357" t="s">
        <v>883</v>
      </c>
      <c r="N553" s="358" t="s">
        <v>884</v>
      </c>
      <c r="O553" s="359" t="s">
        <v>660</v>
      </c>
      <c r="P553" s="360">
        <v>1539</v>
      </c>
      <c r="Q553" s="195"/>
      <c r="R553" s="198" t="s">
        <v>7</v>
      </c>
      <c r="S553" s="103">
        <f>IF($A553="S",IF($Q$10="Preço Unitário (R$)",PO.CustoUnitario,ROUND(PO.CustoUnitario*(1+$Z553),15-13*$X$6)),0)</f>
        <v>0</v>
      </c>
      <c r="T553" s="83">
        <f>IF($A553="S",VTOTAL1,IF($A553=0,0,ROUND(SomaAgrup,15-13*$X$7)))</f>
        <v>0</v>
      </c>
      <c r="U553" s="9" t="str">
        <f t="shared" si="67"/>
        <v>SEM VALOR</v>
      </c>
      <c r="V553" s="1" t="str">
        <f ca="1">IF(OR($A553=0,$A553="S",$A553&gt;CFF!$A$9),"",MAX(V$12:OFFSET(V553,-1,0))+1)</f>
        <v/>
      </c>
      <c r="W553" s="4" t="str">
        <f t="shared" si="68"/>
        <v>SINAPI-102354</v>
      </c>
      <c r="X553" s="1">
        <f ca="1">IF(AND(Fonte&lt;&gt;"",Código&lt;&gt;""),MATCH(Fonte&amp;" "&amp;IF(Fonte="sinapi",SUBSTITUTE(SUBSTITUTE(Código,"/00","/"),"/0","/"),Código),INDIRECT("'[Referência "&amp;_xlnm.Database&amp;".xls]Banco'!$a:$a"),0),"X")</f>
        <v>5785</v>
      </c>
      <c r="Y553" s="103">
        <v>223.11</v>
      </c>
      <c r="Z553" s="113">
        <f ca="1">ROUND(IF(ISNUMBER(R553),R553,IF(LEFT(R553,3)="BDI",HLOOKUP(R553,DADOS!$T$37:$X$38,2,FALSE),0)),15-11*$X$5)</f>
        <v>0.25</v>
      </c>
      <c r="AA553" s="1"/>
    </row>
    <row r="554" spans="1:27" ht="26.4" x14ac:dyDescent="0.25">
      <c r="A554" t="str">
        <f t="shared" si="59"/>
        <v>S</v>
      </c>
      <c r="B554">
        <f t="shared" si="60"/>
        <v>0</v>
      </c>
      <c r="C554">
        <f t="shared" ca="1" si="61"/>
        <v>24</v>
      </c>
      <c r="D554">
        <f t="shared" ca="1" si="62"/>
        <v>2</v>
      </c>
      <c r="E554">
        <f t="shared" ca="1" si="63"/>
        <v>0</v>
      </c>
      <c r="F554">
        <f t="shared" ca="1" si="64"/>
        <v>0</v>
      </c>
      <c r="G554">
        <f t="shared" ca="1" si="65"/>
        <v>2</v>
      </c>
      <c r="H554">
        <f t="shared" ca="1" si="57"/>
        <v>0</v>
      </c>
      <c r="I554">
        <f t="shared" ca="1" si="58"/>
        <v>0</v>
      </c>
      <c r="J554" s="356" t="s">
        <v>103</v>
      </c>
      <c r="K554" s="138" t="str">
        <f t="shared" ca="1" si="66"/>
        <v>24.2.0.2.</v>
      </c>
      <c r="L554" s="357" t="s">
        <v>233</v>
      </c>
      <c r="M554" s="357" t="s">
        <v>885</v>
      </c>
      <c r="N554" s="358" t="s">
        <v>886</v>
      </c>
      <c r="O554" s="359" t="s">
        <v>660</v>
      </c>
      <c r="P554" s="360">
        <v>1539</v>
      </c>
      <c r="Q554" s="195"/>
      <c r="R554" s="198" t="s">
        <v>7</v>
      </c>
      <c r="S554" s="103">
        <f>IF($A554="S",IF($Q$10="Preço Unitário (R$)",PO.CustoUnitario,ROUND(PO.CustoUnitario*(1+$Z554),15-13*$X$6)),0)</f>
        <v>0</v>
      </c>
      <c r="T554" s="83">
        <f>IF($A554="S",VTOTAL1,IF($A554=0,0,ROUND(SomaAgrup,15-13*$X$7)))</f>
        <v>0</v>
      </c>
      <c r="U554" s="9" t="str">
        <f t="shared" si="67"/>
        <v>SEM VALOR</v>
      </c>
      <c r="V554" s="1" t="str">
        <f ca="1">IF(OR($A554=0,$A554="S",$A554&gt;CFF!$A$9),"",MAX(V$12:OFFSET(V554,-1,0))+1)</f>
        <v/>
      </c>
      <c r="W554" s="4" t="str">
        <f t="shared" si="68"/>
        <v>SINAPI-102360</v>
      </c>
      <c r="X554" s="1">
        <f ca="1">IF(AND(Fonte&lt;&gt;"",Código&lt;&gt;""),MATCH(Fonte&amp;" "&amp;IF(Fonte="sinapi",SUBSTITUTE(SUBSTITUTE(Código,"/00","/"),"/0","/"),Código),INDIRECT("'[Referência "&amp;_xlnm.Database&amp;".xls]Banco'!$a:$a"),0),"X")</f>
        <v>5787</v>
      </c>
      <c r="Y554" s="103">
        <v>34.25</v>
      </c>
      <c r="Z554" s="113">
        <f ca="1">ROUND(IF(ISNUMBER(R554),R554,IF(LEFT(R554,3)="BDI",HLOOKUP(R554,DADOS!$T$37:$X$38,2,FALSE),0)),15-11*$X$5)</f>
        <v>0.25</v>
      </c>
      <c r="AA554" s="1"/>
    </row>
    <row r="555" spans="1:27" x14ac:dyDescent="0.25">
      <c r="A555">
        <f t="shared" si="59"/>
        <v>2</v>
      </c>
      <c r="B555">
        <f t="shared" ca="1" si="60"/>
        <v>16</v>
      </c>
      <c r="C555">
        <f t="shared" ca="1" si="61"/>
        <v>24</v>
      </c>
      <c r="D555">
        <f t="shared" ca="1" si="62"/>
        <v>3</v>
      </c>
      <c r="E555">
        <f t="shared" ca="1" si="63"/>
        <v>0</v>
      </c>
      <c r="F555">
        <f t="shared" ca="1" si="64"/>
        <v>0</v>
      </c>
      <c r="G555">
        <f t="shared" ca="1" si="65"/>
        <v>0</v>
      </c>
      <c r="H555">
        <f t="shared" ca="1" si="57"/>
        <v>45</v>
      </c>
      <c r="I555">
        <f t="shared" ca="1" si="58"/>
        <v>16</v>
      </c>
      <c r="J555" s="356" t="s">
        <v>100</v>
      </c>
      <c r="K555" s="138" t="str">
        <f t="shared" ca="1" si="66"/>
        <v>24.3.</v>
      </c>
      <c r="L555" s="357"/>
      <c r="M555" s="357"/>
      <c r="N555" s="358" t="s">
        <v>253</v>
      </c>
      <c r="O555" s="359" t="s">
        <v>106</v>
      </c>
      <c r="P555" s="360"/>
      <c r="Q555" s="195"/>
      <c r="R555" s="198" t="s">
        <v>7</v>
      </c>
      <c r="S555" s="103">
        <f>IF($A555="S",IF($Q$10="Preço Unitário (R$)",PO.CustoUnitario,ROUND(PO.CustoUnitario*(1+$Z555),15-13*$X$6)),0)</f>
        <v>0</v>
      </c>
      <c r="T555" s="83">
        <f ca="1">IF($A555="S",VTOTAL1,IF($A555=0,0,ROUND(SomaAgrup,15-13*$X$7)))</f>
        <v>0</v>
      </c>
      <c r="U555" s="9" t="str">
        <f t="shared" ca="1" si="67"/>
        <v>SEM VALOR</v>
      </c>
      <c r="V555" s="1">
        <f ca="1">IF(OR($A555=0,$A555="S",$A555&gt;CFF!$A$9),"",MAX(V$12:OFFSET(V555,-1,0))+1)</f>
        <v>85</v>
      </c>
      <c r="W555" s="4" t="b">
        <f t="shared" si="68"/>
        <v>0</v>
      </c>
      <c r="X555" s="1" t="str">
        <f ca="1">IF(AND(Fonte&lt;&gt;"",Código&lt;&gt;""),MATCH(Fonte&amp;" "&amp;IF(Fonte="sinapi",SUBSTITUTE(SUBSTITUTE(Código,"/00","/"),"/0","/"),Código),INDIRECT("'[Referência "&amp;_xlnm.Database&amp;".xls]Banco'!$a:$a"),0),"X")</f>
        <v>X</v>
      </c>
      <c r="Y555" s="103">
        <v>0</v>
      </c>
      <c r="Z555" s="113">
        <f ca="1">ROUND(IF(ISNUMBER(R555),R555,IF(LEFT(R555,3)="BDI",HLOOKUP(R555,DADOS!$T$37:$X$38,2,FALSE),0)),15-11*$X$5)</f>
        <v>0.25</v>
      </c>
      <c r="AA555" s="1"/>
    </row>
    <row r="556" spans="1:27" x14ac:dyDescent="0.25">
      <c r="A556">
        <f t="shared" si="59"/>
        <v>3</v>
      </c>
      <c r="B556">
        <f t="shared" ca="1" si="60"/>
        <v>8</v>
      </c>
      <c r="C556">
        <f t="shared" ca="1" si="61"/>
        <v>24</v>
      </c>
      <c r="D556">
        <f t="shared" ca="1" si="62"/>
        <v>3</v>
      </c>
      <c r="E556">
        <f t="shared" ca="1" si="63"/>
        <v>1</v>
      </c>
      <c r="F556">
        <f t="shared" ca="1" si="64"/>
        <v>0</v>
      </c>
      <c r="G556">
        <f t="shared" ca="1" si="65"/>
        <v>0</v>
      </c>
      <c r="H556">
        <f t="shared" ca="1" si="57"/>
        <v>15</v>
      </c>
      <c r="I556">
        <f t="shared" ca="1" si="58"/>
        <v>8</v>
      </c>
      <c r="J556" s="356" t="s">
        <v>101</v>
      </c>
      <c r="K556" s="138" t="str">
        <f t="shared" ca="1" si="66"/>
        <v>24.3.1.</v>
      </c>
      <c r="L556" s="357"/>
      <c r="M556" s="357"/>
      <c r="N556" s="358" t="s">
        <v>887</v>
      </c>
      <c r="O556" s="359" t="s">
        <v>106</v>
      </c>
      <c r="P556" s="360"/>
      <c r="Q556" s="195"/>
      <c r="R556" s="198" t="s">
        <v>7</v>
      </c>
      <c r="S556" s="103">
        <f>IF($A556="S",IF($Q$10="Preço Unitário (R$)",PO.CustoUnitario,ROUND(PO.CustoUnitario*(1+$Z556),15-13*$X$6)),0)</f>
        <v>0</v>
      </c>
      <c r="T556" s="83">
        <f ca="1">IF($A556="S",VTOTAL1,IF($A556=0,0,ROUND(SomaAgrup,15-13*$X$7)))</f>
        <v>0</v>
      </c>
      <c r="U556" s="9" t="str">
        <f t="shared" ca="1" si="67"/>
        <v>SEM VALOR</v>
      </c>
      <c r="V556" s="1" t="str">
        <f ca="1">IF(OR($A556=0,$A556="S",$A556&gt;CFF!$A$9),"",MAX(V$12:OFFSET(V556,-1,0))+1)</f>
        <v/>
      </c>
      <c r="W556" s="4" t="b">
        <f t="shared" si="68"/>
        <v>0</v>
      </c>
      <c r="X556" s="1" t="str">
        <f ca="1">IF(AND(Fonte&lt;&gt;"",Código&lt;&gt;""),MATCH(Fonte&amp;" "&amp;IF(Fonte="sinapi",SUBSTITUTE(SUBSTITUTE(Código,"/00","/"),"/0","/"),Código),INDIRECT("'[Referência "&amp;_xlnm.Database&amp;".xls]Banco'!$a:$a"),0),"X")</f>
        <v>X</v>
      </c>
      <c r="Y556" s="103">
        <v>0</v>
      </c>
      <c r="Z556" s="113">
        <f ca="1">ROUND(IF(ISNUMBER(R556),R556,IF(LEFT(R556,3)="BDI",HLOOKUP(R556,DADOS!$T$37:$X$38,2,FALSE),0)),15-11*$X$5)</f>
        <v>0.25</v>
      </c>
      <c r="AA556" s="1"/>
    </row>
    <row r="557" spans="1:27" ht="26.4" x14ac:dyDescent="0.25">
      <c r="A557" t="str">
        <f t="shared" si="59"/>
        <v>S</v>
      </c>
      <c r="B557">
        <f t="shared" si="60"/>
        <v>0</v>
      </c>
      <c r="C557">
        <f t="shared" ca="1" si="61"/>
        <v>24</v>
      </c>
      <c r="D557">
        <f t="shared" ca="1" si="62"/>
        <v>3</v>
      </c>
      <c r="E557">
        <f t="shared" ca="1" si="63"/>
        <v>1</v>
      </c>
      <c r="F557">
        <f t="shared" ca="1" si="64"/>
        <v>0</v>
      </c>
      <c r="G557">
        <f t="shared" ca="1" si="65"/>
        <v>1</v>
      </c>
      <c r="H557">
        <f t="shared" ca="1" si="57"/>
        <v>0</v>
      </c>
      <c r="I557">
        <f t="shared" ca="1" si="58"/>
        <v>0</v>
      </c>
      <c r="J557" s="356" t="s">
        <v>103</v>
      </c>
      <c r="K557" s="138" t="str">
        <f t="shared" ca="1" si="66"/>
        <v>24.3.1.1.</v>
      </c>
      <c r="L557" s="357" t="s">
        <v>233</v>
      </c>
      <c r="M557" s="357" t="s">
        <v>254</v>
      </c>
      <c r="N557" s="358" t="s">
        <v>888</v>
      </c>
      <c r="O557" s="359" t="s">
        <v>635</v>
      </c>
      <c r="P557" s="360">
        <v>19.34</v>
      </c>
      <c r="Q557" s="195"/>
      <c r="R557" s="198" t="s">
        <v>7</v>
      </c>
      <c r="S557" s="103">
        <f>IF($A557="S",IF($Q$10="Preço Unitário (R$)",PO.CustoUnitario,ROUND(PO.CustoUnitario*(1+$Z557),15-13*$X$6)),0)</f>
        <v>0</v>
      </c>
      <c r="T557" s="83">
        <f>IF($A557="S",VTOTAL1,IF($A557=0,0,ROUND(SomaAgrup,15-13*$X$7)))</f>
        <v>0</v>
      </c>
      <c r="U557" s="9" t="str">
        <f t="shared" si="67"/>
        <v>SEM VALOR</v>
      </c>
      <c r="V557" s="1" t="str">
        <f ca="1">IF(OR($A557=0,$A557="S",$A557&gt;CFF!$A$9),"",MAX(V$12:OFFSET(V557,-1,0))+1)</f>
        <v/>
      </c>
      <c r="W557" s="4" t="str">
        <f t="shared" si="68"/>
        <v>SINAPI-96619</v>
      </c>
      <c r="X557" s="1">
        <f ca="1">IF(AND(Fonte&lt;&gt;"",Código&lt;&gt;""),MATCH(Fonte&amp;" "&amp;IF(Fonte="sinapi",SUBSTITUTE(SUBSTITUTE(Código,"/00","/"),"/0","/"),Código),INDIRECT("'[Referência "&amp;_xlnm.Database&amp;".xls]Banco'!$a:$a"),0),"X")</f>
        <v>2324</v>
      </c>
      <c r="Y557" s="103">
        <v>48.75</v>
      </c>
      <c r="Z557" s="113">
        <f ca="1">ROUND(IF(ISNUMBER(R557),R557,IF(LEFT(R557,3)="BDI",HLOOKUP(R557,DADOS!$T$37:$X$38,2,FALSE),0)),15-11*$X$5)</f>
        <v>0.25</v>
      </c>
      <c r="AA557" s="1"/>
    </row>
    <row r="558" spans="1:27" ht="26.4" x14ac:dyDescent="0.25">
      <c r="A558" t="str">
        <f t="shared" si="59"/>
        <v>S</v>
      </c>
      <c r="B558">
        <f t="shared" si="60"/>
        <v>0</v>
      </c>
      <c r="C558">
        <f t="shared" ca="1" si="61"/>
        <v>24</v>
      </c>
      <c r="D558">
        <f t="shared" ca="1" si="62"/>
        <v>3</v>
      </c>
      <c r="E558">
        <f t="shared" ca="1" si="63"/>
        <v>1</v>
      </c>
      <c r="F558">
        <f t="shared" ca="1" si="64"/>
        <v>0</v>
      </c>
      <c r="G558">
        <f t="shared" ca="1" si="65"/>
        <v>2</v>
      </c>
      <c r="H558">
        <f t="shared" ca="1" si="57"/>
        <v>0</v>
      </c>
      <c r="I558">
        <f t="shared" ca="1" si="58"/>
        <v>0</v>
      </c>
      <c r="J558" s="356" t="s">
        <v>103</v>
      </c>
      <c r="K558" s="138" t="str">
        <f t="shared" ca="1" si="66"/>
        <v>24.3.1.2.</v>
      </c>
      <c r="L558" s="357" t="s">
        <v>233</v>
      </c>
      <c r="M558" s="357" t="s">
        <v>889</v>
      </c>
      <c r="N558" s="358" t="s">
        <v>890</v>
      </c>
      <c r="O558" s="359" t="s">
        <v>635</v>
      </c>
      <c r="P558" s="360">
        <v>54.37</v>
      </c>
      <c r="Q558" s="195"/>
      <c r="R558" s="198" t="s">
        <v>7</v>
      </c>
      <c r="S558" s="103">
        <f>IF($A558="S",IF($Q$10="Preço Unitário (R$)",PO.CustoUnitario,ROUND(PO.CustoUnitario*(1+$Z558),15-13*$X$6)),0)</f>
        <v>0</v>
      </c>
      <c r="T558" s="83">
        <f>IF($A558="S",VTOTAL1,IF($A558=0,0,ROUND(SomaAgrup,15-13*$X$7)))</f>
        <v>0</v>
      </c>
      <c r="U558" s="9" t="str">
        <f t="shared" si="67"/>
        <v>SEM VALOR</v>
      </c>
      <c r="V558" s="1" t="str">
        <f ca="1">IF(OR($A558=0,$A558="S",$A558&gt;CFF!$A$9),"",MAX(V$12:OFFSET(V558,-1,0))+1)</f>
        <v/>
      </c>
      <c r="W558" s="4" t="str">
        <f t="shared" si="68"/>
        <v>SINAPI-96535</v>
      </c>
      <c r="X558" s="1">
        <f ca="1">IF(AND(Fonte&lt;&gt;"",Código&lt;&gt;""),MATCH(Fonte&amp;" "&amp;IF(Fonte="sinapi",SUBSTITUTE(SUBSTITUTE(Código,"/00","/"),"/0","/"),Código),INDIRECT("'[Referência "&amp;_xlnm.Database&amp;".xls]Banco'!$a:$a"),0),"X")</f>
        <v>2460</v>
      </c>
      <c r="Y558" s="103">
        <v>158.84</v>
      </c>
      <c r="Z558" s="113">
        <f ca="1">ROUND(IF(ISNUMBER(R558),R558,IF(LEFT(R558,3)="BDI",HLOOKUP(R558,DADOS!$T$37:$X$38,2,FALSE),0)),15-11*$X$5)</f>
        <v>0.25</v>
      </c>
      <c r="AA558" s="1"/>
    </row>
    <row r="559" spans="1:27" ht="26.4" x14ac:dyDescent="0.25">
      <c r="A559" t="str">
        <f t="shared" si="59"/>
        <v>S</v>
      </c>
      <c r="B559">
        <f t="shared" si="60"/>
        <v>0</v>
      </c>
      <c r="C559">
        <f t="shared" ca="1" si="61"/>
        <v>24</v>
      </c>
      <c r="D559">
        <f t="shared" ca="1" si="62"/>
        <v>3</v>
      </c>
      <c r="E559">
        <f t="shared" ca="1" si="63"/>
        <v>1</v>
      </c>
      <c r="F559">
        <f t="shared" ca="1" si="64"/>
        <v>0</v>
      </c>
      <c r="G559">
        <f t="shared" ca="1" si="65"/>
        <v>3</v>
      </c>
      <c r="H559">
        <f t="shared" ca="1" si="57"/>
        <v>0</v>
      </c>
      <c r="I559">
        <f t="shared" ca="1" si="58"/>
        <v>0</v>
      </c>
      <c r="J559" s="356" t="s">
        <v>103</v>
      </c>
      <c r="K559" s="138" t="str">
        <f t="shared" ca="1" si="66"/>
        <v>24.3.1.3.</v>
      </c>
      <c r="L559" s="357" t="s">
        <v>233</v>
      </c>
      <c r="M559" s="357" t="s">
        <v>256</v>
      </c>
      <c r="N559" s="358" t="s">
        <v>891</v>
      </c>
      <c r="O559" s="359" t="s">
        <v>892</v>
      </c>
      <c r="P559" s="360">
        <v>84.2</v>
      </c>
      <c r="Q559" s="195"/>
      <c r="R559" s="198" t="s">
        <v>7</v>
      </c>
      <c r="S559" s="103">
        <f>IF($A559="S",IF($Q$10="Preço Unitário (R$)",PO.CustoUnitario,ROUND(PO.CustoUnitario*(1+$Z559),15-13*$X$6)),0)</f>
        <v>0</v>
      </c>
      <c r="T559" s="83">
        <f>IF($A559="S",VTOTAL1,IF($A559=0,0,ROUND(SomaAgrup,15-13*$X$7)))</f>
        <v>0</v>
      </c>
      <c r="U559" s="9" t="str">
        <f t="shared" si="67"/>
        <v>SEM VALOR</v>
      </c>
      <c r="V559" s="1" t="str">
        <f ca="1">IF(OR($A559=0,$A559="S",$A559&gt;CFF!$A$9),"",MAX(V$12:OFFSET(V559,-1,0))+1)</f>
        <v/>
      </c>
      <c r="W559" s="4" t="str">
        <f t="shared" si="68"/>
        <v>SINAPI-104918</v>
      </c>
      <c r="X559" s="1">
        <f ca="1">IF(AND(Fonte&lt;&gt;"",Código&lt;&gt;""),MATCH(Fonte&amp;" "&amp;IF(Fonte="sinapi",SUBSTITUTE(SUBSTITUTE(Código,"/00","/"),"/0","/"),Código),INDIRECT("'[Referência "&amp;_xlnm.Database&amp;".xls]Banco'!$a:$a"),0),"X")</f>
        <v>2674</v>
      </c>
      <c r="Y559" s="103">
        <v>17.760000000000002</v>
      </c>
      <c r="Z559" s="113">
        <f ca="1">ROUND(IF(ISNUMBER(R559),R559,IF(LEFT(R559,3)="BDI",HLOOKUP(R559,DADOS!$T$37:$X$38,2,FALSE),0)),15-11*$X$5)</f>
        <v>0.25</v>
      </c>
      <c r="AA559" s="1"/>
    </row>
    <row r="560" spans="1:27" ht="26.4" x14ac:dyDescent="0.25">
      <c r="A560" t="str">
        <f t="shared" si="59"/>
        <v>S</v>
      </c>
      <c r="B560">
        <f t="shared" si="60"/>
        <v>0</v>
      </c>
      <c r="C560">
        <f t="shared" ca="1" si="61"/>
        <v>24</v>
      </c>
      <c r="D560">
        <f t="shared" ca="1" si="62"/>
        <v>3</v>
      </c>
      <c r="E560">
        <f t="shared" ca="1" si="63"/>
        <v>1</v>
      </c>
      <c r="F560">
        <f t="shared" ca="1" si="64"/>
        <v>0</v>
      </c>
      <c r="G560">
        <f t="shared" ca="1" si="65"/>
        <v>4</v>
      </c>
      <c r="H560">
        <f t="shared" ca="1" si="57"/>
        <v>0</v>
      </c>
      <c r="I560">
        <f t="shared" ca="1" si="58"/>
        <v>0</v>
      </c>
      <c r="J560" s="356" t="s">
        <v>103</v>
      </c>
      <c r="K560" s="138" t="str">
        <f t="shared" ca="1" si="66"/>
        <v>24.3.1.4.</v>
      </c>
      <c r="L560" s="357" t="s">
        <v>233</v>
      </c>
      <c r="M560" s="357" t="s">
        <v>257</v>
      </c>
      <c r="N560" s="358" t="s">
        <v>893</v>
      </c>
      <c r="O560" s="359" t="s">
        <v>892</v>
      </c>
      <c r="P560" s="360">
        <v>116.61</v>
      </c>
      <c r="Q560" s="195"/>
      <c r="R560" s="198" t="s">
        <v>7</v>
      </c>
      <c r="S560" s="103">
        <f>IF($A560="S",IF($Q$10="Preço Unitário (R$)",PO.CustoUnitario,ROUND(PO.CustoUnitario*(1+$Z560),15-13*$X$6)),0)</f>
        <v>0</v>
      </c>
      <c r="T560" s="83">
        <f>IF($A560="S",VTOTAL1,IF($A560=0,0,ROUND(SomaAgrup,15-13*$X$7)))</f>
        <v>0</v>
      </c>
      <c r="U560" s="9" t="str">
        <f t="shared" si="67"/>
        <v>SEM VALOR</v>
      </c>
      <c r="V560" s="1" t="str">
        <f ca="1">IF(OR($A560=0,$A560="S",$A560&gt;CFF!$A$9),"",MAX(V$12:OFFSET(V560,-1,0))+1)</f>
        <v/>
      </c>
      <c r="W560" s="4" t="str">
        <f t="shared" si="68"/>
        <v>SINAPI-104919</v>
      </c>
      <c r="X560" s="1">
        <f ca="1">IF(AND(Fonte&lt;&gt;"",Código&lt;&gt;""),MATCH(Fonte&amp;" "&amp;IF(Fonte="sinapi",SUBSTITUTE(SUBSTITUTE(Código,"/00","/"),"/0","/"),Código),INDIRECT("'[Referência "&amp;_xlnm.Database&amp;".xls]Banco'!$a:$a"),0),"X")</f>
        <v>2675</v>
      </c>
      <c r="Y560" s="103">
        <v>15.83</v>
      </c>
      <c r="Z560" s="113">
        <f ca="1">ROUND(IF(ISNUMBER(R560),R560,IF(LEFT(R560,3)="BDI",HLOOKUP(R560,DADOS!$T$37:$X$38,2,FALSE),0)),15-11*$X$5)</f>
        <v>0.25</v>
      </c>
      <c r="AA560" s="1"/>
    </row>
    <row r="561" spans="1:27" ht="26.4" x14ac:dyDescent="0.25">
      <c r="A561" t="str">
        <f t="shared" si="59"/>
        <v>S</v>
      </c>
      <c r="B561">
        <f t="shared" si="60"/>
        <v>0</v>
      </c>
      <c r="C561">
        <f t="shared" ca="1" si="61"/>
        <v>24</v>
      </c>
      <c r="D561">
        <f t="shared" ca="1" si="62"/>
        <v>3</v>
      </c>
      <c r="E561">
        <f t="shared" ca="1" si="63"/>
        <v>1</v>
      </c>
      <c r="F561">
        <f t="shared" ca="1" si="64"/>
        <v>0</v>
      </c>
      <c r="G561">
        <f t="shared" ca="1" si="65"/>
        <v>5</v>
      </c>
      <c r="H561">
        <f t="shared" ca="1" si="57"/>
        <v>0</v>
      </c>
      <c r="I561">
        <f t="shared" ca="1" si="58"/>
        <v>0</v>
      </c>
      <c r="J561" s="356" t="s">
        <v>103</v>
      </c>
      <c r="K561" s="138" t="str">
        <f t="shared" ca="1" si="66"/>
        <v>24.3.1.5.</v>
      </c>
      <c r="L561" s="357" t="s">
        <v>233</v>
      </c>
      <c r="M561" s="357" t="s">
        <v>258</v>
      </c>
      <c r="N561" s="358" t="s">
        <v>894</v>
      </c>
      <c r="O561" s="359" t="s">
        <v>892</v>
      </c>
      <c r="P561" s="360">
        <v>83.78</v>
      </c>
      <c r="Q561" s="195"/>
      <c r="R561" s="198" t="s">
        <v>7</v>
      </c>
      <c r="S561" s="103">
        <f>IF($A561="S",IF($Q$10="Preço Unitário (R$)",PO.CustoUnitario,ROUND(PO.CustoUnitario*(1+$Z561),15-13*$X$6)),0)</f>
        <v>0</v>
      </c>
      <c r="T561" s="83">
        <f>IF($A561="S",VTOTAL1,IF($A561=0,0,ROUND(SomaAgrup,15-13*$X$7)))</f>
        <v>0</v>
      </c>
      <c r="U561" s="9" t="str">
        <f t="shared" si="67"/>
        <v>SEM VALOR</v>
      </c>
      <c r="V561" s="1" t="str">
        <f ca="1">IF(OR($A561=0,$A561="S",$A561&gt;CFF!$A$9),"",MAX(V$12:OFFSET(V561,-1,0))+1)</f>
        <v/>
      </c>
      <c r="W561" s="4" t="str">
        <f t="shared" si="68"/>
        <v>SINAPI-104920</v>
      </c>
      <c r="X561" s="1">
        <f ca="1">IF(AND(Fonte&lt;&gt;"",Código&lt;&gt;""),MATCH(Fonte&amp;" "&amp;IF(Fonte="sinapi",SUBSTITUTE(SUBSTITUTE(Código,"/00","/"),"/0","/"),Código),INDIRECT("'[Referência "&amp;_xlnm.Database&amp;".xls]Banco'!$a:$a"),0),"X")</f>
        <v>2676</v>
      </c>
      <c r="Y561" s="103">
        <v>13.4</v>
      </c>
      <c r="Z561" s="113">
        <f ca="1">ROUND(IF(ISNUMBER(R561),R561,IF(LEFT(R561,3)="BDI",HLOOKUP(R561,DADOS!$T$37:$X$38,2,FALSE),0)),15-11*$X$5)</f>
        <v>0.25</v>
      </c>
      <c r="AA561" s="1"/>
    </row>
    <row r="562" spans="1:27" ht="26.4" x14ac:dyDescent="0.25">
      <c r="A562" t="str">
        <f t="shared" si="59"/>
        <v>S</v>
      </c>
      <c r="B562">
        <f t="shared" si="60"/>
        <v>0</v>
      </c>
      <c r="C562">
        <f t="shared" ca="1" si="61"/>
        <v>24</v>
      </c>
      <c r="D562">
        <f t="shared" ca="1" si="62"/>
        <v>3</v>
      </c>
      <c r="E562">
        <f t="shared" ca="1" si="63"/>
        <v>1</v>
      </c>
      <c r="F562">
        <f t="shared" ca="1" si="64"/>
        <v>0</v>
      </c>
      <c r="G562">
        <f t="shared" ca="1" si="65"/>
        <v>6</v>
      </c>
      <c r="H562">
        <f t="shared" ca="1" si="57"/>
        <v>0</v>
      </c>
      <c r="I562">
        <f t="shared" ca="1" si="58"/>
        <v>0</v>
      </c>
      <c r="J562" s="356" t="s">
        <v>103</v>
      </c>
      <c r="K562" s="138" t="str">
        <f t="shared" ca="1" si="66"/>
        <v>24.3.1.6.</v>
      </c>
      <c r="L562" s="357" t="s">
        <v>233</v>
      </c>
      <c r="M562" s="357" t="s">
        <v>255</v>
      </c>
      <c r="N562" s="358" t="s">
        <v>895</v>
      </c>
      <c r="O562" s="359" t="s">
        <v>892</v>
      </c>
      <c r="P562" s="360">
        <v>23.27</v>
      </c>
      <c r="Q562" s="195"/>
      <c r="R562" s="198" t="s">
        <v>7</v>
      </c>
      <c r="S562" s="103">
        <f>IF($A562="S",IF($Q$10="Preço Unitário (R$)",PO.CustoUnitario,ROUND(PO.CustoUnitario*(1+$Z562),15-13*$X$6)),0)</f>
        <v>0</v>
      </c>
      <c r="T562" s="83">
        <f>IF($A562="S",VTOTAL1,IF($A562=0,0,ROUND(SomaAgrup,15-13*$X$7)))</f>
        <v>0</v>
      </c>
      <c r="U562" s="9" t="str">
        <f t="shared" si="67"/>
        <v>SEM VALOR</v>
      </c>
      <c r="V562" s="1" t="str">
        <f ca="1">IF(OR($A562=0,$A562="S",$A562&gt;CFF!$A$9),"",MAX(V$12:OFFSET(V562,-1,0))+1)</f>
        <v/>
      </c>
      <c r="W562" s="4" t="str">
        <f t="shared" si="68"/>
        <v>SINAPI-104917</v>
      </c>
      <c r="X562" s="1">
        <f ca="1">IF(AND(Fonte&lt;&gt;"",Código&lt;&gt;""),MATCH(Fonte&amp;" "&amp;IF(Fonte="sinapi",SUBSTITUTE(SUBSTITUTE(Código,"/00","/"),"/0","/"),Código),INDIRECT("'[Referência "&amp;_xlnm.Database&amp;".xls]Banco'!$a:$a"),0),"X")</f>
        <v>2673</v>
      </c>
      <c r="Y562" s="103">
        <v>19.16</v>
      </c>
      <c r="Z562" s="113">
        <f ca="1">ROUND(IF(ISNUMBER(R562),R562,IF(LEFT(R562,3)="BDI",HLOOKUP(R562,DADOS!$T$37:$X$38,2,FALSE),0)),15-11*$X$5)</f>
        <v>0.25</v>
      </c>
      <c r="AA562" s="1"/>
    </row>
    <row r="563" spans="1:27" ht="26.4" x14ac:dyDescent="0.25">
      <c r="A563" t="str">
        <f t="shared" si="59"/>
        <v>S</v>
      </c>
      <c r="B563">
        <f t="shared" si="60"/>
        <v>0</v>
      </c>
      <c r="C563">
        <f t="shared" ca="1" si="61"/>
        <v>24</v>
      </c>
      <c r="D563">
        <f t="shared" ca="1" si="62"/>
        <v>3</v>
      </c>
      <c r="E563">
        <f t="shared" ca="1" si="63"/>
        <v>1</v>
      </c>
      <c r="F563">
        <f t="shared" ca="1" si="64"/>
        <v>0</v>
      </c>
      <c r="G563">
        <f t="shared" ca="1" si="65"/>
        <v>7</v>
      </c>
      <c r="H563">
        <f t="shared" ca="1" si="57"/>
        <v>0</v>
      </c>
      <c r="I563">
        <f t="shared" ca="1" si="58"/>
        <v>0</v>
      </c>
      <c r="J563" s="356" t="s">
        <v>103</v>
      </c>
      <c r="K563" s="138" t="str">
        <f t="shared" ca="1" si="66"/>
        <v>24.3.1.7.</v>
      </c>
      <c r="L563" s="357" t="s">
        <v>233</v>
      </c>
      <c r="M563" s="357" t="s">
        <v>259</v>
      </c>
      <c r="N563" s="358" t="s">
        <v>896</v>
      </c>
      <c r="O563" s="359" t="s">
        <v>660</v>
      </c>
      <c r="P563" s="360">
        <v>6.69</v>
      </c>
      <c r="Q563" s="195"/>
      <c r="R563" s="198" t="s">
        <v>7</v>
      </c>
      <c r="S563" s="103">
        <f>IF($A563="S",IF($Q$10="Preço Unitário (R$)",PO.CustoUnitario,ROUND(PO.CustoUnitario*(1+$Z563),15-13*$X$6)),0)</f>
        <v>0</v>
      </c>
      <c r="T563" s="83">
        <f>IF($A563="S",VTOTAL1,IF($A563=0,0,ROUND(SomaAgrup,15-13*$X$7)))</f>
        <v>0</v>
      </c>
      <c r="U563" s="9" t="str">
        <f t="shared" si="67"/>
        <v>SEM VALOR</v>
      </c>
      <c r="V563" s="1" t="str">
        <f ca="1">IF(OR($A563=0,$A563="S",$A563&gt;CFF!$A$9),"",MAX(V$12:OFFSET(V563,-1,0))+1)</f>
        <v/>
      </c>
      <c r="W563" s="4" t="str">
        <f t="shared" si="68"/>
        <v>SINAPI-96558</v>
      </c>
      <c r="X563" s="1">
        <f ca="1">IF(AND(Fonte&lt;&gt;"",Código&lt;&gt;""),MATCH(Fonte&amp;" "&amp;IF(Fonte="sinapi",SUBSTITUTE(SUBSTITUTE(Código,"/00","/"),"/0","/"),Código),INDIRECT("'[Referência "&amp;_xlnm.Database&amp;".xls]Banco'!$a:$a"),0),"X")</f>
        <v>2707</v>
      </c>
      <c r="Y563" s="103">
        <v>916.44</v>
      </c>
      <c r="Z563" s="113">
        <f ca="1">ROUND(IF(ISNUMBER(R563),R563,IF(LEFT(R563,3)="BDI",HLOOKUP(R563,DADOS!$T$37:$X$38,2,FALSE),0)),15-11*$X$5)</f>
        <v>0.25</v>
      </c>
      <c r="AA563" s="1"/>
    </row>
    <row r="564" spans="1:27" x14ac:dyDescent="0.25">
      <c r="A564">
        <f t="shared" si="59"/>
        <v>3</v>
      </c>
      <c r="B564">
        <f t="shared" ca="1" si="60"/>
        <v>7</v>
      </c>
      <c r="C564">
        <f t="shared" ca="1" si="61"/>
        <v>24</v>
      </c>
      <c r="D564">
        <f t="shared" ca="1" si="62"/>
        <v>3</v>
      </c>
      <c r="E564">
        <f t="shared" ca="1" si="63"/>
        <v>2</v>
      </c>
      <c r="F564">
        <f t="shared" ca="1" si="64"/>
        <v>0</v>
      </c>
      <c r="G564">
        <f t="shared" ca="1" si="65"/>
        <v>0</v>
      </c>
      <c r="H564">
        <f t="shared" ca="1" si="57"/>
        <v>7</v>
      </c>
      <c r="I564" t="e">
        <f t="shared" ca="1" si="58"/>
        <v>#N/A</v>
      </c>
      <c r="J564" s="356" t="s">
        <v>101</v>
      </c>
      <c r="K564" s="138" t="str">
        <f t="shared" ca="1" si="66"/>
        <v>24.3.2.</v>
      </c>
      <c r="L564" s="357"/>
      <c r="M564" s="357"/>
      <c r="N564" s="358" t="s">
        <v>897</v>
      </c>
      <c r="O564" s="359" t="s">
        <v>106</v>
      </c>
      <c r="P564" s="360"/>
      <c r="Q564" s="195"/>
      <c r="R564" s="198" t="s">
        <v>7</v>
      </c>
      <c r="S564" s="103">
        <f>IF($A564="S",IF($Q$10="Preço Unitário (R$)",PO.CustoUnitario,ROUND(PO.CustoUnitario*(1+$Z564),15-13*$X$6)),0)</f>
        <v>0</v>
      </c>
      <c r="T564" s="83">
        <f ca="1">IF($A564="S",VTOTAL1,IF($A564=0,0,ROUND(SomaAgrup,15-13*$X$7)))</f>
        <v>0</v>
      </c>
      <c r="U564" s="9" t="str">
        <f t="shared" ca="1" si="67"/>
        <v>SEM VALOR</v>
      </c>
      <c r="V564" s="1" t="str">
        <f ca="1">IF(OR($A564=0,$A564="S",$A564&gt;CFF!$A$9),"",MAX(V$12:OFFSET(V564,-1,0))+1)</f>
        <v/>
      </c>
      <c r="W564" s="4" t="b">
        <f t="shared" si="68"/>
        <v>0</v>
      </c>
      <c r="X564" s="1" t="str">
        <f ca="1">IF(AND(Fonte&lt;&gt;"",Código&lt;&gt;""),MATCH(Fonte&amp;" "&amp;IF(Fonte="sinapi",SUBSTITUTE(SUBSTITUTE(Código,"/00","/"),"/0","/"),Código),INDIRECT("'[Referência "&amp;_xlnm.Database&amp;".xls]Banco'!$a:$a"),0),"X")</f>
        <v>X</v>
      </c>
      <c r="Y564" s="103">
        <v>0</v>
      </c>
      <c r="Z564" s="113">
        <f ca="1">ROUND(IF(ISNUMBER(R564),R564,IF(LEFT(R564,3)="BDI",HLOOKUP(R564,DADOS!$T$37:$X$38,2,FALSE),0)),15-11*$X$5)</f>
        <v>0.25</v>
      </c>
      <c r="AA564" s="1"/>
    </row>
    <row r="565" spans="1:27" ht="26.4" x14ac:dyDescent="0.25">
      <c r="A565" t="str">
        <f t="shared" si="59"/>
        <v>S</v>
      </c>
      <c r="B565">
        <f t="shared" si="60"/>
        <v>0</v>
      </c>
      <c r="C565">
        <f t="shared" ca="1" si="61"/>
        <v>24</v>
      </c>
      <c r="D565">
        <f t="shared" ca="1" si="62"/>
        <v>3</v>
      </c>
      <c r="E565">
        <f t="shared" ca="1" si="63"/>
        <v>2</v>
      </c>
      <c r="F565">
        <f t="shared" ca="1" si="64"/>
        <v>0</v>
      </c>
      <c r="G565">
        <f t="shared" ca="1" si="65"/>
        <v>1</v>
      </c>
      <c r="H565">
        <f t="shared" ca="1" si="57"/>
        <v>0</v>
      </c>
      <c r="I565">
        <f t="shared" ca="1" si="58"/>
        <v>0</v>
      </c>
      <c r="J565" s="356" t="s">
        <v>103</v>
      </c>
      <c r="K565" s="138" t="str">
        <f t="shared" ca="1" si="66"/>
        <v>24.3.2.1.</v>
      </c>
      <c r="L565" s="357" t="s">
        <v>233</v>
      </c>
      <c r="M565" s="357" t="s">
        <v>262</v>
      </c>
      <c r="N565" s="358" t="s">
        <v>898</v>
      </c>
      <c r="O565" s="359" t="s">
        <v>635</v>
      </c>
      <c r="P565" s="360">
        <v>37.24</v>
      </c>
      <c r="Q565" s="195"/>
      <c r="R565" s="198" t="s">
        <v>7</v>
      </c>
      <c r="S565" s="103">
        <f>IF($A565="S",IF($Q$10="Preço Unitário (R$)",PO.CustoUnitario,ROUND(PO.CustoUnitario*(1+$Z565),15-13*$X$6)),0)</f>
        <v>0</v>
      </c>
      <c r="T565" s="83">
        <f>IF($A565="S",VTOTAL1,IF($A565=0,0,ROUND(SomaAgrup,15-13*$X$7)))</f>
        <v>0</v>
      </c>
      <c r="U565" s="9" t="str">
        <f t="shared" si="67"/>
        <v>SEM VALOR</v>
      </c>
      <c r="V565" s="1" t="str">
        <f ca="1">IF(OR($A565=0,$A565="S",$A565&gt;CFF!$A$9),"",MAX(V$12:OFFSET(V565,-1,0))+1)</f>
        <v/>
      </c>
      <c r="W565" s="4" t="str">
        <f t="shared" si="68"/>
        <v>SINAPI-92443</v>
      </c>
      <c r="X565" s="1">
        <f ca="1">IF(AND(Fonte&lt;&gt;"",Código&lt;&gt;""),MATCH(Fonte&amp;" "&amp;IF(Fonte="sinapi",SUBSTITUTE(SUBSTITUTE(Código,"/00","/"),"/0","/"),Código),INDIRECT("'[Referência "&amp;_xlnm.Database&amp;".xls]Banco'!$a:$a"),0),"X")</f>
        <v>2386</v>
      </c>
      <c r="Y565" s="103">
        <v>67.8</v>
      </c>
      <c r="Z565" s="113">
        <f ca="1">ROUND(IF(ISNUMBER(R565),R565,IF(LEFT(R565,3)="BDI",HLOOKUP(R565,DADOS!$T$37:$X$38,2,FALSE),0)),15-11*$X$5)</f>
        <v>0.25</v>
      </c>
      <c r="AA565" s="1"/>
    </row>
    <row r="566" spans="1:27" ht="26.4" x14ac:dyDescent="0.25">
      <c r="A566" t="str">
        <f t="shared" si="59"/>
        <v>S</v>
      </c>
      <c r="B566">
        <f t="shared" si="60"/>
        <v>0</v>
      </c>
      <c r="C566">
        <f t="shared" ca="1" si="61"/>
        <v>24</v>
      </c>
      <c r="D566">
        <f t="shared" ca="1" si="62"/>
        <v>3</v>
      </c>
      <c r="E566">
        <f t="shared" ca="1" si="63"/>
        <v>2</v>
      </c>
      <c r="F566">
        <f t="shared" ca="1" si="64"/>
        <v>0</v>
      </c>
      <c r="G566">
        <f t="shared" ca="1" si="65"/>
        <v>2</v>
      </c>
      <c r="H566">
        <f t="shared" ca="1" si="57"/>
        <v>0</v>
      </c>
      <c r="I566">
        <f t="shared" ca="1" si="58"/>
        <v>0</v>
      </c>
      <c r="J566" s="356" t="s">
        <v>103</v>
      </c>
      <c r="K566" s="138" t="str">
        <f t="shared" ca="1" si="66"/>
        <v>24.3.2.2.</v>
      </c>
      <c r="L566" s="357" t="s">
        <v>233</v>
      </c>
      <c r="M566" s="357" t="s">
        <v>267</v>
      </c>
      <c r="N566" s="358" t="s">
        <v>899</v>
      </c>
      <c r="O566" s="359" t="s">
        <v>892</v>
      </c>
      <c r="P566" s="360">
        <v>342.12</v>
      </c>
      <c r="Q566" s="195"/>
      <c r="R566" s="198" t="s">
        <v>7</v>
      </c>
      <c r="S566" s="103">
        <f>IF($A566="S",IF($Q$10="Preço Unitário (R$)",PO.CustoUnitario,ROUND(PO.CustoUnitario*(1+$Z566),15-13*$X$6)),0)</f>
        <v>0</v>
      </c>
      <c r="T566" s="83">
        <f>IF($A566="S",VTOTAL1,IF($A566=0,0,ROUND(SomaAgrup,15-13*$X$7)))</f>
        <v>0</v>
      </c>
      <c r="U566" s="9" t="str">
        <f t="shared" si="67"/>
        <v>SEM VALOR</v>
      </c>
      <c r="V566" s="1" t="str">
        <f ca="1">IF(OR($A566=0,$A566="S",$A566&gt;CFF!$A$9),"",MAX(V$12:OFFSET(V566,-1,0))+1)</f>
        <v/>
      </c>
      <c r="W566" s="4" t="str">
        <f t="shared" si="68"/>
        <v>SINAPI-92761</v>
      </c>
      <c r="X566" s="1">
        <f ca="1">IF(AND(Fonte&lt;&gt;"",Código&lt;&gt;""),MATCH(Fonte&amp;" "&amp;IF(Fonte="sinapi",SUBSTITUTE(SUBSTITUTE(Código,"/00","/"),"/0","/"),Código),INDIRECT("'[Referência "&amp;_xlnm.Database&amp;".xls]Banco'!$a:$a"),0),"X")</f>
        <v>2589</v>
      </c>
      <c r="Y566" s="103">
        <v>15.38</v>
      </c>
      <c r="Z566" s="113">
        <f ca="1">ROUND(IF(ISNUMBER(R566),R566,IF(LEFT(R566,3)="BDI",HLOOKUP(R566,DADOS!$T$37:$X$38,2,FALSE),0)),15-11*$X$5)</f>
        <v>0.25</v>
      </c>
      <c r="AA566" s="1"/>
    </row>
    <row r="567" spans="1:27" ht="26.4" x14ac:dyDescent="0.25">
      <c r="A567" t="str">
        <f t="shared" si="59"/>
        <v>S</v>
      </c>
      <c r="B567">
        <f t="shared" si="60"/>
        <v>0</v>
      </c>
      <c r="C567">
        <f t="shared" ca="1" si="61"/>
        <v>24</v>
      </c>
      <c r="D567">
        <f t="shared" ca="1" si="62"/>
        <v>3</v>
      </c>
      <c r="E567">
        <f t="shared" ca="1" si="63"/>
        <v>2</v>
      </c>
      <c r="F567">
        <f t="shared" ca="1" si="64"/>
        <v>0</v>
      </c>
      <c r="G567">
        <f t="shared" ca="1" si="65"/>
        <v>3</v>
      </c>
      <c r="H567">
        <f t="shared" ca="1" si="57"/>
        <v>0</v>
      </c>
      <c r="I567">
        <f t="shared" ca="1" si="58"/>
        <v>0</v>
      </c>
      <c r="J567" s="356" t="s">
        <v>103</v>
      </c>
      <c r="K567" s="138" t="str">
        <f t="shared" ca="1" si="66"/>
        <v>24.3.2.3.</v>
      </c>
      <c r="L567" s="357" t="s">
        <v>233</v>
      </c>
      <c r="M567" s="357" t="s">
        <v>270</v>
      </c>
      <c r="N567" s="358" t="s">
        <v>900</v>
      </c>
      <c r="O567" s="359" t="s">
        <v>892</v>
      </c>
      <c r="P567" s="360">
        <v>112.9</v>
      </c>
      <c r="Q567" s="195"/>
      <c r="R567" s="198" t="s">
        <v>7</v>
      </c>
      <c r="S567" s="103">
        <f>IF($A567="S",IF($Q$10="Preço Unitário (R$)",PO.CustoUnitario,ROUND(PO.CustoUnitario*(1+$Z567),15-13*$X$6)),0)</f>
        <v>0</v>
      </c>
      <c r="T567" s="83">
        <f>IF($A567="S",VTOTAL1,IF($A567=0,0,ROUND(SomaAgrup,15-13*$X$7)))</f>
        <v>0</v>
      </c>
      <c r="U567" s="9" t="str">
        <f t="shared" si="67"/>
        <v>SEM VALOR</v>
      </c>
      <c r="V567" s="1" t="str">
        <f ca="1">IF(OR($A567=0,$A567="S",$A567&gt;CFF!$A$9),"",MAX(V$12:OFFSET(V567,-1,0))+1)</f>
        <v/>
      </c>
      <c r="W567" s="4" t="str">
        <f t="shared" si="68"/>
        <v>SINAPI-92760</v>
      </c>
      <c r="X567" s="1">
        <f ca="1">IF(AND(Fonte&lt;&gt;"",Código&lt;&gt;""),MATCH(Fonte&amp;" "&amp;IF(Fonte="sinapi",SUBSTITUTE(SUBSTITUTE(Código,"/00","/"),"/0","/"),Código),INDIRECT("'[Referência "&amp;_xlnm.Database&amp;".xls]Banco'!$a:$a"),0),"X")</f>
        <v>2588</v>
      </c>
      <c r="Y567" s="103">
        <v>16.38</v>
      </c>
      <c r="Z567" s="113">
        <f ca="1">ROUND(IF(ISNUMBER(R567),R567,IF(LEFT(R567,3)="BDI",HLOOKUP(R567,DADOS!$T$37:$X$38,2,FALSE),0)),15-11*$X$5)</f>
        <v>0.25</v>
      </c>
      <c r="AA567" s="1"/>
    </row>
    <row r="568" spans="1:27" ht="26.4" x14ac:dyDescent="0.25">
      <c r="A568" t="str">
        <f t="shared" si="59"/>
        <v>S</v>
      </c>
      <c r="B568">
        <f t="shared" si="60"/>
        <v>0</v>
      </c>
      <c r="C568">
        <f t="shared" ca="1" si="61"/>
        <v>24</v>
      </c>
      <c r="D568">
        <f t="shared" ca="1" si="62"/>
        <v>3</v>
      </c>
      <c r="E568">
        <f t="shared" ca="1" si="63"/>
        <v>2</v>
      </c>
      <c r="F568">
        <f t="shared" ca="1" si="64"/>
        <v>0</v>
      </c>
      <c r="G568">
        <f t="shared" ca="1" si="65"/>
        <v>4</v>
      </c>
      <c r="H568">
        <f t="shared" ca="1" si="57"/>
        <v>0</v>
      </c>
      <c r="I568">
        <f t="shared" ca="1" si="58"/>
        <v>0</v>
      </c>
      <c r="J568" s="356" t="s">
        <v>103</v>
      </c>
      <c r="K568" s="138" t="str">
        <f t="shared" ca="1" si="66"/>
        <v>24.3.2.4.</v>
      </c>
      <c r="L568" s="357" t="s">
        <v>233</v>
      </c>
      <c r="M568" s="357" t="s">
        <v>263</v>
      </c>
      <c r="N568" s="358" t="s">
        <v>901</v>
      </c>
      <c r="O568" s="359" t="s">
        <v>892</v>
      </c>
      <c r="P568" s="360">
        <v>112.9</v>
      </c>
      <c r="Q568" s="195"/>
      <c r="R568" s="198" t="s">
        <v>7</v>
      </c>
      <c r="S568" s="103">
        <f>IF($A568="S",IF($Q$10="Preço Unitário (R$)",PO.CustoUnitario,ROUND(PO.CustoUnitario*(1+$Z568),15-13*$X$6)),0)</f>
        <v>0</v>
      </c>
      <c r="T568" s="83">
        <f>IF($A568="S",VTOTAL1,IF($A568=0,0,ROUND(SomaAgrup,15-13*$X$7)))</f>
        <v>0</v>
      </c>
      <c r="U568" s="9" t="str">
        <f t="shared" si="67"/>
        <v>SEM VALOR</v>
      </c>
      <c r="V568" s="1" t="str">
        <f ca="1">IF(OR($A568=0,$A568="S",$A568&gt;CFF!$A$9),"",MAX(V$12:OFFSET(V568,-1,0))+1)</f>
        <v/>
      </c>
      <c r="W568" s="4" t="str">
        <f t="shared" si="68"/>
        <v>SINAPI-92762</v>
      </c>
      <c r="X568" s="1">
        <f ca="1">IF(AND(Fonte&lt;&gt;"",Código&lt;&gt;""),MATCH(Fonte&amp;" "&amp;IF(Fonte="sinapi",SUBSTITUTE(SUBSTITUTE(Código,"/00","/"),"/0","/"),Código),INDIRECT("'[Referência "&amp;_xlnm.Database&amp;".xls]Banco'!$a:$a"),0),"X")</f>
        <v>2590</v>
      </c>
      <c r="Y568" s="103">
        <v>13.73</v>
      </c>
      <c r="Z568" s="113">
        <f ca="1">ROUND(IF(ISNUMBER(R568),R568,IF(LEFT(R568,3)="BDI",HLOOKUP(R568,DADOS!$T$37:$X$38,2,FALSE),0)),15-11*$X$5)</f>
        <v>0.25</v>
      </c>
      <c r="AA568" s="1"/>
    </row>
    <row r="569" spans="1:27" ht="26.4" x14ac:dyDescent="0.25">
      <c r="A569" t="str">
        <f t="shared" si="59"/>
        <v>S</v>
      </c>
      <c r="B569">
        <f t="shared" si="60"/>
        <v>0</v>
      </c>
      <c r="C569">
        <f t="shared" ca="1" si="61"/>
        <v>24</v>
      </c>
      <c r="D569">
        <f t="shared" ca="1" si="62"/>
        <v>3</v>
      </c>
      <c r="E569">
        <f t="shared" ca="1" si="63"/>
        <v>2</v>
      </c>
      <c r="F569">
        <f t="shared" ca="1" si="64"/>
        <v>0</v>
      </c>
      <c r="G569">
        <f t="shared" ca="1" si="65"/>
        <v>5</v>
      </c>
      <c r="H569">
        <f t="shared" ca="1" si="57"/>
        <v>0</v>
      </c>
      <c r="I569">
        <f t="shared" ca="1" si="58"/>
        <v>0</v>
      </c>
      <c r="J569" s="356" t="s">
        <v>103</v>
      </c>
      <c r="K569" s="138" t="str">
        <f t="shared" ca="1" si="66"/>
        <v>24.3.2.5.</v>
      </c>
      <c r="L569" s="357" t="s">
        <v>233</v>
      </c>
      <c r="M569" s="357" t="s">
        <v>265</v>
      </c>
      <c r="N569" s="358" t="s">
        <v>902</v>
      </c>
      <c r="O569" s="359" t="s">
        <v>892</v>
      </c>
      <c r="P569" s="360">
        <v>112.9</v>
      </c>
      <c r="Q569" s="195"/>
      <c r="R569" s="198" t="s">
        <v>7</v>
      </c>
      <c r="S569" s="103">
        <f>IF($A569="S",IF($Q$10="Preço Unitário (R$)",PO.CustoUnitario,ROUND(PO.CustoUnitario*(1+$Z569),15-13*$X$6)),0)</f>
        <v>0</v>
      </c>
      <c r="T569" s="83">
        <f>IF($A569="S",VTOTAL1,IF($A569=0,0,ROUND(SomaAgrup,15-13*$X$7)))</f>
        <v>0</v>
      </c>
      <c r="U569" s="9" t="str">
        <f t="shared" si="67"/>
        <v>SEM VALOR</v>
      </c>
      <c r="V569" s="1" t="str">
        <f ca="1">IF(OR($A569=0,$A569="S",$A569&gt;CFF!$A$9),"",MAX(V$12:OFFSET(V569,-1,0))+1)</f>
        <v/>
      </c>
      <c r="W569" s="4" t="str">
        <f t="shared" si="68"/>
        <v>SINAPI-92759</v>
      </c>
      <c r="X569" s="1">
        <f ca="1">IF(AND(Fonte&lt;&gt;"",Código&lt;&gt;""),MATCH(Fonte&amp;" "&amp;IF(Fonte="sinapi",SUBSTITUTE(SUBSTITUTE(Código,"/00","/"),"/0","/"),Código),INDIRECT("'[Referência "&amp;_xlnm.Database&amp;".xls]Banco'!$a:$a"),0),"X")</f>
        <v>2587</v>
      </c>
      <c r="Y569" s="103">
        <v>17.350000000000001</v>
      </c>
      <c r="Z569" s="113">
        <f ca="1">ROUND(IF(ISNUMBER(R569),R569,IF(LEFT(R569,3)="BDI",HLOOKUP(R569,DADOS!$T$37:$X$38,2,FALSE),0)),15-11*$X$5)</f>
        <v>0.25</v>
      </c>
      <c r="AA569" s="1"/>
    </row>
    <row r="570" spans="1:27" ht="26.4" x14ac:dyDescent="0.25">
      <c r="A570" t="str">
        <f t="shared" si="59"/>
        <v>S</v>
      </c>
      <c r="B570">
        <f t="shared" si="60"/>
        <v>0</v>
      </c>
      <c r="C570">
        <f t="shared" ca="1" si="61"/>
        <v>24</v>
      </c>
      <c r="D570">
        <f t="shared" ca="1" si="62"/>
        <v>3</v>
      </c>
      <c r="E570">
        <f t="shared" ca="1" si="63"/>
        <v>2</v>
      </c>
      <c r="F570">
        <f t="shared" ca="1" si="64"/>
        <v>0</v>
      </c>
      <c r="G570">
        <f t="shared" ca="1" si="65"/>
        <v>6</v>
      </c>
      <c r="H570">
        <f t="shared" ca="1" si="57"/>
        <v>0</v>
      </c>
      <c r="I570">
        <f t="shared" ca="1" si="58"/>
        <v>0</v>
      </c>
      <c r="J570" s="356" t="s">
        <v>103</v>
      </c>
      <c r="K570" s="138" t="str">
        <f t="shared" ca="1" si="66"/>
        <v>24.3.2.6.</v>
      </c>
      <c r="L570" s="357" t="s">
        <v>233</v>
      </c>
      <c r="M570" s="357" t="s">
        <v>268</v>
      </c>
      <c r="N570" s="358" t="s">
        <v>903</v>
      </c>
      <c r="O570" s="359" t="s">
        <v>660</v>
      </c>
      <c r="P570" s="360">
        <v>9.7749999999999986</v>
      </c>
      <c r="Q570" s="195"/>
      <c r="R570" s="198" t="s">
        <v>7</v>
      </c>
      <c r="S570" s="103">
        <f>IF($A570="S",IF($Q$10="Preço Unitário (R$)",PO.CustoUnitario,ROUND(PO.CustoUnitario*(1+$Z570),15-13*$X$6)),0)</f>
        <v>0</v>
      </c>
      <c r="T570" s="83">
        <f>IF($A570="S",VTOTAL1,IF($A570=0,0,ROUND(SomaAgrup,15-13*$X$7)))</f>
        <v>0</v>
      </c>
      <c r="U570" s="9" t="str">
        <f t="shared" si="67"/>
        <v>SEM VALOR</v>
      </c>
      <c r="V570" s="1" t="str">
        <f ca="1">IF(OR($A570=0,$A570="S",$A570&gt;CFF!$A$9),"",MAX(V$12:OFFSET(V570,-1,0))+1)</f>
        <v/>
      </c>
      <c r="W570" s="4" t="str">
        <f t="shared" si="68"/>
        <v>SINAPI-103675</v>
      </c>
      <c r="X570" s="1">
        <f ca="1">IF(AND(Fonte&lt;&gt;"",Código&lt;&gt;""),MATCH(Fonte&amp;" "&amp;IF(Fonte="sinapi",SUBSTITUTE(SUBSTITUTE(Código,"/00","/"),"/0","/"),Código),INDIRECT("'[Referência "&amp;_xlnm.Database&amp;".xls]Banco'!$a:$a"),0),"X")</f>
        <v>2741</v>
      </c>
      <c r="Y570" s="103">
        <v>793.23</v>
      </c>
      <c r="Z570" s="113">
        <f ca="1">ROUND(IF(ISNUMBER(R570),R570,IF(LEFT(R570,3)="BDI",HLOOKUP(R570,DADOS!$T$37:$X$38,2,FALSE),0)),15-11*$X$5)</f>
        <v>0.25</v>
      </c>
      <c r="AA570" s="1"/>
    </row>
    <row r="571" spans="1:27" x14ac:dyDescent="0.25">
      <c r="A571">
        <f t="shared" si="59"/>
        <v>2</v>
      </c>
      <c r="B571">
        <f t="shared" ca="1" si="60"/>
        <v>3</v>
      </c>
      <c r="C571">
        <f t="shared" ca="1" si="61"/>
        <v>24</v>
      </c>
      <c r="D571">
        <f t="shared" ca="1" si="62"/>
        <v>4</v>
      </c>
      <c r="E571">
        <f t="shared" ca="1" si="63"/>
        <v>0</v>
      </c>
      <c r="F571">
        <f t="shared" ca="1" si="64"/>
        <v>0</v>
      </c>
      <c r="G571">
        <f t="shared" ca="1" si="65"/>
        <v>0</v>
      </c>
      <c r="H571">
        <f t="shared" ca="1" si="57"/>
        <v>29</v>
      </c>
      <c r="I571">
        <f t="shared" ca="1" si="58"/>
        <v>3</v>
      </c>
      <c r="J571" s="356" t="s">
        <v>100</v>
      </c>
      <c r="K571" s="138" t="str">
        <f t="shared" ca="1" si="66"/>
        <v>24.4.</v>
      </c>
      <c r="L571" s="357"/>
      <c r="M571" s="357"/>
      <c r="N571" s="358" t="s">
        <v>904</v>
      </c>
      <c r="O571" s="359" t="s">
        <v>106</v>
      </c>
      <c r="P571" s="360"/>
      <c r="Q571" s="195"/>
      <c r="R571" s="198" t="s">
        <v>7</v>
      </c>
      <c r="S571" s="103">
        <f>IF($A571="S",IF($Q$10="Preço Unitário (R$)",PO.CustoUnitario,ROUND(PO.CustoUnitario*(1+$Z571),15-13*$X$6)),0)</f>
        <v>0</v>
      </c>
      <c r="T571" s="83">
        <f ca="1">IF($A571="S",VTOTAL1,IF($A571=0,0,ROUND(SomaAgrup,15-13*$X$7)))</f>
        <v>0</v>
      </c>
      <c r="U571" s="9" t="str">
        <f t="shared" ca="1" si="67"/>
        <v>SEM VALOR</v>
      </c>
      <c r="V571" s="1">
        <f ca="1">IF(OR($A571=0,$A571="S",$A571&gt;CFF!$A$9),"",MAX(V$12:OFFSET(V571,-1,0))+1)</f>
        <v>86</v>
      </c>
      <c r="W571" s="4" t="b">
        <f t="shared" si="68"/>
        <v>0</v>
      </c>
      <c r="X571" s="1" t="str">
        <f ca="1">IF(AND(Fonte&lt;&gt;"",Código&lt;&gt;""),MATCH(Fonte&amp;" "&amp;IF(Fonte="sinapi",SUBSTITUTE(SUBSTITUTE(Código,"/00","/"),"/0","/"),Código),INDIRECT("'[Referência "&amp;_xlnm.Database&amp;".xls]Banco'!$a:$a"),0),"X")</f>
        <v>X</v>
      </c>
      <c r="Y571" s="103">
        <v>0</v>
      </c>
      <c r="Z571" s="113">
        <f ca="1">ROUND(IF(ISNUMBER(R571),R571,IF(LEFT(R571,3)="BDI",HLOOKUP(R571,DADOS!$T$37:$X$38,2,FALSE),0)),15-11*$X$5)</f>
        <v>0.25</v>
      </c>
      <c r="AA571" s="1"/>
    </row>
    <row r="572" spans="1:27" ht="26.4" x14ac:dyDescent="0.25">
      <c r="A572" t="str">
        <f t="shared" si="59"/>
        <v>S</v>
      </c>
      <c r="B572">
        <f t="shared" si="60"/>
        <v>0</v>
      </c>
      <c r="C572">
        <f t="shared" ca="1" si="61"/>
        <v>24</v>
      </c>
      <c r="D572">
        <f t="shared" ca="1" si="62"/>
        <v>4</v>
      </c>
      <c r="E572">
        <f t="shared" ca="1" si="63"/>
        <v>0</v>
      </c>
      <c r="F572">
        <f t="shared" ca="1" si="64"/>
        <v>0</v>
      </c>
      <c r="G572">
        <f t="shared" ca="1" si="65"/>
        <v>1</v>
      </c>
      <c r="H572">
        <f t="shared" ca="1" si="57"/>
        <v>0</v>
      </c>
      <c r="I572">
        <f t="shared" ca="1" si="58"/>
        <v>0</v>
      </c>
      <c r="J572" s="356" t="s">
        <v>103</v>
      </c>
      <c r="K572" s="138" t="str">
        <f t="shared" ca="1" si="66"/>
        <v>24.4.0.1.</v>
      </c>
      <c r="L572" s="357" t="s">
        <v>240</v>
      </c>
      <c r="M572" s="357" t="s">
        <v>905</v>
      </c>
      <c r="N572" s="358" t="s">
        <v>906</v>
      </c>
      <c r="O572" s="359" t="s">
        <v>907</v>
      </c>
      <c r="P572" s="360">
        <v>145</v>
      </c>
      <c r="Q572" s="195"/>
      <c r="R572" s="198" t="s">
        <v>7</v>
      </c>
      <c r="S572" s="103">
        <f>IF($A572="S",IF($Q$10="Preço Unitário (R$)",PO.CustoUnitario,ROUND(PO.CustoUnitario*(1+$Z572),15-13*$X$6)),0)</f>
        <v>0</v>
      </c>
      <c r="T572" s="83">
        <f>IF($A572="S",VTOTAL1,IF($A572=0,0,ROUND(SomaAgrup,15-13*$X$7)))</f>
        <v>0</v>
      </c>
      <c r="U572" s="9" t="str">
        <f t="shared" si="67"/>
        <v>SEM VALOR</v>
      </c>
      <c r="V572" s="1" t="str">
        <f ca="1">IF(OR($A572=0,$A572="S",$A572&gt;CFF!$A$9),"",MAX(V$12:OFFSET(V572,-1,0))+1)</f>
        <v/>
      </c>
      <c r="W572" s="4" t="str">
        <f t="shared" si="68"/>
        <v>SINAPI-I-36178</v>
      </c>
      <c r="X572" s="1">
        <f ca="1">IF(AND(Fonte&lt;&gt;"",Código&lt;&gt;""),MATCH(Fonte&amp;" "&amp;IF(Fonte="sinapi",SUBSTITUTE(SUBSTITUTE(Código,"/00","/"),"/0","/"),Código),INDIRECT("'[Referência "&amp;_xlnm.Database&amp;".xls]Banco'!$a:$a"),0),"X")</f>
        <v>11074</v>
      </c>
      <c r="Y572" s="103">
        <v>16.010000000000002</v>
      </c>
      <c r="Z572" s="113">
        <f ca="1">ROUND(IF(ISNUMBER(R572),R572,IF(LEFT(R572,3)="BDI",HLOOKUP(R572,DADOS!$T$37:$X$38,2,FALSE),0)),15-11*$X$5)</f>
        <v>0.25</v>
      </c>
      <c r="AA572" s="1"/>
    </row>
    <row r="573" spans="1:27" ht="26.4" x14ac:dyDescent="0.25">
      <c r="A573" t="str">
        <f t="shared" si="59"/>
        <v>S</v>
      </c>
      <c r="B573">
        <f t="shared" si="60"/>
        <v>0</v>
      </c>
      <c r="C573">
        <f t="shared" ca="1" si="61"/>
        <v>24</v>
      </c>
      <c r="D573">
        <f t="shared" ca="1" si="62"/>
        <v>4</v>
      </c>
      <c r="E573">
        <f t="shared" ca="1" si="63"/>
        <v>0</v>
      </c>
      <c r="F573">
        <f t="shared" ca="1" si="64"/>
        <v>0</v>
      </c>
      <c r="G573">
        <f t="shared" ca="1" si="65"/>
        <v>2</v>
      </c>
      <c r="H573">
        <f t="shared" ca="1" si="57"/>
        <v>0</v>
      </c>
      <c r="I573">
        <f t="shared" ca="1" si="58"/>
        <v>0</v>
      </c>
      <c r="J573" s="356" t="s">
        <v>103</v>
      </c>
      <c r="K573" s="138" t="str">
        <f t="shared" ca="1" si="66"/>
        <v>24.4.0.2.</v>
      </c>
      <c r="L573" s="357" t="s">
        <v>233</v>
      </c>
      <c r="M573" s="357" t="s">
        <v>908</v>
      </c>
      <c r="N573" s="358" t="s">
        <v>909</v>
      </c>
      <c r="O573" s="359" t="s">
        <v>470</v>
      </c>
      <c r="P573" s="360">
        <v>2</v>
      </c>
      <c r="Q573" s="195"/>
      <c r="R573" s="198" t="s">
        <v>7</v>
      </c>
      <c r="S573" s="103">
        <f>IF($A573="S",IF($Q$10="Preço Unitário (R$)",PO.CustoUnitario,ROUND(PO.CustoUnitario*(1+$Z573),15-13*$X$6)),0)</f>
        <v>0</v>
      </c>
      <c r="T573" s="83">
        <f>IF($A573="S",VTOTAL1,IF($A573=0,0,ROUND(SomaAgrup,15-13*$X$7)))</f>
        <v>0</v>
      </c>
      <c r="U573" s="9" t="str">
        <f t="shared" si="67"/>
        <v>SEM VALOR</v>
      </c>
      <c r="V573" s="1" t="str">
        <f ca="1">IF(OR($A573=0,$A573="S",$A573&gt;CFF!$A$9),"",MAX(V$12:OFFSET(V573,-1,0))+1)</f>
        <v/>
      </c>
      <c r="W573" s="4" t="str">
        <f t="shared" si="68"/>
        <v>SINAPI-105002</v>
      </c>
      <c r="X573" s="1">
        <f ca="1">IF(AND(Fonte&lt;&gt;"",Código&lt;&gt;""),MATCH(Fonte&amp;" "&amp;IF(Fonte="sinapi",SUBSTITUTE(SUBSTITUTE(Código,"/00","/"),"/0","/"),Código),INDIRECT("'[Referência "&amp;_xlnm.Database&amp;".xls]Banco'!$a:$a"),0),"X")</f>
        <v>7342</v>
      </c>
      <c r="Y573" s="103">
        <v>872.59</v>
      </c>
      <c r="Z573" s="113">
        <f ca="1">ROUND(IF(ISNUMBER(R573),R573,IF(LEFT(R573,3)="BDI",HLOOKUP(R573,DADOS!$T$37:$X$38,2,FALSE),0)),15-11*$X$5)</f>
        <v>0.25</v>
      </c>
      <c r="AA573" s="1"/>
    </row>
    <row r="574" spans="1:27" x14ac:dyDescent="0.25">
      <c r="A574">
        <f t="shared" si="59"/>
        <v>2</v>
      </c>
      <c r="B574">
        <f t="shared" ca="1" si="60"/>
        <v>3</v>
      </c>
      <c r="C574">
        <f t="shared" ca="1" si="61"/>
        <v>24</v>
      </c>
      <c r="D574">
        <f t="shared" ca="1" si="62"/>
        <v>5</v>
      </c>
      <c r="E574">
        <f t="shared" ca="1" si="63"/>
        <v>0</v>
      </c>
      <c r="F574">
        <f t="shared" ca="1" si="64"/>
        <v>0</v>
      </c>
      <c r="G574">
        <f t="shared" ca="1" si="65"/>
        <v>0</v>
      </c>
      <c r="H574">
        <f t="shared" ca="1" si="57"/>
        <v>26</v>
      </c>
      <c r="I574">
        <f t="shared" ca="1" si="58"/>
        <v>3</v>
      </c>
      <c r="J574" s="356" t="s">
        <v>100</v>
      </c>
      <c r="K574" s="138" t="str">
        <f t="shared" ca="1" si="66"/>
        <v>24.5.</v>
      </c>
      <c r="L574" s="357"/>
      <c r="M574" s="357"/>
      <c r="N574" s="358" t="s">
        <v>910</v>
      </c>
      <c r="O574" s="359" t="s">
        <v>106</v>
      </c>
      <c r="P574" s="360"/>
      <c r="Q574" s="195"/>
      <c r="R574" s="198" t="s">
        <v>7</v>
      </c>
      <c r="S574" s="103">
        <f>IF($A574="S",IF($Q$10="Preço Unitário (R$)",PO.CustoUnitario,ROUND(PO.CustoUnitario*(1+$Z574),15-13*$X$6)),0)</f>
        <v>0</v>
      </c>
      <c r="T574" s="83">
        <f ca="1">IF($A574="S",VTOTAL1,IF($A574=0,0,ROUND(SomaAgrup,15-13*$X$7)))</f>
        <v>0</v>
      </c>
      <c r="U574" s="9" t="str">
        <f t="shared" ca="1" si="67"/>
        <v>SEM VALOR</v>
      </c>
      <c r="V574" s="1">
        <f ca="1">IF(OR($A574=0,$A574="S",$A574&gt;CFF!$A$9),"",MAX(V$12:OFFSET(V574,-1,0))+1)</f>
        <v>87</v>
      </c>
      <c r="W574" s="4" t="b">
        <f t="shared" si="68"/>
        <v>0</v>
      </c>
      <c r="X574" s="1" t="str">
        <f ca="1">IF(AND(Fonte&lt;&gt;"",Código&lt;&gt;""),MATCH(Fonte&amp;" "&amp;IF(Fonte="sinapi",SUBSTITUTE(SUBSTITUTE(Código,"/00","/"),"/0","/"),Código),INDIRECT("'[Referência "&amp;_xlnm.Database&amp;".xls]Banco'!$a:$a"),0),"X")</f>
        <v>X</v>
      </c>
      <c r="Y574" s="103">
        <v>0</v>
      </c>
      <c r="Z574" s="113">
        <f ca="1">ROUND(IF(ISNUMBER(R574),R574,IF(LEFT(R574,3)="BDI",HLOOKUP(R574,DADOS!$T$37:$X$38,2,FALSE),0)),15-11*$X$5)</f>
        <v>0.25</v>
      </c>
      <c r="AA574" s="1"/>
    </row>
    <row r="575" spans="1:27" x14ac:dyDescent="0.25">
      <c r="A575">
        <f t="shared" si="59"/>
        <v>3</v>
      </c>
      <c r="B575">
        <f t="shared" ca="1" si="60"/>
        <v>2</v>
      </c>
      <c r="C575">
        <f t="shared" ca="1" si="61"/>
        <v>24</v>
      </c>
      <c r="D575">
        <f t="shared" ca="1" si="62"/>
        <v>5</v>
      </c>
      <c r="E575">
        <f t="shared" ca="1" si="63"/>
        <v>1</v>
      </c>
      <c r="F575">
        <f t="shared" ca="1" si="64"/>
        <v>0</v>
      </c>
      <c r="G575">
        <f t="shared" ca="1" si="65"/>
        <v>0</v>
      </c>
      <c r="H575">
        <f t="shared" ca="1" si="57"/>
        <v>2</v>
      </c>
      <c r="I575" t="e">
        <f t="shared" ca="1" si="58"/>
        <v>#N/A</v>
      </c>
      <c r="J575" s="356" t="s">
        <v>101</v>
      </c>
      <c r="K575" s="138" t="str">
        <f t="shared" ca="1" si="66"/>
        <v>24.5.1.</v>
      </c>
      <c r="L575" s="357"/>
      <c r="M575" s="357"/>
      <c r="N575" s="358" t="s">
        <v>911</v>
      </c>
      <c r="O575" s="359" t="s">
        <v>106</v>
      </c>
      <c r="P575" s="360"/>
      <c r="Q575" s="195"/>
      <c r="R575" s="198" t="s">
        <v>7</v>
      </c>
      <c r="S575" s="103">
        <f>IF($A575="S",IF($Q$10="Preço Unitário (R$)",PO.CustoUnitario,ROUND(PO.CustoUnitario*(1+$Z575),15-13*$X$6)),0)</f>
        <v>0</v>
      </c>
      <c r="T575" s="83">
        <f ca="1">IF($A575="S",VTOTAL1,IF($A575=0,0,ROUND(SomaAgrup,15-13*$X$7)))</f>
        <v>0</v>
      </c>
      <c r="U575" s="9" t="str">
        <f t="shared" ca="1" si="67"/>
        <v>SEM VALOR</v>
      </c>
      <c r="V575" s="1" t="str">
        <f ca="1">IF(OR($A575=0,$A575="S",$A575&gt;CFF!$A$9),"",MAX(V$12:OFFSET(V575,-1,0))+1)</f>
        <v/>
      </c>
      <c r="W575" s="4" t="b">
        <f t="shared" si="68"/>
        <v>0</v>
      </c>
      <c r="X575" s="1" t="str">
        <f ca="1">IF(AND(Fonte&lt;&gt;"",Código&lt;&gt;""),MATCH(Fonte&amp;" "&amp;IF(Fonte="sinapi",SUBSTITUTE(SUBSTITUTE(Código,"/00","/"),"/0","/"),Código),INDIRECT("'[Referência "&amp;_xlnm.Database&amp;".xls]Banco'!$a:$a"),0),"X")</f>
        <v>X</v>
      </c>
      <c r="Y575" s="103">
        <v>0</v>
      </c>
      <c r="Z575" s="113">
        <f ca="1">ROUND(IF(ISNUMBER(R575),R575,IF(LEFT(R575,3)="BDI",HLOOKUP(R575,DADOS!$T$37:$X$38,2,FALSE),0)),15-11*$X$5)</f>
        <v>0.25</v>
      </c>
      <c r="AA575" s="1"/>
    </row>
    <row r="576" spans="1:27" ht="26.4" x14ac:dyDescent="0.25">
      <c r="A576" t="str">
        <f t="shared" si="59"/>
        <v>S</v>
      </c>
      <c r="B576">
        <f t="shared" si="60"/>
        <v>0</v>
      </c>
      <c r="C576">
        <f t="shared" ca="1" si="61"/>
        <v>24</v>
      </c>
      <c r="D576">
        <f t="shared" ca="1" si="62"/>
        <v>5</v>
      </c>
      <c r="E576">
        <f t="shared" ca="1" si="63"/>
        <v>1</v>
      </c>
      <c r="F576">
        <f t="shared" ca="1" si="64"/>
        <v>0</v>
      </c>
      <c r="G576">
        <f t="shared" ca="1" si="65"/>
        <v>1</v>
      </c>
      <c r="H576">
        <f t="shared" ca="1" si="57"/>
        <v>0</v>
      </c>
      <c r="I576">
        <f t="shared" ca="1" si="58"/>
        <v>0</v>
      </c>
      <c r="J576" s="356" t="s">
        <v>103</v>
      </c>
      <c r="K576" s="138" t="str">
        <f t="shared" ca="1" si="66"/>
        <v>24.5.1.1.</v>
      </c>
      <c r="L576" s="357" t="s">
        <v>233</v>
      </c>
      <c r="M576" s="357" t="s">
        <v>282</v>
      </c>
      <c r="N576" s="358" t="s">
        <v>912</v>
      </c>
      <c r="O576" s="359" t="s">
        <v>635</v>
      </c>
      <c r="P576" s="360">
        <v>225</v>
      </c>
      <c r="Q576" s="195"/>
      <c r="R576" s="198" t="s">
        <v>7</v>
      </c>
      <c r="S576" s="103">
        <f>IF($A576="S",IF($Q$10="Preço Unitário (R$)",PO.CustoUnitario,ROUND(PO.CustoUnitario*(1+$Z576),15-13*$X$6)),0)</f>
        <v>0</v>
      </c>
      <c r="T576" s="83">
        <f>IF($A576="S",VTOTAL1,IF($A576=0,0,ROUND(SomaAgrup,15-13*$X$7)))</f>
        <v>0</v>
      </c>
      <c r="U576" s="9" t="str">
        <f t="shared" si="67"/>
        <v>SEM VALOR</v>
      </c>
      <c r="V576" s="1" t="str">
        <f ca="1">IF(OR($A576=0,$A576="S",$A576&gt;CFF!$A$9),"",MAX(V$12:OFFSET(V576,-1,0))+1)</f>
        <v/>
      </c>
      <c r="W576" s="4" t="str">
        <f t="shared" si="68"/>
        <v>SINAPI-103324</v>
      </c>
      <c r="X576" s="1">
        <f ca="1">IF(AND(Fonte&lt;&gt;"",Código&lt;&gt;""),MATCH(Fonte&amp;" "&amp;IF(Fonte="sinapi",SUBSTITUTE(SUBSTITUTE(Código,"/00","/"),"/0","/"),Código),INDIRECT("'[Referência "&amp;_xlnm.Database&amp;".xls]Banco'!$a:$a"),0),"X")</f>
        <v>5928</v>
      </c>
      <c r="Y576" s="103">
        <v>93.33</v>
      </c>
      <c r="Z576" s="113">
        <f ca="1">ROUND(IF(ISNUMBER(R576),R576,IF(LEFT(R576,3)="BDI",HLOOKUP(R576,DADOS!$T$37:$X$38,2,FALSE),0)),15-11*$X$5)</f>
        <v>0.25</v>
      </c>
      <c r="AA576" s="1"/>
    </row>
    <row r="577" spans="1:27" x14ac:dyDescent="0.25">
      <c r="A577">
        <f t="shared" si="59"/>
        <v>2</v>
      </c>
      <c r="B577">
        <f t="shared" ca="1" si="60"/>
        <v>4</v>
      </c>
      <c r="C577">
        <f t="shared" ca="1" si="61"/>
        <v>24</v>
      </c>
      <c r="D577">
        <f t="shared" ca="1" si="62"/>
        <v>6</v>
      </c>
      <c r="E577">
        <f t="shared" ca="1" si="63"/>
        <v>0</v>
      </c>
      <c r="F577">
        <f t="shared" ca="1" si="64"/>
        <v>0</v>
      </c>
      <c r="G577">
        <f t="shared" ca="1" si="65"/>
        <v>0</v>
      </c>
      <c r="H577">
        <f t="shared" ca="1" si="57"/>
        <v>23</v>
      </c>
      <c r="I577">
        <f t="shared" ca="1" si="58"/>
        <v>4</v>
      </c>
      <c r="J577" s="356" t="s">
        <v>100</v>
      </c>
      <c r="K577" s="138" t="str">
        <f t="shared" ca="1" si="66"/>
        <v>24.6.</v>
      </c>
      <c r="L577" s="357"/>
      <c r="M577" s="357"/>
      <c r="N577" s="358" t="s">
        <v>285</v>
      </c>
      <c r="O577" s="359" t="s">
        <v>106</v>
      </c>
      <c r="P577" s="360"/>
      <c r="Q577" s="195"/>
      <c r="R577" s="198" t="s">
        <v>7</v>
      </c>
      <c r="S577" s="103">
        <f>IF($A577="S",IF($Q$10="Preço Unitário (R$)",PO.CustoUnitario,ROUND(PO.CustoUnitario*(1+$Z577),15-13*$X$6)),0)</f>
        <v>0</v>
      </c>
      <c r="T577" s="83">
        <f ca="1">IF($A577="S",VTOTAL1,IF($A577=0,0,ROUND(SomaAgrup,15-13*$X$7)))</f>
        <v>0</v>
      </c>
      <c r="U577" s="9" t="str">
        <f t="shared" ca="1" si="67"/>
        <v>SEM VALOR</v>
      </c>
      <c r="V577" s="1">
        <f ca="1">IF(OR($A577=0,$A577="S",$A577&gt;CFF!$A$9),"",MAX(V$12:OFFSET(V577,-1,0))+1)</f>
        <v>88</v>
      </c>
      <c r="W577" s="4" t="b">
        <f t="shared" si="68"/>
        <v>0</v>
      </c>
      <c r="X577" s="1" t="str">
        <f ca="1">IF(AND(Fonte&lt;&gt;"",Código&lt;&gt;""),MATCH(Fonte&amp;" "&amp;IF(Fonte="sinapi",SUBSTITUTE(SUBSTITUTE(Código,"/00","/"),"/0","/"),Código),INDIRECT("'[Referência "&amp;_xlnm.Database&amp;".xls]Banco'!$a:$a"),0),"X")</f>
        <v>X</v>
      </c>
      <c r="Y577" s="103">
        <v>0</v>
      </c>
      <c r="Z577" s="113">
        <f ca="1">ROUND(IF(ISNUMBER(R577),R577,IF(LEFT(R577,3)="BDI",HLOOKUP(R577,DADOS!$T$37:$X$38,2,FALSE),0)),15-11*$X$5)</f>
        <v>0.25</v>
      </c>
      <c r="AA577" s="1"/>
    </row>
    <row r="578" spans="1:27" ht="26.4" x14ac:dyDescent="0.25">
      <c r="A578" t="str">
        <f t="shared" si="59"/>
        <v>S</v>
      </c>
      <c r="B578">
        <f t="shared" si="60"/>
        <v>0</v>
      </c>
      <c r="C578">
        <f t="shared" ca="1" si="61"/>
        <v>24</v>
      </c>
      <c r="D578">
        <f t="shared" ca="1" si="62"/>
        <v>6</v>
      </c>
      <c r="E578">
        <f t="shared" ca="1" si="63"/>
        <v>0</v>
      </c>
      <c r="F578">
        <f t="shared" ca="1" si="64"/>
        <v>0</v>
      </c>
      <c r="G578">
        <f t="shared" ca="1" si="65"/>
        <v>1</v>
      </c>
      <c r="H578">
        <f t="shared" ca="1" si="57"/>
        <v>0</v>
      </c>
      <c r="I578">
        <f t="shared" ca="1" si="58"/>
        <v>0</v>
      </c>
      <c r="J578" s="356" t="s">
        <v>103</v>
      </c>
      <c r="K578" s="138" t="str">
        <f t="shared" ca="1" si="66"/>
        <v>24.6.0.1.</v>
      </c>
      <c r="L578" s="357" t="s">
        <v>233</v>
      </c>
      <c r="M578" s="357" t="s">
        <v>286</v>
      </c>
      <c r="N578" s="358" t="s">
        <v>913</v>
      </c>
      <c r="O578" s="359" t="s">
        <v>635</v>
      </c>
      <c r="P578" s="360">
        <v>8.06</v>
      </c>
      <c r="Q578" s="195"/>
      <c r="R578" s="198" t="s">
        <v>7</v>
      </c>
      <c r="S578" s="103">
        <f>IF($A578="S",IF($Q$10="Preço Unitário (R$)",PO.CustoUnitario,ROUND(PO.CustoUnitario*(1+$Z578),15-13*$X$6)),0)</f>
        <v>0</v>
      </c>
      <c r="T578" s="83">
        <f>IF($A578="S",VTOTAL1,IF($A578=0,0,ROUND(SomaAgrup,15-13*$X$7)))</f>
        <v>0</v>
      </c>
      <c r="U578" s="9" t="str">
        <f t="shared" si="67"/>
        <v>SEM VALOR</v>
      </c>
      <c r="V578" s="1" t="str">
        <f ca="1">IF(OR($A578=0,$A578="S",$A578&gt;CFF!$A$9),"",MAX(V$12:OFFSET(V578,-1,0))+1)</f>
        <v/>
      </c>
      <c r="W578" s="4" t="str">
        <f t="shared" si="68"/>
        <v>SINAPI-102253</v>
      </c>
      <c r="X578" s="1">
        <f ca="1">IF(AND(Fonte&lt;&gt;"",Código&lt;&gt;""),MATCH(Fonte&amp;" "&amp;IF(Fonte="sinapi",SUBSTITUTE(SUBSTITUTE(Código,"/00","/"),"/0","/"),Código),INDIRECT("'[Referência "&amp;_xlnm.Database&amp;".xls]Banco'!$a:$a"),0),"X")</f>
        <v>5997</v>
      </c>
      <c r="Y578" s="103">
        <v>1067.25</v>
      </c>
      <c r="Z578" s="113">
        <f ca="1">ROUND(IF(ISNUMBER(R578),R578,IF(LEFT(R578,3)="BDI",HLOOKUP(R578,DADOS!$T$37:$X$38,2,FALSE),0)),15-11*$X$5)</f>
        <v>0.25</v>
      </c>
      <c r="AA578" s="1"/>
    </row>
    <row r="579" spans="1:27" x14ac:dyDescent="0.25">
      <c r="A579" t="str">
        <f t="shared" si="59"/>
        <v>S</v>
      </c>
      <c r="B579">
        <f t="shared" si="60"/>
        <v>0</v>
      </c>
      <c r="C579">
        <f t="shared" ca="1" si="61"/>
        <v>24</v>
      </c>
      <c r="D579">
        <f t="shared" ca="1" si="62"/>
        <v>6</v>
      </c>
      <c r="E579">
        <f t="shared" ca="1" si="63"/>
        <v>0</v>
      </c>
      <c r="F579">
        <f t="shared" ca="1" si="64"/>
        <v>0</v>
      </c>
      <c r="G579">
        <f t="shared" ca="1" si="65"/>
        <v>2</v>
      </c>
      <c r="H579">
        <f t="shared" ca="1" si="57"/>
        <v>0</v>
      </c>
      <c r="I579">
        <f t="shared" ca="1" si="58"/>
        <v>0</v>
      </c>
      <c r="J579" s="356" t="s">
        <v>103</v>
      </c>
      <c r="K579" s="138" t="str">
        <f t="shared" ca="1" si="66"/>
        <v>24.6.0.2.</v>
      </c>
      <c r="L579" s="357" t="s">
        <v>233</v>
      </c>
      <c r="M579" s="357" t="s">
        <v>914</v>
      </c>
      <c r="N579" s="358" t="s">
        <v>915</v>
      </c>
      <c r="O579" s="359" t="s">
        <v>635</v>
      </c>
      <c r="P579" s="360">
        <v>7.2</v>
      </c>
      <c r="Q579" s="195"/>
      <c r="R579" s="198" t="s">
        <v>7</v>
      </c>
      <c r="S579" s="103">
        <f>IF($A579="S",IF($Q$10="Preço Unitário (R$)",PO.CustoUnitario,ROUND(PO.CustoUnitario*(1+$Z579),15-13*$X$6)),0)</f>
        <v>0</v>
      </c>
      <c r="T579" s="83">
        <f>IF($A579="S",VTOTAL1,IF($A579=0,0,ROUND(SomaAgrup,15-13*$X$7)))</f>
        <v>0</v>
      </c>
      <c r="U579" s="9" t="str">
        <f t="shared" si="67"/>
        <v>SEM VALOR</v>
      </c>
      <c r="V579" s="1" t="str">
        <f ca="1">IF(OR($A579=0,$A579="S",$A579&gt;CFF!$A$9),"",MAX(V$12:OFFSET(V579,-1,0))+1)</f>
        <v/>
      </c>
      <c r="W579" s="4" t="str">
        <f t="shared" si="68"/>
        <v>SINAPI-102235</v>
      </c>
      <c r="X579" s="1">
        <f ca="1">IF(AND(Fonte&lt;&gt;"",Código&lt;&gt;""),MATCH(Fonte&amp;" "&amp;IF(Fonte="sinapi",SUBSTITUTE(SUBSTITUTE(Código,"/00","/"),"/0","/"),Código),INDIRECT("'[Referência "&amp;_xlnm.Database&amp;".xls]Banco'!$a:$a"),0),"X")</f>
        <v>5996</v>
      </c>
      <c r="Y579" s="103">
        <v>461.1</v>
      </c>
      <c r="Z579" s="113">
        <f ca="1">ROUND(IF(ISNUMBER(R579),R579,IF(LEFT(R579,3)="BDI",HLOOKUP(R579,DADOS!$T$37:$X$38,2,FALSE),0)),15-11*$X$5)</f>
        <v>0.25</v>
      </c>
      <c r="AA579" s="1"/>
    </row>
    <row r="580" spans="1:27" ht="26.4" x14ac:dyDescent="0.25">
      <c r="A580" t="str">
        <f t="shared" si="59"/>
        <v>S</v>
      </c>
      <c r="B580">
        <f t="shared" si="60"/>
        <v>0</v>
      </c>
      <c r="C580">
        <f t="shared" ca="1" si="61"/>
        <v>24</v>
      </c>
      <c r="D580">
        <f t="shared" ca="1" si="62"/>
        <v>6</v>
      </c>
      <c r="E580">
        <f t="shared" ca="1" si="63"/>
        <v>0</v>
      </c>
      <c r="F580">
        <f t="shared" ca="1" si="64"/>
        <v>0</v>
      </c>
      <c r="G580">
        <f t="shared" ca="1" si="65"/>
        <v>3</v>
      </c>
      <c r="H580">
        <f t="shared" ca="1" si="57"/>
        <v>0</v>
      </c>
      <c r="I580">
        <f t="shared" ca="1" si="58"/>
        <v>0</v>
      </c>
      <c r="J580" s="356" t="s">
        <v>103</v>
      </c>
      <c r="K580" s="138" t="str">
        <f t="shared" ca="1" si="66"/>
        <v>24.6.0.3.</v>
      </c>
      <c r="L580" s="357" t="s">
        <v>233</v>
      </c>
      <c r="M580" s="357" t="s">
        <v>916</v>
      </c>
      <c r="N580" s="358" t="s">
        <v>917</v>
      </c>
      <c r="O580" s="359" t="s">
        <v>635</v>
      </c>
      <c r="P580" s="360">
        <v>3.6</v>
      </c>
      <c r="Q580" s="195"/>
      <c r="R580" s="198" t="s">
        <v>7</v>
      </c>
      <c r="S580" s="103">
        <f>IF($A580="S",IF($Q$10="Preço Unitário (R$)",PO.CustoUnitario,ROUND(PO.CustoUnitario*(1+$Z580),15-13*$X$6)),0)</f>
        <v>0</v>
      </c>
      <c r="T580" s="83">
        <f>IF($A580="S",VTOTAL1,IF($A580=0,0,ROUND(SomaAgrup,15-13*$X$7)))</f>
        <v>0</v>
      </c>
      <c r="U580" s="9" t="str">
        <f t="shared" si="67"/>
        <v>SEM VALOR</v>
      </c>
      <c r="V580" s="1" t="str">
        <f ca="1">IF(OR($A580=0,$A580="S",$A580&gt;CFF!$A$9),"",MAX(V$12:OFFSET(V580,-1,0))+1)</f>
        <v/>
      </c>
      <c r="W580" s="4" t="str">
        <f t="shared" si="68"/>
        <v>SINAPI-96368</v>
      </c>
      <c r="X580" s="1">
        <f ca="1">IF(AND(Fonte&lt;&gt;"",Código&lt;&gt;""),MATCH(Fonte&amp;" "&amp;IF(Fonte="sinapi",SUBSTITUTE(SUBSTITUTE(Código,"/00","/"),"/0","/"),Código),INDIRECT("'[Referência "&amp;_xlnm.Database&amp;".xls]Banco'!$a:$a"),0),"X")</f>
        <v>5990</v>
      </c>
      <c r="Y580" s="103">
        <v>247.64</v>
      </c>
      <c r="Z580" s="113">
        <f ca="1">ROUND(IF(ISNUMBER(R580),R580,IF(LEFT(R580,3)="BDI",HLOOKUP(R580,DADOS!$T$37:$X$38,2,FALSE),0)),15-11*$X$5)</f>
        <v>0.25</v>
      </c>
      <c r="AA580" s="1"/>
    </row>
    <row r="581" spans="1:27" x14ac:dyDescent="0.25">
      <c r="A581">
        <f t="shared" si="59"/>
        <v>2</v>
      </c>
      <c r="B581">
        <f t="shared" ca="1" si="60"/>
        <v>2</v>
      </c>
      <c r="C581">
        <f t="shared" ca="1" si="61"/>
        <v>24</v>
      </c>
      <c r="D581">
        <f t="shared" ca="1" si="62"/>
        <v>7</v>
      </c>
      <c r="E581">
        <f t="shared" ca="1" si="63"/>
        <v>0</v>
      </c>
      <c r="F581">
        <f t="shared" ca="1" si="64"/>
        <v>0</v>
      </c>
      <c r="G581">
        <f t="shared" ca="1" si="65"/>
        <v>0</v>
      </c>
      <c r="H581">
        <f t="shared" ca="1" si="57"/>
        <v>19</v>
      </c>
      <c r="I581">
        <f t="shared" ca="1" si="58"/>
        <v>2</v>
      </c>
      <c r="J581" s="356" t="s">
        <v>100</v>
      </c>
      <c r="K581" s="138" t="str">
        <f t="shared" ca="1" si="66"/>
        <v>24.7.</v>
      </c>
      <c r="L581" s="357"/>
      <c r="M581" s="357"/>
      <c r="N581" s="358" t="s">
        <v>287</v>
      </c>
      <c r="O581" s="359" t="s">
        <v>106</v>
      </c>
      <c r="P581" s="360"/>
      <c r="Q581" s="195"/>
      <c r="R581" s="198" t="s">
        <v>7</v>
      </c>
      <c r="S581" s="103">
        <f>IF($A581="S",IF($Q$10="Preço Unitário (R$)",PO.CustoUnitario,ROUND(PO.CustoUnitario*(1+$Z581),15-13*$X$6)),0)</f>
        <v>0</v>
      </c>
      <c r="T581" s="83">
        <f ca="1">IF($A581="S",VTOTAL1,IF($A581=0,0,ROUND(SomaAgrup,15-13*$X$7)))</f>
        <v>0</v>
      </c>
      <c r="U581" s="9" t="str">
        <f t="shared" ca="1" si="67"/>
        <v>SEM VALOR</v>
      </c>
      <c r="V581" s="1">
        <f ca="1">IF(OR($A581=0,$A581="S",$A581&gt;CFF!$A$9),"",MAX(V$12:OFFSET(V581,-1,0))+1)</f>
        <v>89</v>
      </c>
      <c r="W581" s="4" t="b">
        <f t="shared" si="68"/>
        <v>0</v>
      </c>
      <c r="X581" s="1" t="str">
        <f ca="1">IF(AND(Fonte&lt;&gt;"",Código&lt;&gt;""),MATCH(Fonte&amp;" "&amp;IF(Fonte="sinapi",SUBSTITUTE(SUBSTITUTE(Código,"/00","/"),"/0","/"),Código),INDIRECT("'[Referência "&amp;_xlnm.Database&amp;".xls]Banco'!$a:$a"),0),"X")</f>
        <v>X</v>
      </c>
      <c r="Y581" s="103">
        <v>0</v>
      </c>
      <c r="Z581" s="113">
        <f ca="1">ROUND(IF(ISNUMBER(R581),R581,IF(LEFT(R581,3)="BDI",HLOOKUP(R581,DADOS!$T$37:$X$38,2,FALSE),0)),15-11*$X$5)</f>
        <v>0.25</v>
      </c>
      <c r="AA581" s="1"/>
    </row>
    <row r="582" spans="1:27" x14ac:dyDescent="0.25">
      <c r="A582" t="str">
        <f t="shared" si="59"/>
        <v>S</v>
      </c>
      <c r="B582">
        <f t="shared" si="60"/>
        <v>0</v>
      </c>
      <c r="C582">
        <f t="shared" ca="1" si="61"/>
        <v>24</v>
      </c>
      <c r="D582">
        <f t="shared" ca="1" si="62"/>
        <v>7</v>
      </c>
      <c r="E582">
        <f t="shared" ca="1" si="63"/>
        <v>0</v>
      </c>
      <c r="F582">
        <f t="shared" ca="1" si="64"/>
        <v>0</v>
      </c>
      <c r="G582">
        <f t="shared" ca="1" si="65"/>
        <v>1</v>
      </c>
      <c r="H582">
        <f t="shared" ca="1" si="57"/>
        <v>0</v>
      </c>
      <c r="I582">
        <f t="shared" ca="1" si="58"/>
        <v>0</v>
      </c>
      <c r="J582" s="356" t="s">
        <v>103</v>
      </c>
      <c r="K582" s="138" t="str">
        <f t="shared" ca="1" si="66"/>
        <v>24.7.0.1.</v>
      </c>
      <c r="L582" s="357" t="s">
        <v>240</v>
      </c>
      <c r="M582" s="357" t="s">
        <v>918</v>
      </c>
      <c r="N582" s="358" t="s">
        <v>919</v>
      </c>
      <c r="O582" s="359" t="s">
        <v>920</v>
      </c>
      <c r="P582" s="360">
        <v>12.8</v>
      </c>
      <c r="Q582" s="195"/>
      <c r="R582" s="198" t="s">
        <v>7</v>
      </c>
      <c r="S582" s="103">
        <f>IF($A582="S",IF($Q$10="Preço Unitário (R$)",PO.CustoUnitario,ROUND(PO.CustoUnitario*(1+$Z582),15-13*$X$6)),0)</f>
        <v>0</v>
      </c>
      <c r="T582" s="83">
        <f>IF($A582="S",VTOTAL1,IF($A582=0,0,ROUND(SomaAgrup,15-13*$X$7)))</f>
        <v>0</v>
      </c>
      <c r="U582" s="9" t="str">
        <f t="shared" si="67"/>
        <v>SEM VALOR</v>
      </c>
      <c r="V582" s="1" t="str">
        <f ca="1">IF(OR($A582=0,$A582="S",$A582&gt;CFF!$A$9),"",MAX(V$12:OFFSET(V582,-1,0))+1)</f>
        <v/>
      </c>
      <c r="W582" s="4" t="str">
        <f t="shared" si="68"/>
        <v>SINAPI-I-43126</v>
      </c>
      <c r="X582" s="1">
        <f ca="1">IF(AND(Fonte&lt;&gt;"",Código&lt;&gt;""),MATCH(Fonte&amp;" "&amp;IF(Fonte="sinapi",SUBSTITUTE(SUBSTITUTE(Código,"/00","/"),"/0","/"),Código),INDIRECT("'[Referência "&amp;_xlnm.Database&amp;".xls]Banco'!$a:$a"),0),"X")</f>
        <v>8861</v>
      </c>
      <c r="Y582" s="103">
        <v>103.4</v>
      </c>
      <c r="Z582" s="113">
        <f ca="1">ROUND(IF(ISNUMBER(R582),R582,IF(LEFT(R582,3)="BDI",HLOOKUP(R582,DADOS!$T$37:$X$38,2,FALSE),0)),15-11*$X$5)</f>
        <v>0.25</v>
      </c>
      <c r="AA582" s="1"/>
    </row>
    <row r="583" spans="1:27" x14ac:dyDescent="0.25">
      <c r="A583">
        <f t="shared" si="59"/>
        <v>2</v>
      </c>
      <c r="B583">
        <f t="shared" ca="1" si="60"/>
        <v>2</v>
      </c>
      <c r="C583">
        <f t="shared" ca="1" si="61"/>
        <v>24</v>
      </c>
      <c r="D583">
        <f t="shared" ca="1" si="62"/>
        <v>8</v>
      </c>
      <c r="E583">
        <f t="shared" ca="1" si="63"/>
        <v>0</v>
      </c>
      <c r="F583">
        <f t="shared" ca="1" si="64"/>
        <v>0</v>
      </c>
      <c r="G583">
        <f t="shared" ca="1" si="65"/>
        <v>0</v>
      </c>
      <c r="H583">
        <f t="shared" ca="1" si="57"/>
        <v>17</v>
      </c>
      <c r="I583">
        <f t="shared" ca="1" si="58"/>
        <v>2</v>
      </c>
      <c r="J583" s="356" t="s">
        <v>100</v>
      </c>
      <c r="K583" s="138" t="str">
        <f t="shared" ca="1" si="66"/>
        <v>24.8.</v>
      </c>
      <c r="L583" s="357"/>
      <c r="M583" s="357"/>
      <c r="N583" s="358" t="s">
        <v>418</v>
      </c>
      <c r="O583" s="359" t="s">
        <v>106</v>
      </c>
      <c r="P583" s="360"/>
      <c r="Q583" s="195"/>
      <c r="R583" s="198" t="s">
        <v>7</v>
      </c>
      <c r="S583" s="103">
        <f>IF($A583="S",IF($Q$10="Preço Unitário (R$)",PO.CustoUnitario,ROUND(PO.CustoUnitario*(1+$Z583),15-13*$X$6)),0)</f>
        <v>0</v>
      </c>
      <c r="T583" s="83">
        <f ca="1">IF($A583="S",VTOTAL1,IF($A583=0,0,ROUND(SomaAgrup,15-13*$X$7)))</f>
        <v>0</v>
      </c>
      <c r="U583" s="9" t="str">
        <f t="shared" ca="1" si="67"/>
        <v>SEM VALOR</v>
      </c>
      <c r="V583" s="1">
        <f ca="1">IF(OR($A583=0,$A583="S",$A583&gt;CFF!$A$9),"",MAX(V$12:OFFSET(V583,-1,0))+1)</f>
        <v>90</v>
      </c>
      <c r="W583" s="4" t="b">
        <f t="shared" si="68"/>
        <v>0</v>
      </c>
      <c r="X583" s="1" t="str">
        <f ca="1">IF(AND(Fonte&lt;&gt;"",Código&lt;&gt;""),MATCH(Fonte&amp;" "&amp;IF(Fonte="sinapi",SUBSTITUTE(SUBSTITUTE(Código,"/00","/"),"/0","/"),Código),INDIRECT("'[Referência "&amp;_xlnm.Database&amp;".xls]Banco'!$a:$a"),0),"X")</f>
        <v>X</v>
      </c>
      <c r="Y583" s="103">
        <v>0</v>
      </c>
      <c r="Z583" s="113">
        <f ca="1">ROUND(IF(ISNUMBER(R583),R583,IF(LEFT(R583,3)="BDI",HLOOKUP(R583,DADOS!$T$37:$X$38,2,FALSE),0)),15-11*$X$5)</f>
        <v>0.25</v>
      </c>
      <c r="AA583" s="1"/>
    </row>
    <row r="584" spans="1:27" ht="26.4" x14ac:dyDescent="0.25">
      <c r="A584" t="str">
        <f t="shared" si="59"/>
        <v>S</v>
      </c>
      <c r="B584">
        <f t="shared" si="60"/>
        <v>0</v>
      </c>
      <c r="C584">
        <f t="shared" ca="1" si="61"/>
        <v>24</v>
      </c>
      <c r="D584">
        <f t="shared" ca="1" si="62"/>
        <v>8</v>
      </c>
      <c r="E584">
        <f t="shared" ca="1" si="63"/>
        <v>0</v>
      </c>
      <c r="F584">
        <f t="shared" ca="1" si="64"/>
        <v>0</v>
      </c>
      <c r="G584">
        <f t="shared" ca="1" si="65"/>
        <v>1</v>
      </c>
      <c r="H584">
        <f t="shared" ca="1" si="57"/>
        <v>0</v>
      </c>
      <c r="I584">
        <f t="shared" ca="1" si="58"/>
        <v>0</v>
      </c>
      <c r="J584" s="356" t="s">
        <v>103</v>
      </c>
      <c r="K584" s="138" t="str">
        <f t="shared" ca="1" si="66"/>
        <v>24.8.0.1.</v>
      </c>
      <c r="L584" s="357" t="s">
        <v>233</v>
      </c>
      <c r="M584" s="357" t="s">
        <v>290</v>
      </c>
      <c r="N584" s="358" t="s">
        <v>921</v>
      </c>
      <c r="O584" s="359" t="s">
        <v>470</v>
      </c>
      <c r="P584" s="360">
        <v>7</v>
      </c>
      <c r="Q584" s="195"/>
      <c r="R584" s="198" t="s">
        <v>7</v>
      </c>
      <c r="S584" s="103">
        <f>IF($A584="S",IF($Q$10="Preço Unitário (R$)",PO.CustoUnitario,ROUND(PO.CustoUnitario*(1+$Z584),15-13*$X$6)),0)</f>
        <v>0</v>
      </c>
      <c r="T584" s="83">
        <f>IF($A584="S",VTOTAL1,IF($A584=0,0,ROUND(SomaAgrup,15-13*$X$7)))</f>
        <v>0</v>
      </c>
      <c r="U584" s="9" t="str">
        <f t="shared" si="67"/>
        <v>SEM VALOR</v>
      </c>
      <c r="V584" s="1" t="str">
        <f ca="1">IF(OR($A584=0,$A584="S",$A584&gt;CFF!$A$9),"",MAX(V$12:OFFSET(V584,-1,0))+1)</f>
        <v/>
      </c>
      <c r="W584" s="4" t="str">
        <f t="shared" si="68"/>
        <v>SINAPI-100868</v>
      </c>
      <c r="X584" s="1">
        <f ca="1">IF(AND(Fonte&lt;&gt;"",Código&lt;&gt;""),MATCH(Fonte&amp;" "&amp;IF(Fonte="sinapi",SUBSTITUTE(SUBSTITUTE(Código,"/00","/"),"/0","/"),Código),INDIRECT("'[Referência "&amp;_xlnm.Database&amp;".xls]Banco'!$a:$a"),0),"X")</f>
        <v>5335</v>
      </c>
      <c r="Y584" s="103">
        <v>532.92999999999995</v>
      </c>
      <c r="Z584" s="113">
        <f ca="1">ROUND(IF(ISNUMBER(R584),R584,IF(LEFT(R584,3)="BDI",HLOOKUP(R584,DADOS!$T$37:$X$38,2,FALSE),0)),15-11*$X$5)</f>
        <v>0.25</v>
      </c>
      <c r="AA584" s="1"/>
    </row>
    <row r="585" spans="1:27" x14ac:dyDescent="0.25">
      <c r="A585">
        <f t="shared" si="59"/>
        <v>2</v>
      </c>
      <c r="B585">
        <f t="shared" ca="1" si="60"/>
        <v>5</v>
      </c>
      <c r="C585">
        <f t="shared" ca="1" si="61"/>
        <v>24</v>
      </c>
      <c r="D585">
        <f t="shared" ca="1" si="62"/>
        <v>9</v>
      </c>
      <c r="E585">
        <f t="shared" ca="1" si="63"/>
        <v>0</v>
      </c>
      <c r="F585">
        <f t="shared" ca="1" si="64"/>
        <v>0</v>
      </c>
      <c r="G585">
        <f t="shared" ca="1" si="65"/>
        <v>0</v>
      </c>
      <c r="H585">
        <f t="shared" ca="1" si="57"/>
        <v>15</v>
      </c>
      <c r="I585">
        <f t="shared" ca="1" si="58"/>
        <v>5</v>
      </c>
      <c r="J585" s="356" t="s">
        <v>100</v>
      </c>
      <c r="K585" s="138" t="str">
        <f t="shared" ca="1" si="66"/>
        <v>24.9.</v>
      </c>
      <c r="L585" s="357"/>
      <c r="M585" s="357"/>
      <c r="N585" s="358" t="s">
        <v>922</v>
      </c>
      <c r="O585" s="359" t="s">
        <v>106</v>
      </c>
      <c r="P585" s="360"/>
      <c r="Q585" s="195"/>
      <c r="R585" s="198" t="s">
        <v>7</v>
      </c>
      <c r="S585" s="103">
        <f>IF($A585="S",IF($Q$10="Preço Unitário (R$)",PO.CustoUnitario,ROUND(PO.CustoUnitario*(1+$Z585),15-13*$X$6)),0)</f>
        <v>0</v>
      </c>
      <c r="T585" s="83">
        <f ca="1">IF($A585="S",VTOTAL1,IF($A585=0,0,ROUND(SomaAgrup,15-13*$X$7)))</f>
        <v>0</v>
      </c>
      <c r="U585" s="9" t="str">
        <f t="shared" ca="1" si="67"/>
        <v>SEM VALOR</v>
      </c>
      <c r="V585" s="1">
        <f ca="1">IF(OR($A585=0,$A585="S",$A585&gt;CFF!$A$9),"",MAX(V$12:OFFSET(V585,-1,0))+1)</f>
        <v>91</v>
      </c>
      <c r="W585" s="4" t="b">
        <f t="shared" si="68"/>
        <v>0</v>
      </c>
      <c r="X585" s="1" t="str">
        <f ca="1">IF(AND(Fonte&lt;&gt;"",Código&lt;&gt;""),MATCH(Fonte&amp;" "&amp;IF(Fonte="sinapi",SUBSTITUTE(SUBSTITUTE(Código,"/00","/"),"/0","/"),Código),INDIRECT("'[Referência "&amp;_xlnm.Database&amp;".xls]Banco'!$a:$a"),0),"X")</f>
        <v>X</v>
      </c>
      <c r="Y585" s="103">
        <v>0</v>
      </c>
      <c r="Z585" s="113">
        <f ca="1">ROUND(IF(ISNUMBER(R585),R585,IF(LEFT(R585,3)="BDI",HLOOKUP(R585,DADOS!$T$37:$X$38,2,FALSE),0)),15-11*$X$5)</f>
        <v>0.25</v>
      </c>
      <c r="AA585" s="1"/>
    </row>
    <row r="586" spans="1:27" x14ac:dyDescent="0.25">
      <c r="A586" t="str">
        <f t="shared" si="59"/>
        <v>S</v>
      </c>
      <c r="B586">
        <f t="shared" si="60"/>
        <v>0</v>
      </c>
      <c r="C586">
        <f t="shared" ca="1" si="61"/>
        <v>24</v>
      </c>
      <c r="D586">
        <f t="shared" ca="1" si="62"/>
        <v>9</v>
      </c>
      <c r="E586">
        <f t="shared" ca="1" si="63"/>
        <v>0</v>
      </c>
      <c r="F586">
        <f t="shared" ca="1" si="64"/>
        <v>0</v>
      </c>
      <c r="G586">
        <f t="shared" ca="1" si="65"/>
        <v>1</v>
      </c>
      <c r="H586">
        <f t="shared" ca="1" si="57"/>
        <v>0</v>
      </c>
      <c r="I586">
        <f t="shared" ca="1" si="58"/>
        <v>0</v>
      </c>
      <c r="J586" s="356" t="s">
        <v>103</v>
      </c>
      <c r="K586" s="138" t="str">
        <f t="shared" ca="1" si="66"/>
        <v>24.9.0.1.</v>
      </c>
      <c r="L586" s="357" t="s">
        <v>233</v>
      </c>
      <c r="M586" s="357" t="s">
        <v>923</v>
      </c>
      <c r="N586" s="358" t="s">
        <v>924</v>
      </c>
      <c r="O586" s="359" t="s">
        <v>590</v>
      </c>
      <c r="P586" s="360">
        <v>248.64999999999998</v>
      </c>
      <c r="Q586" s="195"/>
      <c r="R586" s="198" t="s">
        <v>7</v>
      </c>
      <c r="S586" s="103">
        <f>IF($A586="S",IF($Q$10="Preço Unitário (R$)",PO.CustoUnitario,ROUND(PO.CustoUnitario*(1+$Z586),15-13*$X$6)),0)</f>
        <v>0</v>
      </c>
      <c r="T586" s="83">
        <f>IF($A586="S",VTOTAL1,IF($A586=0,0,ROUND(SomaAgrup,15-13*$X$7)))</f>
        <v>0</v>
      </c>
      <c r="U586" s="9" t="str">
        <f t="shared" si="67"/>
        <v>SEM VALOR</v>
      </c>
      <c r="V586" s="1" t="str">
        <f ca="1">IF(OR($A586=0,$A586="S",$A586&gt;CFF!$A$9),"",MAX(V$12:OFFSET(V586,-1,0))+1)</f>
        <v/>
      </c>
      <c r="W586" s="4" t="str">
        <f t="shared" si="68"/>
        <v>SINAPI-96123</v>
      </c>
      <c r="X586" s="1">
        <f ca="1">IF(AND(Fonte&lt;&gt;"",Código&lt;&gt;""),MATCH(Fonte&amp;" "&amp;IF(Fonte="sinapi",SUBSTITUTE(SUBSTITUTE(Código,"/00","/"),"/0","/"),Código),INDIRECT("'[Referência "&amp;_xlnm.Database&amp;".xls]Banco'!$a:$a"),0),"X")</f>
        <v>6779</v>
      </c>
      <c r="Y586" s="103">
        <v>40.33</v>
      </c>
      <c r="Z586" s="113">
        <f ca="1">ROUND(IF(ISNUMBER(R586),R586,IF(LEFT(R586,3)="BDI",HLOOKUP(R586,DADOS!$T$37:$X$38,2,FALSE),0)),15-11*$X$5)</f>
        <v>0.25</v>
      </c>
      <c r="AA586" s="1"/>
    </row>
    <row r="587" spans="1:27" x14ac:dyDescent="0.25">
      <c r="A587">
        <f t="shared" si="59"/>
        <v>3</v>
      </c>
      <c r="B587">
        <f t="shared" ca="1" si="60"/>
        <v>3</v>
      </c>
      <c r="C587">
        <f t="shared" ca="1" si="61"/>
        <v>24</v>
      </c>
      <c r="D587">
        <f t="shared" ca="1" si="62"/>
        <v>9</v>
      </c>
      <c r="E587">
        <f t="shared" ca="1" si="63"/>
        <v>1</v>
      </c>
      <c r="F587">
        <f t="shared" ca="1" si="64"/>
        <v>0</v>
      </c>
      <c r="G587">
        <f t="shared" ca="1" si="65"/>
        <v>0</v>
      </c>
      <c r="H587">
        <f t="shared" ca="1" si="57"/>
        <v>3</v>
      </c>
      <c r="I587" t="e">
        <f t="shared" ca="1" si="58"/>
        <v>#N/A</v>
      </c>
      <c r="J587" s="356" t="s">
        <v>101</v>
      </c>
      <c r="K587" s="138" t="str">
        <f t="shared" ca="1" si="66"/>
        <v>24.9.1.</v>
      </c>
      <c r="L587" s="357"/>
      <c r="M587" s="357"/>
      <c r="N587" s="358" t="s">
        <v>925</v>
      </c>
      <c r="O587" s="359" t="s">
        <v>106</v>
      </c>
      <c r="P587" s="360"/>
      <c r="Q587" s="195"/>
      <c r="R587" s="198" t="s">
        <v>7</v>
      </c>
      <c r="S587" s="103">
        <f>IF($A587="S",IF($Q$10="Preço Unitário (R$)",PO.CustoUnitario,ROUND(PO.CustoUnitario*(1+$Z587),15-13*$X$6)),0)</f>
        <v>0</v>
      </c>
      <c r="T587" s="83">
        <f ca="1">IF($A587="S",VTOTAL1,IF($A587=0,0,ROUND(SomaAgrup,15-13*$X$7)))</f>
        <v>0</v>
      </c>
      <c r="U587" s="9" t="str">
        <f t="shared" ca="1" si="67"/>
        <v>SEM VALOR</v>
      </c>
      <c r="V587" s="1" t="str">
        <f ca="1">IF(OR($A587=0,$A587="S",$A587&gt;CFF!$A$9),"",MAX(V$12:OFFSET(V587,-1,0))+1)</f>
        <v/>
      </c>
      <c r="W587" s="4" t="b">
        <f t="shared" si="68"/>
        <v>0</v>
      </c>
      <c r="X587" s="1" t="str">
        <f ca="1">IF(AND(Fonte&lt;&gt;"",Código&lt;&gt;""),MATCH(Fonte&amp;" "&amp;IF(Fonte="sinapi",SUBSTITUTE(SUBSTITUTE(Código,"/00","/"),"/0","/"),Código),INDIRECT("'[Referência "&amp;_xlnm.Database&amp;".xls]Banco'!$a:$a"),0),"X")</f>
        <v>X</v>
      </c>
      <c r="Y587" s="103">
        <v>0</v>
      </c>
      <c r="Z587" s="113">
        <f ca="1">ROUND(IF(ISNUMBER(R587),R587,IF(LEFT(R587,3)="BDI",HLOOKUP(R587,DADOS!$T$37:$X$38,2,FALSE),0)),15-11*$X$5)</f>
        <v>0.25</v>
      </c>
      <c r="AA587" s="1"/>
    </row>
    <row r="588" spans="1:27" ht="26.4" x14ac:dyDescent="0.25">
      <c r="A588" t="str">
        <f t="shared" si="59"/>
        <v>S</v>
      </c>
      <c r="B588">
        <f t="shared" si="60"/>
        <v>0</v>
      </c>
      <c r="C588">
        <f t="shared" ca="1" si="61"/>
        <v>24</v>
      </c>
      <c r="D588">
        <f t="shared" ca="1" si="62"/>
        <v>9</v>
      </c>
      <c r="E588">
        <f t="shared" ca="1" si="63"/>
        <v>1</v>
      </c>
      <c r="F588">
        <f t="shared" ca="1" si="64"/>
        <v>0</v>
      </c>
      <c r="G588">
        <f t="shared" ca="1" si="65"/>
        <v>1</v>
      </c>
      <c r="H588">
        <f t="shared" ca="1" si="57"/>
        <v>0</v>
      </c>
      <c r="I588">
        <f t="shared" ca="1" si="58"/>
        <v>0</v>
      </c>
      <c r="J588" s="356" t="s">
        <v>103</v>
      </c>
      <c r="K588" s="138" t="str">
        <f t="shared" ca="1" si="66"/>
        <v>24.9.1.1.</v>
      </c>
      <c r="L588" s="357" t="s">
        <v>233</v>
      </c>
      <c r="M588" s="357" t="s">
        <v>334</v>
      </c>
      <c r="N588" s="358" t="s">
        <v>926</v>
      </c>
      <c r="O588" s="359" t="s">
        <v>635</v>
      </c>
      <c r="P588" s="360">
        <v>450</v>
      </c>
      <c r="Q588" s="195"/>
      <c r="R588" s="198" t="s">
        <v>7</v>
      </c>
      <c r="S588" s="103">
        <f>IF($A588="S",IF($Q$10="Preço Unitário (R$)",PO.CustoUnitario,ROUND(PO.CustoUnitario*(1+$Z588),15-13*$X$6)),0)</f>
        <v>0</v>
      </c>
      <c r="T588" s="83">
        <f>IF($A588="S",VTOTAL1,IF($A588=0,0,ROUND(SomaAgrup,15-13*$X$7)))</f>
        <v>0</v>
      </c>
      <c r="U588" s="9" t="str">
        <f t="shared" si="67"/>
        <v>SEM VALOR</v>
      </c>
      <c r="V588" s="1" t="str">
        <f ca="1">IF(OR($A588=0,$A588="S",$A588&gt;CFF!$A$9),"",MAX(V$12:OFFSET(V588,-1,0))+1)</f>
        <v/>
      </c>
      <c r="W588" s="4" t="str">
        <f t="shared" si="68"/>
        <v>SINAPI-87878</v>
      </c>
      <c r="X588" s="1">
        <f ca="1">IF(AND(Fonte&lt;&gt;"",Código&lt;&gt;""),MATCH(Fonte&amp;" "&amp;IF(Fonte="sinapi",SUBSTITUTE(SUBSTITUTE(Código,"/00","/"),"/0","/"),Código),INDIRECT("'[Referência "&amp;_xlnm.Database&amp;".xls]Banco'!$a:$a"),0),"X")</f>
        <v>6532</v>
      </c>
      <c r="Y588" s="103">
        <v>6.19</v>
      </c>
      <c r="Z588" s="113">
        <f ca="1">ROUND(IF(ISNUMBER(R588),R588,IF(LEFT(R588,3)="BDI",HLOOKUP(R588,DADOS!$T$37:$X$38,2,FALSE),0)),15-11*$X$5)</f>
        <v>0.25</v>
      </c>
      <c r="AA588" s="1"/>
    </row>
    <row r="589" spans="1:27" ht="26.4" x14ac:dyDescent="0.25">
      <c r="A589" t="str">
        <f t="shared" si="59"/>
        <v>S</v>
      </c>
      <c r="B589">
        <f t="shared" si="60"/>
        <v>0</v>
      </c>
      <c r="C589">
        <f t="shared" ca="1" si="61"/>
        <v>24</v>
      </c>
      <c r="D589">
        <f t="shared" ca="1" si="62"/>
        <v>9</v>
      </c>
      <c r="E589">
        <f t="shared" ca="1" si="63"/>
        <v>1</v>
      </c>
      <c r="F589">
        <f t="shared" ca="1" si="64"/>
        <v>0</v>
      </c>
      <c r="G589">
        <f t="shared" ca="1" si="65"/>
        <v>2</v>
      </c>
      <c r="H589">
        <f t="shared" ca="1" si="57"/>
        <v>0</v>
      </c>
      <c r="I589">
        <f t="shared" ca="1" si="58"/>
        <v>0</v>
      </c>
      <c r="J589" s="356" t="s">
        <v>103</v>
      </c>
      <c r="K589" s="138" t="str">
        <f t="shared" ca="1" si="66"/>
        <v>24.9.1.2.</v>
      </c>
      <c r="L589" s="357" t="s">
        <v>233</v>
      </c>
      <c r="M589" s="357" t="s">
        <v>336</v>
      </c>
      <c r="N589" s="358" t="s">
        <v>927</v>
      </c>
      <c r="O589" s="359" t="s">
        <v>635</v>
      </c>
      <c r="P589" s="360">
        <v>450</v>
      </c>
      <c r="Q589" s="195"/>
      <c r="R589" s="198" t="s">
        <v>7</v>
      </c>
      <c r="S589" s="103">
        <f>IF($A589="S",IF($Q$10="Preço Unitário (R$)",PO.CustoUnitario,ROUND(PO.CustoUnitario*(1+$Z589),15-13*$X$6)),0)</f>
        <v>0</v>
      </c>
      <c r="T589" s="83">
        <f>IF($A589="S",VTOTAL1,IF($A589=0,0,ROUND(SomaAgrup,15-13*$X$7)))</f>
        <v>0</v>
      </c>
      <c r="U589" s="9" t="str">
        <f t="shared" si="67"/>
        <v>SEM VALOR</v>
      </c>
      <c r="V589" s="1" t="str">
        <f ca="1">IF(OR($A589=0,$A589="S",$A589&gt;CFF!$A$9),"",MAX(V$12:OFFSET(V589,-1,0))+1)</f>
        <v/>
      </c>
      <c r="W589" s="4" t="str">
        <f t="shared" si="68"/>
        <v>SINAPI-87792</v>
      </c>
      <c r="X589" s="1">
        <f ca="1">IF(AND(Fonte&lt;&gt;"",Código&lt;&gt;""),MATCH(Fonte&amp;" "&amp;IF(Fonte="sinapi",SUBSTITUTE(SUBSTITUTE(Código,"/00","/"),"/0","/"),Código),INDIRECT("'[Referência "&amp;_xlnm.Database&amp;".xls]Banco'!$a:$a"),0),"X")</f>
        <v>6605</v>
      </c>
      <c r="Y589" s="103">
        <v>49.66</v>
      </c>
      <c r="Z589" s="113">
        <f ca="1">ROUND(IF(ISNUMBER(R589),R589,IF(LEFT(R589,3)="BDI",HLOOKUP(R589,DADOS!$T$37:$X$38,2,FALSE),0)),15-11*$X$5)</f>
        <v>0.25</v>
      </c>
      <c r="AA589" s="1"/>
    </row>
    <row r="590" spans="1:27" x14ac:dyDescent="0.25">
      <c r="A590">
        <f t="shared" si="59"/>
        <v>2</v>
      </c>
      <c r="B590">
        <f t="shared" ca="1" si="60"/>
        <v>3</v>
      </c>
      <c r="C590">
        <f t="shared" ca="1" si="61"/>
        <v>24</v>
      </c>
      <c r="D590">
        <f t="shared" ca="1" si="62"/>
        <v>10</v>
      </c>
      <c r="E590">
        <f t="shared" ca="1" si="63"/>
        <v>0</v>
      </c>
      <c r="F590">
        <f t="shared" ca="1" si="64"/>
        <v>0</v>
      </c>
      <c r="G590">
        <f t="shared" ca="1" si="65"/>
        <v>0</v>
      </c>
      <c r="H590">
        <f t="shared" ca="1" si="57"/>
        <v>10</v>
      </c>
      <c r="I590">
        <f t="shared" ca="1" si="58"/>
        <v>3</v>
      </c>
      <c r="J590" s="356" t="s">
        <v>100</v>
      </c>
      <c r="K590" s="138" t="str">
        <f t="shared" ca="1" si="66"/>
        <v>24.10.</v>
      </c>
      <c r="L590" s="357"/>
      <c r="M590" s="357"/>
      <c r="N590" s="358" t="s">
        <v>344</v>
      </c>
      <c r="O590" s="359" t="s">
        <v>106</v>
      </c>
      <c r="P590" s="360"/>
      <c r="Q590" s="195"/>
      <c r="R590" s="198" t="s">
        <v>7</v>
      </c>
      <c r="S590" s="103">
        <f>IF($A590="S",IF($Q$10="Preço Unitário (R$)",PO.CustoUnitario,ROUND(PO.CustoUnitario*(1+$Z590),15-13*$X$6)),0)</f>
        <v>0</v>
      </c>
      <c r="T590" s="83">
        <f ca="1">IF($A590="S",VTOTAL1,IF($A590=0,0,ROUND(SomaAgrup,15-13*$X$7)))</f>
        <v>0</v>
      </c>
      <c r="U590" s="9" t="str">
        <f t="shared" ca="1" si="67"/>
        <v>SEM VALOR</v>
      </c>
      <c r="V590" s="1">
        <f ca="1">IF(OR($A590=0,$A590="S",$A590&gt;CFF!$A$9),"",MAX(V$12:OFFSET(V590,-1,0))+1)</f>
        <v>92</v>
      </c>
      <c r="W590" s="4" t="b">
        <f t="shared" si="68"/>
        <v>0</v>
      </c>
      <c r="X590" s="1" t="str">
        <f ca="1">IF(AND(Fonte&lt;&gt;"",Código&lt;&gt;""),MATCH(Fonte&amp;" "&amp;IF(Fonte="sinapi",SUBSTITUTE(SUBSTITUTE(Código,"/00","/"),"/0","/"),Código),INDIRECT("'[Referência "&amp;_xlnm.Database&amp;".xls]Banco'!$a:$a"),0),"X")</f>
        <v>X</v>
      </c>
      <c r="Y590" s="103">
        <v>0</v>
      </c>
      <c r="Z590" s="113">
        <f ca="1">ROUND(IF(ISNUMBER(R590),R590,IF(LEFT(R590,3)="BDI",HLOOKUP(R590,DADOS!$T$37:$X$38,2,FALSE),0)),15-11*$X$5)</f>
        <v>0.25</v>
      </c>
      <c r="AA590" s="1"/>
    </row>
    <row r="591" spans="1:27" x14ac:dyDescent="0.25">
      <c r="A591" t="str">
        <f t="shared" si="59"/>
        <v>S</v>
      </c>
      <c r="B591">
        <f t="shared" si="60"/>
        <v>0</v>
      </c>
      <c r="C591">
        <f t="shared" ca="1" si="61"/>
        <v>24</v>
      </c>
      <c r="D591">
        <f t="shared" ca="1" si="62"/>
        <v>10</v>
      </c>
      <c r="E591">
        <f t="shared" ca="1" si="63"/>
        <v>0</v>
      </c>
      <c r="F591">
        <f t="shared" ca="1" si="64"/>
        <v>0</v>
      </c>
      <c r="G591">
        <f t="shared" ca="1" si="65"/>
        <v>1</v>
      </c>
      <c r="H591">
        <f t="shared" ca="1" si="57"/>
        <v>0</v>
      </c>
      <c r="I591">
        <f t="shared" ca="1" si="58"/>
        <v>0</v>
      </c>
      <c r="J591" s="356" t="s">
        <v>103</v>
      </c>
      <c r="K591" s="138" t="str">
        <f t="shared" ca="1" si="66"/>
        <v>24.10.0.1.</v>
      </c>
      <c r="L591" s="357" t="s">
        <v>233</v>
      </c>
      <c r="M591" s="357" t="s">
        <v>928</v>
      </c>
      <c r="N591" s="358" t="s">
        <v>360</v>
      </c>
      <c r="O591" s="359" t="s">
        <v>635</v>
      </c>
      <c r="P591" s="360"/>
      <c r="Q591" s="195"/>
      <c r="R591" s="198" t="s">
        <v>7</v>
      </c>
      <c r="S591" s="103">
        <f>IF($A591="S",IF($Q$10="Preço Unitário (R$)",PO.CustoUnitario,ROUND(PO.CustoUnitario*(1+$Z591),15-13*$X$6)),0)</f>
        <v>0</v>
      </c>
      <c r="T591" s="83">
        <f>IF($A591="S",VTOTAL1,IF($A591=0,0,ROUND(SomaAgrup,15-13*$X$7)))</f>
        <v>0</v>
      </c>
      <c r="U591" s="9" t="str">
        <f t="shared" si="67"/>
        <v>SEM VALOR</v>
      </c>
      <c r="V591" s="1" t="str">
        <f ca="1">IF(OR($A591=0,$A591="S",$A591&gt;CFF!$A$9),"",MAX(V$12:OFFSET(V591,-1,0))+1)</f>
        <v/>
      </c>
      <c r="W591" s="4" t="str">
        <f t="shared" si="68"/>
        <v>SINAPI-101727</v>
      </c>
      <c r="X591" s="1">
        <f ca="1">IF(AND(Fonte&lt;&gt;"",Código&lt;&gt;""),MATCH(Fonte&amp;" "&amp;IF(Fonte="sinapi",SUBSTITUTE(SUBSTITUTE(Código,"/00","/"),"/0","/"),Código),INDIRECT("'[Referência "&amp;_xlnm.Database&amp;".xls]Banco'!$a:$a"),0),"X")</f>
        <v>6444</v>
      </c>
      <c r="Y591" s="103">
        <v>242.75</v>
      </c>
      <c r="Z591" s="113">
        <f ca="1">ROUND(IF(ISNUMBER(R591),R591,IF(LEFT(R591,3)="BDI",HLOOKUP(R591,DADOS!$T$37:$X$38,2,FALSE),0)),15-11*$X$5)</f>
        <v>0.25</v>
      </c>
      <c r="AA591" s="1"/>
    </row>
    <row r="592" spans="1:27" x14ac:dyDescent="0.25">
      <c r="A592" t="str">
        <f t="shared" si="59"/>
        <v>S</v>
      </c>
      <c r="B592">
        <f t="shared" si="60"/>
        <v>0</v>
      </c>
      <c r="C592">
        <f t="shared" ca="1" si="61"/>
        <v>24</v>
      </c>
      <c r="D592">
        <f t="shared" ca="1" si="62"/>
        <v>10</v>
      </c>
      <c r="E592">
        <f t="shared" ca="1" si="63"/>
        <v>0</v>
      </c>
      <c r="F592">
        <f t="shared" ca="1" si="64"/>
        <v>0</v>
      </c>
      <c r="G592">
        <f t="shared" ca="1" si="65"/>
        <v>2</v>
      </c>
      <c r="H592">
        <f t="shared" ca="1" si="57"/>
        <v>0</v>
      </c>
      <c r="I592">
        <f t="shared" ca="1" si="58"/>
        <v>0</v>
      </c>
      <c r="J592" s="356" t="s">
        <v>103</v>
      </c>
      <c r="K592" s="138" t="str">
        <f t="shared" ca="1" si="66"/>
        <v>24.10.0.2.</v>
      </c>
      <c r="L592" s="357" t="s">
        <v>240</v>
      </c>
      <c r="M592" s="357" t="s">
        <v>929</v>
      </c>
      <c r="N592" s="358" t="s">
        <v>930</v>
      </c>
      <c r="O592" s="359" t="s">
        <v>931</v>
      </c>
      <c r="P592" s="360">
        <v>34.481000000000002</v>
      </c>
      <c r="Q592" s="195"/>
      <c r="R592" s="198" t="s">
        <v>7</v>
      </c>
      <c r="S592" s="103">
        <f>IF($A592="S",IF($Q$10="Preço Unitário (R$)",PO.CustoUnitario,ROUND(PO.CustoUnitario*(1+$Z592),15-13*$X$6)),0)</f>
        <v>0</v>
      </c>
      <c r="T592" s="83">
        <f>IF($A592="S",VTOTAL1,IF($A592=0,0,ROUND(SomaAgrup,15-13*$X$7)))</f>
        <v>0</v>
      </c>
      <c r="U592" s="9" t="str">
        <f t="shared" si="67"/>
        <v>SEM VALOR</v>
      </c>
      <c r="V592" s="1" t="str">
        <f ca="1">IF(OR($A592=0,$A592="S",$A592&gt;CFF!$A$9),"",MAX(V$12:OFFSET(V592,-1,0))+1)</f>
        <v/>
      </c>
      <c r="W592" s="4" t="str">
        <f t="shared" si="68"/>
        <v>SINAPI-I-7253</v>
      </c>
      <c r="X592" s="1">
        <f ca="1">IF(AND(Fonte&lt;&gt;"",Código&lt;&gt;""),MATCH(Fonte&amp;" "&amp;IF(Fonte="sinapi",SUBSTITUTE(SUBSTITUTE(Código,"/00","/"),"/0","/"),Código),INDIRECT("'[Referência "&amp;_xlnm.Database&amp;".xls]Banco'!$a:$a"),0),"X")</f>
        <v>11958</v>
      </c>
      <c r="Y592" s="103">
        <v>208.93</v>
      </c>
      <c r="Z592" s="113">
        <f ca="1">ROUND(IF(ISNUMBER(R592),R592,IF(LEFT(R592,3)="BDI",HLOOKUP(R592,DADOS!$T$37:$X$38,2,FALSE),0)),15-11*$X$5)</f>
        <v>0.25</v>
      </c>
      <c r="AA592" s="1"/>
    </row>
    <row r="593" spans="1:27" x14ac:dyDescent="0.25">
      <c r="A593">
        <f t="shared" si="59"/>
        <v>2</v>
      </c>
      <c r="B593">
        <f t="shared" ca="1" si="60"/>
        <v>2</v>
      </c>
      <c r="C593">
        <f t="shared" ca="1" si="61"/>
        <v>24</v>
      </c>
      <c r="D593">
        <f t="shared" ca="1" si="62"/>
        <v>11</v>
      </c>
      <c r="E593">
        <f t="shared" ca="1" si="63"/>
        <v>0</v>
      </c>
      <c r="F593">
        <f t="shared" ca="1" si="64"/>
        <v>0</v>
      </c>
      <c r="G593">
        <f t="shared" ca="1" si="65"/>
        <v>0</v>
      </c>
      <c r="H593">
        <f t="shared" ca="1" si="57"/>
        <v>7</v>
      </c>
      <c r="I593">
        <f t="shared" ca="1" si="58"/>
        <v>2</v>
      </c>
      <c r="J593" s="356" t="s">
        <v>100</v>
      </c>
      <c r="K593" s="138" t="str">
        <f t="shared" ca="1" si="66"/>
        <v>24.11.</v>
      </c>
      <c r="L593" s="357"/>
      <c r="M593" s="357"/>
      <c r="N593" s="358" t="s">
        <v>932</v>
      </c>
      <c r="O593" s="359" t="s">
        <v>106</v>
      </c>
      <c r="P593" s="360"/>
      <c r="Q593" s="195"/>
      <c r="R593" s="198" t="s">
        <v>7</v>
      </c>
      <c r="S593" s="103">
        <f>IF($A593="S",IF($Q$10="Preço Unitário (R$)",PO.CustoUnitario,ROUND(PO.CustoUnitario*(1+$Z593),15-13*$X$6)),0)</f>
        <v>0</v>
      </c>
      <c r="T593" s="83">
        <f ca="1">IF($A593="S",VTOTAL1,IF($A593=0,0,ROUND(SomaAgrup,15-13*$X$7)))</f>
        <v>0</v>
      </c>
      <c r="U593" s="9" t="str">
        <f t="shared" ca="1" si="67"/>
        <v>SEM VALOR</v>
      </c>
      <c r="V593" s="1">
        <f ca="1">IF(OR($A593=0,$A593="S",$A593&gt;CFF!$A$9),"",MAX(V$12:OFFSET(V593,-1,0))+1)</f>
        <v>93</v>
      </c>
      <c r="W593" s="4" t="b">
        <f t="shared" si="68"/>
        <v>0</v>
      </c>
      <c r="X593" s="1" t="str">
        <f ca="1">IF(AND(Fonte&lt;&gt;"",Código&lt;&gt;""),MATCH(Fonte&amp;" "&amp;IF(Fonte="sinapi",SUBSTITUTE(SUBSTITUTE(Código,"/00","/"),"/0","/"),Código),INDIRECT("'[Referência "&amp;_xlnm.Database&amp;".xls]Banco'!$a:$a"),0),"X")</f>
        <v>X</v>
      </c>
      <c r="Y593" s="103">
        <v>0</v>
      </c>
      <c r="Z593" s="113">
        <f ca="1">ROUND(IF(ISNUMBER(R593),R593,IF(LEFT(R593,3)="BDI",HLOOKUP(R593,DADOS!$T$37:$X$38,2,FALSE),0)),15-11*$X$5)</f>
        <v>0.25</v>
      </c>
      <c r="AA593" s="1"/>
    </row>
    <row r="594" spans="1:27" x14ac:dyDescent="0.25">
      <c r="A594" t="str">
        <f t="shared" si="59"/>
        <v>S</v>
      </c>
      <c r="B594">
        <f t="shared" si="60"/>
        <v>0</v>
      </c>
      <c r="C594">
        <f t="shared" ca="1" si="61"/>
        <v>24</v>
      </c>
      <c r="D594">
        <f t="shared" ca="1" si="62"/>
        <v>11</v>
      </c>
      <c r="E594">
        <f t="shared" ca="1" si="63"/>
        <v>0</v>
      </c>
      <c r="F594">
        <f t="shared" ca="1" si="64"/>
        <v>0</v>
      </c>
      <c r="G594">
        <f t="shared" ca="1" si="65"/>
        <v>1</v>
      </c>
      <c r="H594">
        <f t="shared" ca="1" si="57"/>
        <v>0</v>
      </c>
      <c r="I594">
        <f t="shared" ca="1" si="58"/>
        <v>0</v>
      </c>
      <c r="J594" s="356" t="s">
        <v>103</v>
      </c>
      <c r="K594" s="138" t="str">
        <f t="shared" ca="1" si="66"/>
        <v>24.11.0.1.</v>
      </c>
      <c r="L594" s="357" t="s">
        <v>240</v>
      </c>
      <c r="M594" s="357" t="s">
        <v>933</v>
      </c>
      <c r="N594" s="358" t="s">
        <v>934</v>
      </c>
      <c r="O594" s="359" t="s">
        <v>907</v>
      </c>
      <c r="P594" s="360">
        <v>9</v>
      </c>
      <c r="Q594" s="195"/>
      <c r="R594" s="198" t="s">
        <v>7</v>
      </c>
      <c r="S594" s="103">
        <f>IF($A594="S",IF($Q$10="Preço Unitário (R$)",PO.CustoUnitario,ROUND(PO.CustoUnitario*(1+$Z594),15-13*$X$6)),0)</f>
        <v>0</v>
      </c>
      <c r="T594" s="83">
        <f>IF($A594="S",VTOTAL1,IF($A594=0,0,ROUND(SomaAgrup,15-13*$X$7)))</f>
        <v>0</v>
      </c>
      <c r="U594" s="9" t="str">
        <f t="shared" si="67"/>
        <v>SEM VALOR</v>
      </c>
      <c r="V594" s="1" t="str">
        <f ca="1">IF(OR($A594=0,$A594="S",$A594&gt;CFF!$A$9),"",MAX(V$12:OFFSET(V594,-1,0))+1)</f>
        <v/>
      </c>
      <c r="W594" s="4" t="str">
        <f t="shared" si="68"/>
        <v>SINAPI-I-36204</v>
      </c>
      <c r="X594" s="1">
        <f ca="1">IF(AND(Fonte&lt;&gt;"",Código&lt;&gt;""),MATCH(Fonte&amp;" "&amp;IF(Fonte="sinapi",SUBSTITUTE(SUBSTITUTE(Código,"/00","/"),"/0","/"),Código),INDIRECT("'[Referência "&amp;_xlnm.Database&amp;".xls]Banco'!$a:$a"),0),"X")</f>
        <v>8181</v>
      </c>
      <c r="Y594" s="103">
        <v>297.63</v>
      </c>
      <c r="Z594" s="113">
        <f ca="1">ROUND(IF(ISNUMBER(R594),R594,IF(LEFT(R594,3)="BDI",HLOOKUP(R594,DADOS!$T$37:$X$38,2,FALSE),0)),15-11*$X$5)</f>
        <v>0.25</v>
      </c>
      <c r="AA594" s="1"/>
    </row>
    <row r="595" spans="1:27" x14ac:dyDescent="0.25">
      <c r="A595">
        <f t="shared" si="59"/>
        <v>2</v>
      </c>
      <c r="B595">
        <f t="shared" ca="1" si="60"/>
        <v>5</v>
      </c>
      <c r="C595">
        <f t="shared" ca="1" si="61"/>
        <v>24</v>
      </c>
      <c r="D595">
        <f t="shared" ca="1" si="62"/>
        <v>12</v>
      </c>
      <c r="E595">
        <f t="shared" ca="1" si="63"/>
        <v>0</v>
      </c>
      <c r="F595">
        <f t="shared" ca="1" si="64"/>
        <v>0</v>
      </c>
      <c r="G595">
        <f t="shared" ca="1" si="65"/>
        <v>0</v>
      </c>
      <c r="H595">
        <f t="shared" ca="1" si="57"/>
        <v>5</v>
      </c>
      <c r="I595" t="e">
        <f t="shared" ca="1" si="58"/>
        <v>#N/A</v>
      </c>
      <c r="J595" s="356" t="s">
        <v>100</v>
      </c>
      <c r="K595" s="138" t="str">
        <f t="shared" ca="1" si="66"/>
        <v>24.12.</v>
      </c>
      <c r="L595" s="357"/>
      <c r="M595" s="357"/>
      <c r="N595" s="358" t="s">
        <v>936</v>
      </c>
      <c r="O595" s="359" t="s">
        <v>106</v>
      </c>
      <c r="P595" s="360"/>
      <c r="Q595" s="195"/>
      <c r="R595" s="198" t="s">
        <v>7</v>
      </c>
      <c r="S595" s="103">
        <f>IF($A595="S",IF($Q$10="Preço Unitário (R$)",PO.CustoUnitario,ROUND(PO.CustoUnitario*(1+$Z595),15-13*$X$6)),0)</f>
        <v>0</v>
      </c>
      <c r="T595" s="83">
        <f ca="1">IF($A595="S",VTOTAL1,IF($A595=0,0,ROUND(SomaAgrup,15-13*$X$7)))</f>
        <v>0</v>
      </c>
      <c r="U595" s="9" t="str">
        <f t="shared" ca="1" si="67"/>
        <v>SEM VALOR</v>
      </c>
      <c r="V595" s="1">
        <f ca="1">IF(OR($A595=0,$A595="S",$A595&gt;CFF!$A$9),"",MAX(V$12:OFFSET(V595,-1,0))+1)</f>
        <v>94</v>
      </c>
      <c r="W595" s="4" t="b">
        <f t="shared" si="68"/>
        <v>0</v>
      </c>
      <c r="X595" s="1" t="str">
        <f ca="1">IF(AND(Fonte&lt;&gt;"",Código&lt;&gt;""),MATCH(Fonte&amp;" "&amp;IF(Fonte="sinapi",SUBSTITUTE(SUBSTITUTE(Código,"/00","/"),"/0","/"),Código),INDIRECT("'[Referência "&amp;_xlnm.Database&amp;".xls]Banco'!$a:$a"),0),"X")</f>
        <v>X</v>
      </c>
      <c r="Y595" s="103">
        <v>0</v>
      </c>
      <c r="Z595" s="113">
        <f ca="1">ROUND(IF(ISNUMBER(R595),R595,IF(LEFT(R595,3)="BDI",HLOOKUP(R595,DADOS!$T$37:$X$38,2,FALSE),0)),15-11*$X$5)</f>
        <v>0.25</v>
      </c>
      <c r="AA595" s="1"/>
    </row>
    <row r="596" spans="1:27" ht="26.4" x14ac:dyDescent="0.25">
      <c r="A596" t="str">
        <f t="shared" si="59"/>
        <v>S</v>
      </c>
      <c r="B596">
        <f t="shared" si="60"/>
        <v>0</v>
      </c>
      <c r="C596">
        <f t="shared" ca="1" si="61"/>
        <v>24</v>
      </c>
      <c r="D596">
        <f t="shared" ca="1" si="62"/>
        <v>12</v>
      </c>
      <c r="E596">
        <f t="shared" ca="1" si="63"/>
        <v>0</v>
      </c>
      <c r="F596">
        <f t="shared" ca="1" si="64"/>
        <v>0</v>
      </c>
      <c r="G596">
        <f t="shared" ca="1" si="65"/>
        <v>1</v>
      </c>
      <c r="H596">
        <f t="shared" ca="1" si="57"/>
        <v>0</v>
      </c>
      <c r="I596">
        <f t="shared" ca="1" si="58"/>
        <v>0</v>
      </c>
      <c r="J596" s="356" t="s">
        <v>103</v>
      </c>
      <c r="K596" s="138" t="str">
        <f t="shared" ca="1" si="66"/>
        <v>24.12.0.1.</v>
      </c>
      <c r="L596" s="357" t="s">
        <v>233</v>
      </c>
      <c r="M596" s="357" t="s">
        <v>937</v>
      </c>
      <c r="N596" s="358" t="s">
        <v>1189</v>
      </c>
      <c r="O596" s="359" t="s">
        <v>635</v>
      </c>
      <c r="P596" s="360">
        <v>65</v>
      </c>
      <c r="Q596" s="195"/>
      <c r="R596" s="198" t="s">
        <v>7</v>
      </c>
      <c r="S596" s="103">
        <f>IF($A596="S",IF($Q$10="Preço Unitário (R$)",PO.CustoUnitario,ROUND(PO.CustoUnitario*(1+$Z596),15-13*$X$6)),0)</f>
        <v>0</v>
      </c>
      <c r="T596" s="83">
        <f>IF($A596="S",VTOTAL1,IF($A596=0,0,ROUND(SomaAgrup,15-13*$X$7)))</f>
        <v>0</v>
      </c>
      <c r="U596" s="9" t="str">
        <f t="shared" si="67"/>
        <v>SEM VALOR</v>
      </c>
      <c r="V596" s="1" t="str">
        <f ca="1">IF(OR($A596=0,$A596="S",$A596&gt;CFF!$A$9),"",MAX(V$12:OFFSET(V596,-1,0))+1)</f>
        <v/>
      </c>
      <c r="W596" s="4" t="str">
        <f t="shared" si="68"/>
        <v>SINAPI-100341</v>
      </c>
      <c r="X596" s="1">
        <f ca="1">IF(AND(Fonte&lt;&gt;"",Código&lt;&gt;""),MATCH(Fonte&amp;" "&amp;IF(Fonte="sinapi",SUBSTITUTE(SUBSTITUTE(Código,"/00","/"),"/0","/"),Código),INDIRECT("'[Referência "&amp;_xlnm.Database&amp;".xls]Banco'!$a:$a"),0),"X")</f>
        <v>1708</v>
      </c>
      <c r="Y596" s="103">
        <v>50.74</v>
      </c>
      <c r="Z596" s="113">
        <f ca="1">ROUND(IF(ISNUMBER(R596),R596,IF(LEFT(R596,3)="BDI",HLOOKUP(R596,DADOS!$T$37:$X$38,2,FALSE),0)),15-11*$X$5)</f>
        <v>0.25</v>
      </c>
      <c r="AA596" s="1"/>
    </row>
    <row r="597" spans="1:27" ht="26.4" x14ac:dyDescent="0.25">
      <c r="A597" t="str">
        <f t="shared" si="59"/>
        <v>S</v>
      </c>
      <c r="B597">
        <f t="shared" si="60"/>
        <v>0</v>
      </c>
      <c r="C597">
        <f t="shared" ca="1" si="61"/>
        <v>24</v>
      </c>
      <c r="D597">
        <f t="shared" ca="1" si="62"/>
        <v>12</v>
      </c>
      <c r="E597">
        <f t="shared" ca="1" si="63"/>
        <v>0</v>
      </c>
      <c r="F597">
        <f t="shared" ca="1" si="64"/>
        <v>0</v>
      </c>
      <c r="G597">
        <f t="shared" ca="1" si="65"/>
        <v>2</v>
      </c>
      <c r="H597">
        <f t="shared" ca="1" si="57"/>
        <v>0</v>
      </c>
      <c r="I597">
        <f t="shared" ca="1" si="58"/>
        <v>0</v>
      </c>
      <c r="J597" s="356" t="s">
        <v>103</v>
      </c>
      <c r="K597" s="138" t="str">
        <f t="shared" ca="1" si="66"/>
        <v>24.12.0.2.</v>
      </c>
      <c r="L597" s="357" t="s">
        <v>233</v>
      </c>
      <c r="M597" s="357" t="s">
        <v>938</v>
      </c>
      <c r="N597" s="358" t="s">
        <v>1190</v>
      </c>
      <c r="O597" s="359" t="s">
        <v>660</v>
      </c>
      <c r="P597" s="360">
        <v>24</v>
      </c>
      <c r="Q597" s="195"/>
      <c r="R597" s="198" t="s">
        <v>7</v>
      </c>
      <c r="S597" s="103">
        <f>IF($A597="S",IF($Q$10="Preço Unitário (R$)",PO.CustoUnitario,ROUND(PO.CustoUnitario*(1+$Z597),15-13*$X$6)),0)</f>
        <v>0</v>
      </c>
      <c r="T597" s="83">
        <f>IF($A597="S",VTOTAL1,IF($A597=0,0,ROUND(SomaAgrup,15-13*$X$7)))</f>
        <v>0</v>
      </c>
      <c r="U597" s="9" t="str">
        <f t="shared" si="67"/>
        <v>SEM VALOR</v>
      </c>
      <c r="V597" s="1" t="str">
        <f ca="1">IF(OR($A597=0,$A597="S",$A597&gt;CFF!$A$9),"",MAX(V$12:OFFSET(V597,-1,0))+1)</f>
        <v/>
      </c>
      <c r="W597" s="4" t="str">
        <f t="shared" si="68"/>
        <v>SINAPI-100349</v>
      </c>
      <c r="X597" s="1">
        <f ca="1">IF(AND(Fonte&lt;&gt;"",Código&lt;&gt;""),MATCH(Fonte&amp;" "&amp;IF(Fonte="sinapi",SUBSTITUTE(SUBSTITUTE(Código,"/00","/"),"/0","/"),Código),INDIRECT("'[Referência "&amp;_xlnm.Database&amp;".xls]Banco'!$a:$a"),0),"X")</f>
        <v>1716</v>
      </c>
      <c r="Y597" s="103">
        <v>842.29</v>
      </c>
      <c r="Z597" s="113">
        <f ca="1">ROUND(IF(ISNUMBER(R597),R597,IF(LEFT(R597,3)="BDI",HLOOKUP(R597,DADOS!$T$37:$X$38,2,FALSE),0)),15-11*$X$5)</f>
        <v>0.25</v>
      </c>
      <c r="AA597" s="1"/>
    </row>
    <row r="598" spans="1:27" ht="26.4" x14ac:dyDescent="0.25">
      <c r="A598" t="str">
        <f t="shared" si="59"/>
        <v>S</v>
      </c>
      <c r="B598">
        <f t="shared" si="60"/>
        <v>0</v>
      </c>
      <c r="C598">
        <f t="shared" ca="1" si="61"/>
        <v>24</v>
      </c>
      <c r="D598">
        <f t="shared" ca="1" si="62"/>
        <v>12</v>
      </c>
      <c r="E598">
        <f t="shared" ca="1" si="63"/>
        <v>0</v>
      </c>
      <c r="F598">
        <f t="shared" ca="1" si="64"/>
        <v>0</v>
      </c>
      <c r="G598">
        <f t="shared" ca="1" si="65"/>
        <v>3</v>
      </c>
      <c r="H598">
        <f t="shared" ca="1" si="57"/>
        <v>0</v>
      </c>
      <c r="I598">
        <f t="shared" ca="1" si="58"/>
        <v>0</v>
      </c>
      <c r="J598" s="356" t="s">
        <v>103</v>
      </c>
      <c r="K598" s="138" t="str">
        <f t="shared" ca="1" si="66"/>
        <v>24.12.0.3.</v>
      </c>
      <c r="L598" s="357" t="s">
        <v>233</v>
      </c>
      <c r="M598" s="357" t="s">
        <v>939</v>
      </c>
      <c r="N598" s="358" t="s">
        <v>1191</v>
      </c>
      <c r="O598" s="359" t="s">
        <v>892</v>
      </c>
      <c r="P598" s="360">
        <v>2400</v>
      </c>
      <c r="Q598" s="195"/>
      <c r="R598" s="198" t="s">
        <v>7</v>
      </c>
      <c r="S598" s="103">
        <f>IF($A598="S",IF($Q$10="Preço Unitário (R$)",PO.CustoUnitario,ROUND(PO.CustoUnitario*(1+$Z598),15-13*$X$6)),0)</f>
        <v>0</v>
      </c>
      <c r="T598" s="83">
        <f>IF($A598="S",VTOTAL1,IF($A598=0,0,ROUND(SomaAgrup,15-13*$X$7)))</f>
        <v>0</v>
      </c>
      <c r="U598" s="9" t="str">
        <f t="shared" si="67"/>
        <v>SEM VALOR</v>
      </c>
      <c r="V598" s="1" t="str">
        <f ca="1">IF(OR($A598=0,$A598="S",$A598&gt;CFF!$A$9),"",MAX(V$12:OFFSET(V598,-1,0))+1)</f>
        <v/>
      </c>
      <c r="W598" s="4" t="str">
        <f t="shared" si="68"/>
        <v>SINAPI-100344</v>
      </c>
      <c r="X598" s="1">
        <f ca="1">IF(AND(Fonte&lt;&gt;"",Código&lt;&gt;""),MATCH(Fonte&amp;" "&amp;IF(Fonte="sinapi",SUBSTITUTE(SUBSTITUTE(Código,"/00","/"),"/0","/"),Código),INDIRECT("'[Referência "&amp;_xlnm.Database&amp;".xls]Banco'!$a:$a"),0),"X")</f>
        <v>1711</v>
      </c>
      <c r="Y598" s="103">
        <v>15.09</v>
      </c>
      <c r="Z598" s="113">
        <f ca="1">ROUND(IF(ISNUMBER(R598),R598,IF(LEFT(R598,3)="BDI",HLOOKUP(R598,DADOS!$T$37:$X$38,2,FALSE),0)),15-11*$X$5)</f>
        <v>0.25</v>
      </c>
      <c r="AA598" s="1"/>
    </row>
    <row r="599" spans="1:27" ht="26.4" x14ac:dyDescent="0.25">
      <c r="A599" t="str">
        <f t="shared" si="59"/>
        <v>S</v>
      </c>
      <c r="B599">
        <f t="shared" si="60"/>
        <v>0</v>
      </c>
      <c r="C599">
        <f t="shared" ca="1" si="61"/>
        <v>24</v>
      </c>
      <c r="D599">
        <f t="shared" ca="1" si="62"/>
        <v>12</v>
      </c>
      <c r="E599">
        <f t="shared" ca="1" si="63"/>
        <v>0</v>
      </c>
      <c r="F599">
        <f t="shared" ca="1" si="64"/>
        <v>0</v>
      </c>
      <c r="G599">
        <f t="shared" ca="1" si="65"/>
        <v>4</v>
      </c>
      <c r="H599">
        <f t="shared" ca="1" si="57"/>
        <v>0</v>
      </c>
      <c r="I599">
        <f t="shared" ca="1" si="58"/>
        <v>0</v>
      </c>
      <c r="J599" s="356" t="s">
        <v>103</v>
      </c>
      <c r="K599" s="138" t="str">
        <f t="shared" ca="1" si="66"/>
        <v>24.12.0.4.</v>
      </c>
      <c r="L599" s="357" t="s">
        <v>240</v>
      </c>
      <c r="M599" s="357" t="s">
        <v>940</v>
      </c>
      <c r="N599" s="358" t="s">
        <v>1192</v>
      </c>
      <c r="O599" s="359" t="s">
        <v>931</v>
      </c>
      <c r="P599" s="360">
        <v>24</v>
      </c>
      <c r="Q599" s="195"/>
      <c r="R599" s="198" t="s">
        <v>7</v>
      </c>
      <c r="S599" s="103">
        <f>IF($A599="S",IF($Q$10="Preço Unitário (R$)",PO.CustoUnitario,ROUND(PO.CustoUnitario*(1+$Z599),15-13*$X$6)),0)</f>
        <v>0</v>
      </c>
      <c r="T599" s="83">
        <f>IF($A599="S",VTOTAL1,IF($A599=0,0,ROUND(SomaAgrup,15-13*$X$7)))</f>
        <v>0</v>
      </c>
      <c r="U599" s="9" t="str">
        <f t="shared" si="67"/>
        <v>SEM VALOR</v>
      </c>
      <c r="V599" s="1" t="str">
        <f ca="1">IF(OR($A599=0,$A599="S",$A599&gt;CFF!$A$9),"",MAX(V$12:OFFSET(V599,-1,0))+1)</f>
        <v/>
      </c>
      <c r="W599" s="4" t="str">
        <f t="shared" si="68"/>
        <v>SINAPI-I-1527</v>
      </c>
      <c r="X599" s="1">
        <f ca="1">IF(AND(Fonte&lt;&gt;"",Código&lt;&gt;""),MATCH(Fonte&amp;" "&amp;IF(Fonte="sinapi",SUBSTITUTE(SUBSTITUTE(Código,"/00","/"),"/0","/"),Código),INDIRECT("'[Referência "&amp;_xlnm.Database&amp;".xls]Banco'!$a:$a"),0),"X")</f>
        <v>8945</v>
      </c>
      <c r="Y599" s="103">
        <v>707.3</v>
      </c>
      <c r="Z599" s="113">
        <f ca="1">ROUND(IF(ISNUMBER(R599),R599,IF(LEFT(R599,3)="BDI",HLOOKUP(R599,DADOS!$T$37:$X$38,2,FALSE),0)),15-11*$X$5)</f>
        <v>0.25</v>
      </c>
      <c r="AA599" s="1"/>
    </row>
    <row r="600" spans="1:27" x14ac:dyDescent="0.25">
      <c r="A600">
        <f t="shared" si="38"/>
        <v>1</v>
      </c>
      <c r="B600">
        <f t="shared" ca="1" si="39"/>
        <v>3</v>
      </c>
      <c r="C600">
        <f t="shared" ca="1" si="40"/>
        <v>25</v>
      </c>
      <c r="D600">
        <f t="shared" ca="1" si="41"/>
        <v>0</v>
      </c>
      <c r="E600">
        <f t="shared" ca="1" si="42"/>
        <v>0</v>
      </c>
      <c r="F600">
        <f t="shared" ca="1" si="43"/>
        <v>0</v>
      </c>
      <c r="G600">
        <f t="shared" ca="1" si="44"/>
        <v>0</v>
      </c>
      <c r="H600">
        <f t="shared" ca="1" si="57"/>
        <v>3</v>
      </c>
      <c r="I600" t="e">
        <f t="shared" ca="1" si="58"/>
        <v>#N/A</v>
      </c>
      <c r="J600" s="356" t="s">
        <v>99</v>
      </c>
      <c r="K600" s="138" t="str">
        <f t="shared" ca="1" si="45"/>
        <v>25.</v>
      </c>
      <c r="L600" s="357"/>
      <c r="M600" s="357"/>
      <c r="N600" s="358" t="s">
        <v>637</v>
      </c>
      <c r="O600" s="359" t="s">
        <v>106</v>
      </c>
      <c r="P600" s="360"/>
      <c r="Q600" s="195"/>
      <c r="R600" s="198" t="s">
        <v>7</v>
      </c>
      <c r="S600" s="103">
        <f t="shared" si="46"/>
        <v>0</v>
      </c>
      <c r="T600" s="83">
        <f t="shared" ca="1" si="47"/>
        <v>0</v>
      </c>
      <c r="U600" s="9" t="str">
        <f t="shared" ca="1" si="48"/>
        <v>SEM VALOR</v>
      </c>
      <c r="V600" s="1">
        <f ca="1">IF(OR($A600=0,$A600="S",$A600&gt;CFF!$A$9),"",MAX(V$12:OFFSET(V600,-1,0))+1)</f>
        <v>95</v>
      </c>
      <c r="W600" s="4" t="b">
        <f t="shared" si="49"/>
        <v>0</v>
      </c>
      <c r="X600" s="1" t="str">
        <f t="shared" ca="1" si="50"/>
        <v>X</v>
      </c>
      <c r="Y600" s="103">
        <v>0</v>
      </c>
      <c r="Z600" s="113">
        <f ca="1">ROUND(IF(ISNUMBER(R600),R600,IF(LEFT(R600,3)="BDI",HLOOKUP(R600,DADOS!$T$37:$X$38,2,FALSE),0)),15-11*$X$5)</f>
        <v>0.25</v>
      </c>
      <c r="AA600" s="1"/>
    </row>
    <row r="601" spans="1:27" x14ac:dyDescent="0.25">
      <c r="A601" t="str">
        <f t="shared" ref="A601" si="69">CHOOSE(1+LOG(1+2*(J601="Meta")+4*(J601="Nível 2")+8*(J601="Nível 3")+16*(J601="Nível 4")+32*(J601="Serviço"),2),0,1,2,3,4,"S")</f>
        <v>S</v>
      </c>
      <c r="B601">
        <f t="shared" ref="B601" si="70">IF(OR(A601="S",A601=0),0,IF(ISERROR(I601),H601,SMALL(H601:I601,1)))</f>
        <v>0</v>
      </c>
      <c r="C601">
        <f t="shared" ref="C601" ca="1" si="71">IF($A601=1,OFFSET(C601,-1,0)+1,OFFSET(C601,-1,0))</f>
        <v>25</v>
      </c>
      <c r="D601">
        <f t="shared" ref="D601" ca="1" si="72">IF($A601=1,0,IF($A601=2,OFFSET(D601,-1,0)+1,OFFSET(D601,-1,0)))</f>
        <v>0</v>
      </c>
      <c r="E601">
        <f t="shared" ref="E601" ca="1" si="73">IF(AND($A601&lt;=2,$A601&lt;&gt;0),0,IF($A601=3,OFFSET(E601,-1,0)+1,OFFSET(E601,-1,0)))</f>
        <v>0</v>
      </c>
      <c r="F601">
        <f t="shared" ref="F601" ca="1" si="74">IF(AND($A601&lt;=3,$A601&lt;&gt;0),0,IF($A601=4,OFFSET(F601,-1,0)+1,OFFSET(F601,-1,0)))</f>
        <v>0</v>
      </c>
      <c r="G601">
        <f t="shared" ref="G601" ca="1" si="75">IF(AND($A601&lt;=4,$A601&lt;&gt;0),0,IF($A601="S",OFFSET(G601,-1,0)+1,OFFSET(G601,-1,0)))</f>
        <v>1</v>
      </c>
      <c r="H601">
        <f t="shared" ca="1" si="57"/>
        <v>0</v>
      </c>
      <c r="I601">
        <f t="shared" ca="1" si="58"/>
        <v>0</v>
      </c>
      <c r="J601" s="356" t="s">
        <v>103</v>
      </c>
      <c r="K601" s="138" t="str">
        <f t="shared" ref="K601" ca="1" si="76">IF($A601=0,"-",CONCATENATE(C601&amp;".",IF(AND($A$5&gt;=2,$A601&gt;=2),D601&amp;".",""),IF(AND($A$5&gt;=3,$A601&gt;=3),E601&amp;".",""),IF(AND($A$5&gt;=4,$A601&gt;=4),F601&amp;".",""),IF($A601="S",G601&amp;".","")))</f>
        <v>25.0.0.1.</v>
      </c>
      <c r="L601" s="357" t="s">
        <v>233</v>
      </c>
      <c r="M601" s="357" t="s">
        <v>636</v>
      </c>
      <c r="N601" s="358" t="s">
        <v>1193</v>
      </c>
      <c r="O601" s="359" t="s">
        <v>635</v>
      </c>
      <c r="P601" s="360">
        <v>891.68</v>
      </c>
      <c r="Q601" s="195"/>
      <c r="R601" s="198" t="s">
        <v>7</v>
      </c>
      <c r="S601" s="103">
        <f t="shared" ref="S601" si="77">IF($A601="S",IF($Q$10="Preço Unitário (R$)",PO.CustoUnitario,ROUND(PO.CustoUnitario*(1+$Z601),15-13*$X$6)),0)</f>
        <v>0</v>
      </c>
      <c r="T601" s="83">
        <f t="shared" ref="T601" si="78">IF($A601="S",VTOTAL1,IF($A601=0,0,ROUND(SomaAgrup,15-13*$X$7)))</f>
        <v>0</v>
      </c>
      <c r="U601" s="9" t="str">
        <f t="shared" ref="U601" si="79">IF($J601="","",IF($N601="","DESCRIÇÃO",IF(AND($J601="Serviço",$O601=""),"UNIDADE",IF($T601&lt;=0,"SEM VALOR",IF(AND($Y601&lt;&gt;"",$Q601&gt;$Y601),"ACIMA REF.","")))))</f>
        <v>SEM VALOR</v>
      </c>
      <c r="V601" s="1" t="str">
        <f ca="1">IF(OR($A601=0,$A601="S",$A601&gt;CFF!$A$9),"",MAX(V$12:OFFSET(V601,-1,0))+1)</f>
        <v/>
      </c>
      <c r="W601" s="4" t="str">
        <f t="shared" ref="W601" si="80">IF(AND($J601="Serviço",$M601&lt;&gt;""),IF($L601="",$M601,CONCATENATE($L601,"-",$M601)))</f>
        <v>SINAPI-99803</v>
      </c>
      <c r="X601" s="1">
        <f t="shared" ref="X601" ca="1" si="81">IF(AND(Fonte&lt;&gt;"",Código&lt;&gt;""),MATCH(Fonte&amp;" "&amp;IF(Fonte="sinapi",SUBSTITUTE(SUBSTITUTE(Código,"/00","/"),"/0","/"),Código),INDIRECT("'[Referência "&amp;_xlnm.Database&amp;".xls]Banco'!$a:$a"),0),"X")</f>
        <v>7046</v>
      </c>
      <c r="Y601" s="103">
        <v>2.79</v>
      </c>
      <c r="Z601" s="113">
        <f ca="1">ROUND(IF(ISNUMBER(R601),R601,IF(LEFT(R601,3)="BDI",HLOOKUP(R601,DADOS!$T$37:$X$38,2,FALSE),0)),15-11*$X$5)</f>
        <v>0.25</v>
      </c>
      <c r="AA601" s="1"/>
    </row>
    <row r="602" spans="1:27" x14ac:dyDescent="0.25">
      <c r="A602" t="str">
        <f>CHOOSE(1+LOG(1+2*(J602="Meta")+4*(J602="Nível 2")+8*(J602="Nível 3")+16*(J602="Nível 4")+32*(J602="Serviço"),2),0,1,2,3,4,"S")</f>
        <v>S</v>
      </c>
      <c r="B602">
        <f>IF(OR(A602="S",A602=0),0,IF(ISERROR(I602),H602,SMALL(H602:I602,1)))</f>
        <v>0</v>
      </c>
      <c r="C602">
        <f ca="1">IF($A602=1,OFFSET(C602,-1,0)+1,OFFSET(C602,-1,0))</f>
        <v>25</v>
      </c>
      <c r="D602">
        <f ca="1">IF($A602=1,0,IF($A602=2,OFFSET(D602,-1,0)+1,OFFSET(D602,-1,0)))</f>
        <v>0</v>
      </c>
      <c r="E602">
        <f ca="1">IF(AND($A602&lt;=2,$A602&lt;&gt;0),0,IF($A602=3,OFFSET(E602,-1,0)+1,OFFSET(E602,-1,0)))</f>
        <v>0</v>
      </c>
      <c r="F602">
        <f ca="1">IF(AND($A602&lt;=3,$A602&lt;&gt;0),0,IF($A602=4,OFFSET(F602,-1,0)+1,OFFSET(F602,-1,0)))</f>
        <v>0</v>
      </c>
      <c r="G602">
        <f ca="1">IF(AND($A602&lt;=4,$A602&lt;&gt;0),0,IF($A602="S",OFFSET(G602,-1,0)+1,OFFSET(G602,-1,0)))</f>
        <v>2</v>
      </c>
      <c r="H602">
        <f t="shared" ca="1" si="57"/>
        <v>0</v>
      </c>
      <c r="I602">
        <f t="shared" ca="1" si="58"/>
        <v>0</v>
      </c>
      <c r="J602" s="356" t="s">
        <v>103</v>
      </c>
      <c r="K602" s="138" t="str">
        <f ca="1">IF($A602=0,"-",CONCATENATE(C602&amp;".",IF(AND($A$5&gt;=2,$A602&gt;=2),D602&amp;".",""),IF(AND($A$5&gt;=3,$A602&gt;=3),E602&amp;".",""),IF(AND($A$5&gt;=4,$A602&gt;=4),F602&amp;".",""),IF($A602="S",G602&amp;".","")))</f>
        <v>25.0.0.2.</v>
      </c>
      <c r="L602" s="357" t="s">
        <v>240</v>
      </c>
      <c r="M602" s="357" t="s">
        <v>673</v>
      </c>
      <c r="N602" s="358" t="s">
        <v>935</v>
      </c>
      <c r="O602" s="359" t="s">
        <v>907</v>
      </c>
      <c r="P602" s="360">
        <v>1</v>
      </c>
      <c r="Q602" s="195"/>
      <c r="R602" s="198" t="s">
        <v>7</v>
      </c>
      <c r="S602" s="103">
        <f>IF($A602="S",IF($Q$10="Preço Unitário (R$)",PO.CustoUnitario,ROUND(PO.CustoUnitario*(1+$Z602),15-13*$X$6)),0)</f>
        <v>0</v>
      </c>
      <c r="T602" s="83">
        <f>IF($A602="S",VTOTAL1,IF($A602=0,0,ROUND(SomaAgrup,15-13*$X$7)))</f>
        <v>0</v>
      </c>
      <c r="U602" s="9" t="str">
        <f>IF($J602="","",IF($N602="","DESCRIÇÃO",IF(AND($J602="Serviço",$O602=""),"UNIDADE",IF($T602&lt;=0,"SEM VALOR",IF(AND($Y602&lt;&gt;"",$Q602&gt;$Y602),"ACIMA REF.","")))))</f>
        <v>SEM VALOR</v>
      </c>
      <c r="V602" s="1" t="str">
        <f ca="1">IF(OR($A602=0,$A602="S",$A602&gt;CFF!$A$9),"",MAX(V$12:OFFSET(V602,-1,0))+1)</f>
        <v/>
      </c>
      <c r="W602" s="4" t="str">
        <f>IF(AND($J602="Serviço",$M602&lt;&gt;""),IF($L602="",$M602,CONCATENATE($L602,"-",$M602)))</f>
        <v>SINAPI-I-10848</v>
      </c>
      <c r="X602" s="1">
        <f t="shared" ca="1" si="14"/>
        <v>11103</v>
      </c>
      <c r="Y602" s="103">
        <v>1507.51</v>
      </c>
      <c r="Z602" s="113">
        <f ca="1">ROUND(IF(ISNUMBER(R602),R602,IF(LEFT(R602,3)="BDI",HLOOKUP(R602,DADOS!$T$37:$X$38,2,FALSE),0)),15-11*$X$5)</f>
        <v>0.25</v>
      </c>
      <c r="AA602" s="1"/>
    </row>
    <row r="603" spans="1:27" x14ac:dyDescent="0.25">
      <c r="A603">
        <v>-1</v>
      </c>
      <c r="C603">
        <v>0</v>
      </c>
      <c r="D603">
        <v>0</v>
      </c>
      <c r="E603">
        <v>0</v>
      </c>
      <c r="F603">
        <v>0</v>
      </c>
      <c r="G603">
        <v>0</v>
      </c>
      <c r="J603" s="69"/>
      <c r="K603" s="69"/>
      <c r="L603" s="69"/>
      <c r="M603" s="69"/>
      <c r="N603" s="69"/>
      <c r="O603" s="69"/>
      <c r="P603" s="69"/>
      <c r="Q603" s="69"/>
      <c r="R603" s="69"/>
      <c r="S603" s="69"/>
      <c r="T603" s="69"/>
      <c r="U603" s="1"/>
      <c r="V603" s="1"/>
      <c r="W603" s="1"/>
      <c r="X603" s="1"/>
      <c r="Y603" s="1"/>
      <c r="Z603" s="1"/>
      <c r="AA603" s="1"/>
    </row>
    <row r="604" spans="1:27" ht="14.25" customHeight="1" x14ac:dyDescent="0.25">
      <c r="A604" s="1"/>
      <c r="B604" s="1"/>
      <c r="C604" s="1"/>
      <c r="D604" s="1"/>
      <c r="E604" s="1"/>
      <c r="F604" s="1"/>
      <c r="G604" s="1"/>
      <c r="H604" s="1"/>
      <c r="I604" s="1"/>
      <c r="J604" s="1"/>
      <c r="K604" s="70" t="s">
        <v>62</v>
      </c>
      <c r="L604" s="1"/>
      <c r="M604" s="327" t="s">
        <v>141</v>
      </c>
      <c r="N604" s="328"/>
      <c r="O604" s="328"/>
      <c r="P604" s="328"/>
      <c r="Q604" s="328"/>
      <c r="R604" s="328"/>
      <c r="S604" s="328"/>
      <c r="T604" s="329"/>
      <c r="U604" s="1"/>
      <c r="V604" s="1"/>
      <c r="W604" s="1"/>
      <c r="X604" s="1"/>
      <c r="Y604" s="1"/>
      <c r="Z604" s="1"/>
      <c r="AA604" s="1"/>
    </row>
    <row r="605" spans="1:27"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3.8" x14ac:dyDescent="0.25">
      <c r="A606" s="1"/>
      <c r="B606" s="1"/>
      <c r="C606" s="1"/>
      <c r="D606" s="1"/>
      <c r="E606" s="1"/>
      <c r="F606" s="1"/>
      <c r="G606" s="1"/>
      <c r="H606" s="1"/>
      <c r="I606" s="1"/>
      <c r="J606" s="1"/>
      <c r="K606" s="76" t="s">
        <v>21</v>
      </c>
      <c r="L606" s="1"/>
      <c r="M606" s="1"/>
      <c r="N606" s="1"/>
      <c r="O606" s="1"/>
      <c r="P606" s="1"/>
      <c r="Q606" s="1"/>
      <c r="R606" s="1"/>
      <c r="S606" s="1"/>
      <c r="T606" s="75"/>
      <c r="U606" s="1"/>
      <c r="V606" s="1"/>
      <c r="W606" s="1"/>
      <c r="X606" s="1"/>
      <c r="Y606" s="1"/>
      <c r="Z606" s="1"/>
      <c r="AA606" s="1"/>
    </row>
    <row r="607" spans="1:27" ht="12.75" customHeight="1" x14ac:dyDescent="0.25">
      <c r="A607" s="1"/>
      <c r="B607" s="1"/>
      <c r="C607" s="1"/>
      <c r="D607" s="1"/>
      <c r="E607" s="1"/>
      <c r="F607" s="1"/>
      <c r="G607" s="1"/>
      <c r="H607" s="1"/>
      <c r="I607" s="1"/>
      <c r="J607" s="1"/>
      <c r="K607" s="321"/>
      <c r="L607" s="322"/>
      <c r="M607" s="322"/>
      <c r="N607" s="322"/>
      <c r="O607" s="322"/>
      <c r="P607" s="322"/>
      <c r="Q607" s="322"/>
      <c r="R607" s="322"/>
      <c r="S607" s="322"/>
      <c r="T607" s="323"/>
      <c r="U607" s="1"/>
      <c r="V607" s="1"/>
      <c r="W607" s="1"/>
      <c r="X607" s="1"/>
      <c r="Y607" s="1"/>
      <c r="Z607" s="1"/>
      <c r="AA607" s="1"/>
    </row>
    <row r="608" spans="1:27" x14ac:dyDescent="0.25">
      <c r="A608" s="1"/>
      <c r="B608" s="1"/>
      <c r="C608" s="1"/>
      <c r="D608" s="1"/>
      <c r="E608" s="1"/>
      <c r="F608" s="1"/>
      <c r="G608" s="1"/>
      <c r="H608" s="1"/>
      <c r="I608" s="1"/>
      <c r="J608" s="1"/>
      <c r="K608" s="321"/>
      <c r="L608" s="322"/>
      <c r="M608" s="322"/>
      <c r="N608" s="322"/>
      <c r="O608" s="322"/>
      <c r="P608" s="322"/>
      <c r="Q608" s="322"/>
      <c r="R608" s="322"/>
      <c r="S608" s="322"/>
      <c r="T608" s="323"/>
      <c r="U608" s="1"/>
      <c r="V608" s="1"/>
      <c r="W608" s="1"/>
      <c r="X608" s="1"/>
      <c r="Y608" s="1"/>
      <c r="Z608" s="1"/>
      <c r="AA608" s="1"/>
    </row>
    <row r="609" spans="1:27" x14ac:dyDescent="0.25">
      <c r="A609" s="1"/>
      <c r="B609" s="1"/>
      <c r="C609" s="1"/>
      <c r="D609" s="1"/>
      <c r="E609" s="1"/>
      <c r="F609" s="1"/>
      <c r="G609" s="1"/>
      <c r="H609" s="1"/>
      <c r="I609" s="1"/>
      <c r="J609" s="1"/>
      <c r="K609" s="324"/>
      <c r="L609" s="325"/>
      <c r="M609" s="325"/>
      <c r="N609" s="325"/>
      <c r="O609" s="325"/>
      <c r="P609" s="325"/>
      <c r="Q609" s="325"/>
      <c r="R609" s="325"/>
      <c r="S609" s="325"/>
      <c r="T609" s="326"/>
      <c r="U609" s="1"/>
      <c r="V609" s="1"/>
      <c r="W609" s="1"/>
      <c r="X609" s="1"/>
      <c r="Y609" s="1"/>
      <c r="Z609" s="1"/>
      <c r="AA609" s="1"/>
    </row>
    <row r="610" spans="1:27" ht="13.8" x14ac:dyDescent="0.25">
      <c r="A610" s="1"/>
      <c r="B610" s="1"/>
      <c r="C610" s="1"/>
      <c r="D610" s="1"/>
      <c r="E610" s="1"/>
      <c r="F610" s="1"/>
      <c r="G610" s="1"/>
      <c r="H610" s="1"/>
      <c r="I610" s="1"/>
      <c r="J610" s="1"/>
      <c r="K610" s="180"/>
      <c r="L610" s="180"/>
      <c r="M610" s="180"/>
      <c r="N610" s="180"/>
      <c r="O610" s="180"/>
      <c r="P610" s="180"/>
      <c r="Q610" s="180"/>
      <c r="R610" s="180"/>
      <c r="S610" s="180"/>
      <c r="T610" s="180"/>
      <c r="U610" s="1"/>
      <c r="V610" s="1"/>
      <c r="W610" s="1"/>
      <c r="X610" s="1"/>
      <c r="Y610" s="1"/>
      <c r="Z610" s="1"/>
      <c r="AA610" s="1"/>
    </row>
    <row r="611" spans="1:27" ht="13.8" x14ac:dyDescent="0.25">
      <c r="A611" s="1"/>
      <c r="B611" s="1"/>
      <c r="C611" s="1"/>
      <c r="D611" s="1"/>
      <c r="E611" s="1"/>
      <c r="F611" s="1"/>
      <c r="G611" s="1"/>
      <c r="H611" s="1"/>
      <c r="I611" s="1"/>
      <c r="J611" s="1"/>
      <c r="K611" s="318"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611" s="319"/>
      <c r="M611" s="319"/>
      <c r="N611" s="319"/>
      <c r="O611" s="319"/>
      <c r="P611" s="319"/>
      <c r="Q611" s="319"/>
      <c r="R611" s="319"/>
      <c r="S611" s="319"/>
      <c r="T611" s="320"/>
      <c r="U611" s="1"/>
      <c r="V611" s="1"/>
      <c r="W611" s="1"/>
      <c r="X611" s="1"/>
      <c r="Y611" s="1"/>
      <c r="Z611" s="1"/>
      <c r="AA611" s="1"/>
    </row>
    <row r="612" spans="1:27"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21"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x14ac:dyDescent="0.25">
      <c r="A614" s="1"/>
      <c r="B614" s="1"/>
      <c r="C614" s="1"/>
      <c r="D614" s="1"/>
      <c r="E614" s="1"/>
      <c r="F614" s="1"/>
      <c r="G614" s="1"/>
      <c r="H614" s="1"/>
      <c r="I614" s="1"/>
      <c r="J614" s="1"/>
      <c r="K614" s="331" t="str">
        <f>Import.Município</f>
        <v>BENTO GONÇALVES/RS</v>
      </c>
      <c r="L614" s="331"/>
      <c r="M614" s="331"/>
      <c r="N614" s="1"/>
      <c r="O614" s="1"/>
      <c r="P614" s="1"/>
      <c r="Q614" s="1"/>
      <c r="R614" s="1"/>
      <c r="S614" s="1"/>
      <c r="T614" s="1"/>
      <c r="U614" s="1"/>
      <c r="V614" s="1"/>
      <c r="W614" s="1"/>
      <c r="X614" s="1"/>
      <c r="Y614" s="1"/>
      <c r="Z614" s="1"/>
      <c r="AA614" s="1"/>
    </row>
    <row r="615" spans="1:27" x14ac:dyDescent="0.25">
      <c r="A615" s="1"/>
      <c r="B615" s="1"/>
      <c r="C615" s="1"/>
      <c r="D615" s="1"/>
      <c r="E615" s="1"/>
      <c r="F615" s="1"/>
      <c r="G615" s="1"/>
      <c r="H615" s="1"/>
      <c r="I615" s="1"/>
      <c r="J615" s="1"/>
      <c r="K615" s="97" t="s">
        <v>120</v>
      </c>
      <c r="L615" s="1"/>
      <c r="M615" s="1"/>
      <c r="N615" s="1"/>
      <c r="O615" s="1"/>
      <c r="P615" s="1"/>
      <c r="Q615" s="1"/>
      <c r="R615" s="1"/>
      <c r="S615" s="1"/>
      <c r="T615" s="1"/>
      <c r="U615" s="1"/>
      <c r="V615" s="1"/>
      <c r="W615" s="1"/>
      <c r="X615" s="1"/>
      <c r="Y615" s="1"/>
      <c r="Z615" s="1"/>
      <c r="AA615" s="1"/>
    </row>
    <row r="616" spans="1:27"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x14ac:dyDescent="0.25">
      <c r="A617" s="1"/>
      <c r="B617" s="1"/>
      <c r="C617" s="1"/>
      <c r="D617" s="1"/>
      <c r="E617" s="1"/>
      <c r="F617" s="1"/>
      <c r="G617" s="1"/>
      <c r="H617" s="1"/>
      <c r="I617" s="1"/>
      <c r="J617" s="1"/>
      <c r="K617" s="330">
        <f ca="1">TODAY()</f>
        <v>45770</v>
      </c>
      <c r="L617" s="330"/>
      <c r="M617" s="330"/>
      <c r="N617" s="1"/>
      <c r="O617" s="1"/>
      <c r="P617" s="1"/>
      <c r="Q617" s="1"/>
      <c r="R617" s="1"/>
      <c r="S617" s="1"/>
      <c r="T617" s="1"/>
      <c r="U617" s="1"/>
      <c r="V617" s="1"/>
      <c r="W617" s="1"/>
      <c r="X617" s="1"/>
      <c r="Y617" s="1"/>
      <c r="Z617" s="1"/>
      <c r="AA617" s="1"/>
    </row>
    <row r="618" spans="1:27" x14ac:dyDescent="0.25">
      <c r="A618" s="1"/>
      <c r="B618" s="1"/>
      <c r="C618" s="1"/>
      <c r="D618" s="1"/>
      <c r="E618" s="1"/>
      <c r="F618" s="1"/>
      <c r="G618" s="1"/>
      <c r="H618" s="1"/>
      <c r="I618" s="1"/>
      <c r="J618" s="1"/>
      <c r="K618" s="119" t="s">
        <v>121</v>
      </c>
      <c r="L618" s="69"/>
      <c r="M618" s="69"/>
      <c r="N618" s="1"/>
      <c r="O618" s="1"/>
      <c r="P618" s="1"/>
      <c r="Q618" s="1"/>
      <c r="R618" s="1"/>
      <c r="S618" s="1"/>
      <c r="T618" s="1"/>
      <c r="U618" s="1"/>
      <c r="V618" s="1"/>
      <c r="W618" s="1"/>
      <c r="X618" s="1"/>
      <c r="Y618" s="1"/>
      <c r="Z618" s="1"/>
      <c r="AA618" s="1"/>
    </row>
  </sheetData>
  <sheetProtection password="C95B" sheet="1" objects="1" scenarios="1"/>
  <mergeCells count="6">
    <mergeCell ref="W2:X2"/>
    <mergeCell ref="K611:T611"/>
    <mergeCell ref="K607:T609"/>
    <mergeCell ref="M604:T604"/>
    <mergeCell ref="K617:M617"/>
    <mergeCell ref="K614:M614"/>
  </mergeCells>
  <phoneticPr fontId="25" type="noConversion"/>
  <conditionalFormatting sqref="O12:R12 L12:M12">
    <cfRule type="expression" dxfId="1003" priority="6119" stopIfTrue="1">
      <formula>$J12=$C$2</formula>
    </cfRule>
    <cfRule type="expression" dxfId="1002" priority="6120" stopIfTrue="1">
      <formula>UPPER(LEFT($J12,5))="NÍVEL"</formula>
    </cfRule>
    <cfRule type="expression" dxfId="1001" priority="6121" stopIfTrue="1">
      <formula>$J12=$C$8</formula>
    </cfRule>
  </conditionalFormatting>
  <conditionalFormatting sqref="Y12:Z12 S12:T12 K12">
    <cfRule type="expression" dxfId="1000" priority="6122" stopIfTrue="1">
      <formula>$J12=$C$2</formula>
    </cfRule>
    <cfRule type="expression" dxfId="999" priority="6123" stopIfTrue="1">
      <formula>UPPER(LEFT($J12,5))="NÍVEL"</formula>
    </cfRule>
  </conditionalFormatting>
  <conditionalFormatting sqref="K11 K13:K16 K39:K45 K26:K30 K59:K65 K68:K72 K52:K57 K47:K50 K74:K239 K18:K24 K241:K544 K600:K602">
    <cfRule type="expression" dxfId="998" priority="6135" stopIfTrue="1">
      <formula>$J11=$C$2</formula>
    </cfRule>
    <cfRule type="expression" dxfId="997" priority="6136" stopIfTrue="1">
      <formula>AND($J11&lt;&gt;"",$J11&lt;&gt;"Serviço")</formula>
    </cfRule>
    <cfRule type="expression" dxfId="996" priority="6137" stopIfTrue="1">
      <formula>$J11=""</formula>
    </cfRule>
  </conditionalFormatting>
  <conditionalFormatting sqref="P11 P13:P16 P39:P45 P26:P30 P59:P65 P68:P72 P52:P57 P47:P50 P200:P239 P74:P192 P18:P24 P241:P544 P600:P602">
    <cfRule type="expression" dxfId="995" priority="4462" stopIfTrue="1">
      <formula>$J11=$C$2</formula>
    </cfRule>
    <cfRule type="expression" dxfId="994" priority="6141" stopIfTrue="1">
      <formula>AND($J11&lt;&gt;"Serviço")</formula>
    </cfRule>
    <cfRule type="expression" dxfId="993" priority="6142" stopIfTrue="1">
      <formula>CELL("proteger",P11)</formula>
    </cfRule>
  </conditionalFormatting>
  <conditionalFormatting sqref="Q11:R11 Q13:R16 Q39:R45 Q26:R30 Q59:R65 Q68:R72 Q52:R57 Q51 Q47:R50 Q46 Q66:Q67 Q73 Q74:R239 Q18:R24 Q17 Q241:R544 Q600:R602">
    <cfRule type="expression" dxfId="992" priority="6143" stopIfTrue="1">
      <formula>$J11=$C$2</formula>
    </cfRule>
    <cfRule type="expression" dxfId="991" priority="6144" stopIfTrue="1">
      <formula>$J11&lt;&gt;"Serviço"</formula>
    </cfRule>
    <cfRule type="expression" dxfId="990" priority="6145" stopIfTrue="1">
      <formula>CELL("proteger",Q11)</formula>
    </cfRule>
  </conditionalFormatting>
  <conditionalFormatting sqref="S11:T11 Y11:Z11 S13:T16 Y13:Z16 Y39:Z45 S39:T45 Y26:Z30 S26:T30 S59:T65 Y59:Z65 Y68:Z72 S68:T72 S52:T57 Y52:Z57 S47:T50 Y47:Z50 Y74:Z239 S74:T239 Y18:Z24 S18:T24 Y241:Z544 S241:T544 S600:T602 Y600:Z602">
    <cfRule type="expression" dxfId="989" priority="6146" stopIfTrue="1">
      <formula>$J11=$C$2</formula>
    </cfRule>
    <cfRule type="expression" dxfId="988" priority="6147" stopIfTrue="1">
      <formula>$J11&lt;&gt;"Serviço"</formula>
    </cfRule>
  </conditionalFormatting>
  <conditionalFormatting sqref="L11:M11 L26:M30 L13:M16 L59:M65 L68:M72 L52:M57 L51 L39:M50 L73 L74:M135 L241:M261 L18:M24 M470 L447:M469 M446 L440:M445 M436:M439 L417:M435 M416 L406:M406 M403:M405 L408:M415 M407 L392:M402 M391 L384:M390 M382:M383 L380:M381 M379 L378:M378 M374:M377 L373:M373 M370:M372 L367:M369 M366 L364:M365 M362:M363 L361:M361 M359:M360 L355:M358 M354 L350:M353 M348:M349 L337:M347 M336 L326:M330 M325 L324:M324 M323 L332:M335 M331 L298:M322 M297 L287:M296 M286 L264:M285 M262:M263 L235:M239 M233:M234 L232:M232 M231 L226:M230 M223:M225 L219:M222 M218 L215:M217 M213:M214 L209:M212 M208 L203:M207 M202 L201:M201 M196:M200 L189:M195 M187:M188 L186:M186 M182:M185 L181:M181 M180 L179:M179 M172:M178 L171:M171 M170 L169:M169 M154:M168 L153:M153 M148:M152 L147:M147 M146 L143:M145 M136:M142 L471:M544 L600:M602">
    <cfRule type="expression" dxfId="987" priority="6167" stopIfTrue="1">
      <formula>$J11=$C$2</formula>
    </cfRule>
    <cfRule type="expression" dxfId="986" priority="6168" stopIfTrue="1">
      <formula>$J11&lt;&gt;"Serviço"</formula>
    </cfRule>
    <cfRule type="expression" dxfId="985" priority="6169" stopIfTrue="1">
      <formula>OR(CELL("proteger",L11),$J11="",TipoOrçamento="Licitado")</formula>
    </cfRule>
  </conditionalFormatting>
  <conditionalFormatting sqref="K604:T604">
    <cfRule type="expression" dxfId="984" priority="6148" stopIfTrue="1">
      <formula>OR(Tipo.Orçamento="LICITADO",Tipo.Orçamento="REPROGRAMADOAC")</formula>
    </cfRule>
    <cfRule type="expression" dxfId="983" priority="6149" stopIfTrue="1">
      <formula>$M$604=""</formula>
    </cfRule>
  </conditionalFormatting>
  <conditionalFormatting sqref="J11 J121:J127 J13:J16 J136:J144 J206:J222 J19:J22 J24 J39:J45 J26:J30 J79:J93 J134 J228 J230:J239 J247:J252 J254:J367 J369:J376 J378:J392 J394:J395 J397:J398 J400:J405 J409:J413 J477:J488 J108:J119 J147:J179 J52:J57 J47:J50 J241:J245 J492:J506 J508:J536 J538:J544 J415:J474 J600:J602">
    <cfRule type="expression" dxfId="982" priority="6176" stopIfTrue="1">
      <formula>TipoOrçamento="Licitado"</formula>
    </cfRule>
  </conditionalFormatting>
  <conditionalFormatting sqref="O11 O39:O45 O26:O30 O13:O16 O59:O65 O68:O72 O52:O57 O47:O50 O74:O239 O18:O24 O241:O544 O600:O602">
    <cfRule type="expression" dxfId="981" priority="4482" stopIfTrue="1">
      <formula>$J11=$C$2</formula>
    </cfRule>
    <cfRule type="expression" dxfId="980" priority="4483" stopIfTrue="1">
      <formula>AND($J11&lt;&gt;"Serviço")</formula>
    </cfRule>
    <cfRule type="expression" dxfId="979" priority="4484" stopIfTrue="1">
      <formula>CELL("proteger",O11)</formula>
    </cfRule>
  </conditionalFormatting>
  <conditionalFormatting sqref="N11 N39:N45 N26:N30 N59:N65 N68:N72 N52:N57 N47:N50 N14:N16 N74:N239 N18:N24 N241:N544 N600:N602">
    <cfRule type="expression" dxfId="978" priority="4485" stopIfTrue="1">
      <formula>$J11=$C$2</formula>
    </cfRule>
    <cfRule type="expression" dxfId="977" priority="4486" stopIfTrue="1">
      <formula>$J11&lt;&gt;"Serviço"</formula>
    </cfRule>
    <cfRule type="expression" dxfId="976" priority="4487" stopIfTrue="1">
      <formula>CELL("proteger",N11)</formula>
    </cfRule>
  </conditionalFormatting>
  <conditionalFormatting sqref="N13">
    <cfRule type="expression" dxfId="975" priority="4351" stopIfTrue="1">
      <formula>$J13=$C$2</formula>
    </cfRule>
    <cfRule type="expression" dxfId="974" priority="4352" stopIfTrue="1">
      <formula>$J13&lt;&gt;"Serviço"</formula>
    </cfRule>
    <cfRule type="expression" dxfId="973" priority="4353" stopIfTrue="1">
      <formula>CELL("proteger",N13)</formula>
    </cfRule>
  </conditionalFormatting>
  <conditionalFormatting sqref="J182:J202">
    <cfRule type="expression" dxfId="972" priority="1533" stopIfTrue="1">
      <formula>TipoOrçamento="Licitado"</formula>
    </cfRule>
  </conditionalFormatting>
  <conditionalFormatting sqref="J120">
    <cfRule type="expression" dxfId="971" priority="1509" stopIfTrue="1">
      <formula>TipoOrçamento="Licitado"</formula>
    </cfRule>
  </conditionalFormatting>
  <conditionalFormatting sqref="J135">
    <cfRule type="expression" dxfId="970" priority="1479" stopIfTrue="1">
      <formula>TipoOrçamento="Licitado"</formula>
    </cfRule>
  </conditionalFormatting>
  <conditionalFormatting sqref="J246">
    <cfRule type="expression" dxfId="969" priority="1416" stopIfTrue="1">
      <formula>TipoOrçamento="Licitado"</formula>
    </cfRule>
  </conditionalFormatting>
  <conditionalFormatting sqref="J180">
    <cfRule type="expression" dxfId="968" priority="1395" stopIfTrue="1">
      <formula>TipoOrçamento="Licitado"</formula>
    </cfRule>
  </conditionalFormatting>
  <conditionalFormatting sqref="J489:J490">
    <cfRule type="expression" dxfId="967" priority="1317" stopIfTrue="1">
      <formula>TipoOrçamento="Licitado"</formula>
    </cfRule>
  </conditionalFormatting>
  <conditionalFormatting sqref="J491">
    <cfRule type="expression" dxfId="966" priority="1287" stopIfTrue="1">
      <formula>TipoOrçamento="Licitado"</formula>
    </cfRule>
  </conditionalFormatting>
  <conditionalFormatting sqref="J18">
    <cfRule type="expression" dxfId="965" priority="1140" stopIfTrue="1">
      <formula>TipoOrçamento="Licitado"</formula>
    </cfRule>
  </conditionalFormatting>
  <conditionalFormatting sqref="J23">
    <cfRule type="expression" dxfId="964" priority="1119" stopIfTrue="1">
      <formula>TipoOrçamento="Licitado"</formula>
    </cfRule>
  </conditionalFormatting>
  <conditionalFormatting sqref="K31:K34">
    <cfRule type="expression" dxfId="963" priority="1085" stopIfTrue="1">
      <formula>$J31=$C$2</formula>
    </cfRule>
    <cfRule type="expression" dxfId="962" priority="1086" stopIfTrue="1">
      <formula>AND($J31&lt;&gt;"",$J31&lt;&gt;"Serviço")</formula>
    </cfRule>
    <cfRule type="expression" dxfId="961" priority="1087" stopIfTrue="1">
      <formula>$J31=""</formula>
    </cfRule>
  </conditionalFormatting>
  <conditionalFormatting sqref="P31:P34">
    <cfRule type="expression" dxfId="960" priority="1078" stopIfTrue="1">
      <formula>$J31=$C$2</formula>
    </cfRule>
    <cfRule type="expression" dxfId="959" priority="1088" stopIfTrue="1">
      <formula>AND($J31&lt;&gt;"Serviço")</formula>
    </cfRule>
    <cfRule type="expression" dxfId="958" priority="1089" stopIfTrue="1">
      <formula>CELL("proteger",P31)</formula>
    </cfRule>
  </conditionalFormatting>
  <conditionalFormatting sqref="Q31:R34">
    <cfRule type="expression" dxfId="957" priority="1090" stopIfTrue="1">
      <formula>$J31=$C$2</formula>
    </cfRule>
    <cfRule type="expression" dxfId="956" priority="1091" stopIfTrue="1">
      <formula>$J31&lt;&gt;"Serviço"</formula>
    </cfRule>
    <cfRule type="expression" dxfId="955" priority="1092" stopIfTrue="1">
      <formula>CELL("proteger",Q31)</formula>
    </cfRule>
  </conditionalFormatting>
  <conditionalFormatting sqref="S31:T34 Y31:Z34">
    <cfRule type="expression" dxfId="954" priority="1093" stopIfTrue="1">
      <formula>$J31=$C$2</formula>
    </cfRule>
    <cfRule type="expression" dxfId="953" priority="1094" stopIfTrue="1">
      <formula>$J31&lt;&gt;"Serviço"</formula>
    </cfRule>
  </conditionalFormatting>
  <conditionalFormatting sqref="L31:M34">
    <cfRule type="expression" dxfId="952" priority="1095" stopIfTrue="1">
      <formula>$J31=$C$2</formula>
    </cfRule>
    <cfRule type="expression" dxfId="951" priority="1096" stopIfTrue="1">
      <formula>$J31&lt;&gt;"Serviço"</formula>
    </cfRule>
    <cfRule type="expression" dxfId="950" priority="1097" stopIfTrue="1">
      <formula>OR(CELL("proteger",L31),$J31="",TipoOrçamento="Licitado")</formula>
    </cfRule>
  </conditionalFormatting>
  <conditionalFormatting sqref="J31:J34">
    <cfRule type="expression" dxfId="949" priority="1098" stopIfTrue="1">
      <formula>TipoOrçamento="Licitado"</formula>
    </cfRule>
  </conditionalFormatting>
  <conditionalFormatting sqref="O31:O34">
    <cfRule type="expression" dxfId="948" priority="1079" stopIfTrue="1">
      <formula>$J31=$C$2</formula>
    </cfRule>
    <cfRule type="expression" dxfId="947" priority="1080" stopIfTrue="1">
      <formula>AND($J31&lt;&gt;"Serviço")</formula>
    </cfRule>
    <cfRule type="expression" dxfId="946" priority="1081" stopIfTrue="1">
      <formula>CELL("proteger",O31)</formula>
    </cfRule>
  </conditionalFormatting>
  <conditionalFormatting sqref="N31:N34">
    <cfRule type="expression" dxfId="945" priority="1082" stopIfTrue="1">
      <formula>$J31=$C$2</formula>
    </cfRule>
    <cfRule type="expression" dxfId="944" priority="1083" stopIfTrue="1">
      <formula>$J31&lt;&gt;"Serviço"</formula>
    </cfRule>
    <cfRule type="expression" dxfId="943" priority="1084" stopIfTrue="1">
      <formula>CELL("proteger",N31)</formula>
    </cfRule>
  </conditionalFormatting>
  <conditionalFormatting sqref="K25">
    <cfRule type="expression" dxfId="942" priority="1064" stopIfTrue="1">
      <formula>$J25=$C$2</formula>
    </cfRule>
    <cfRule type="expression" dxfId="941" priority="1065" stopIfTrue="1">
      <formula>AND($J25&lt;&gt;"",$J25&lt;&gt;"Serviço")</formula>
    </cfRule>
    <cfRule type="expression" dxfId="940" priority="1066" stopIfTrue="1">
      <formula>$J25=""</formula>
    </cfRule>
  </conditionalFormatting>
  <conditionalFormatting sqref="P25">
    <cfRule type="expression" dxfId="939" priority="1057" stopIfTrue="1">
      <formula>$J25=$C$2</formula>
    </cfRule>
    <cfRule type="expression" dxfId="938" priority="1067" stopIfTrue="1">
      <formula>AND($J25&lt;&gt;"Serviço")</formula>
    </cfRule>
    <cfRule type="expression" dxfId="937" priority="1068" stopIfTrue="1">
      <formula>CELL("proteger",P25)</formula>
    </cfRule>
  </conditionalFormatting>
  <conditionalFormatting sqref="Q25:R25">
    <cfRule type="expression" dxfId="936" priority="1069" stopIfTrue="1">
      <formula>$J25=$C$2</formula>
    </cfRule>
    <cfRule type="expression" dxfId="935" priority="1070" stopIfTrue="1">
      <formula>$J25&lt;&gt;"Serviço"</formula>
    </cfRule>
    <cfRule type="expression" dxfId="934" priority="1071" stopIfTrue="1">
      <formula>CELL("proteger",Q25)</formula>
    </cfRule>
  </conditionalFormatting>
  <conditionalFormatting sqref="S25:T25 Y25:Z25">
    <cfRule type="expression" dxfId="933" priority="1072" stopIfTrue="1">
      <formula>$J25=$C$2</formula>
    </cfRule>
    <cfRule type="expression" dxfId="932" priority="1073" stopIfTrue="1">
      <formula>$J25&lt;&gt;"Serviço"</formula>
    </cfRule>
  </conditionalFormatting>
  <conditionalFormatting sqref="L25:M25">
    <cfRule type="expression" dxfId="931" priority="1074" stopIfTrue="1">
      <formula>$J25=$C$2</formula>
    </cfRule>
    <cfRule type="expression" dxfId="930" priority="1075" stopIfTrue="1">
      <formula>$J25&lt;&gt;"Serviço"</formula>
    </cfRule>
    <cfRule type="expression" dxfId="929" priority="1076" stopIfTrue="1">
      <formula>OR(CELL("proteger",L25),$J25="",TipoOrçamento="Licitado")</formula>
    </cfRule>
  </conditionalFormatting>
  <conditionalFormatting sqref="J25">
    <cfRule type="expression" dxfId="928" priority="1077" stopIfTrue="1">
      <formula>TipoOrçamento="Licitado"</formula>
    </cfRule>
  </conditionalFormatting>
  <conditionalFormatting sqref="O25">
    <cfRule type="expression" dxfId="927" priority="1058" stopIfTrue="1">
      <formula>$J25=$C$2</formula>
    </cfRule>
    <cfRule type="expression" dxfId="926" priority="1059" stopIfTrue="1">
      <formula>AND($J25&lt;&gt;"Serviço")</formula>
    </cfRule>
    <cfRule type="expression" dxfId="925" priority="1060" stopIfTrue="1">
      <formula>CELL("proteger",O25)</formula>
    </cfRule>
  </conditionalFormatting>
  <conditionalFormatting sqref="N25">
    <cfRule type="expression" dxfId="924" priority="1061" stopIfTrue="1">
      <formula>$J25=$C$2</formula>
    </cfRule>
    <cfRule type="expression" dxfId="923" priority="1062" stopIfTrue="1">
      <formula>$J25&lt;&gt;"Serviço"</formula>
    </cfRule>
    <cfRule type="expression" dxfId="922" priority="1063" stopIfTrue="1">
      <formula>CELL("proteger",N25)</formula>
    </cfRule>
  </conditionalFormatting>
  <conditionalFormatting sqref="K35:K38">
    <cfRule type="expression" dxfId="921" priority="1043" stopIfTrue="1">
      <formula>$J35=$C$2</formula>
    </cfRule>
    <cfRule type="expression" dxfId="920" priority="1044" stopIfTrue="1">
      <formula>AND($J35&lt;&gt;"",$J35&lt;&gt;"Serviço")</formula>
    </cfRule>
    <cfRule type="expression" dxfId="919" priority="1045" stopIfTrue="1">
      <formula>$J35=""</formula>
    </cfRule>
  </conditionalFormatting>
  <conditionalFormatting sqref="P35:P38">
    <cfRule type="expression" dxfId="918" priority="1036" stopIfTrue="1">
      <formula>$J35=$C$2</formula>
    </cfRule>
    <cfRule type="expression" dxfId="917" priority="1046" stopIfTrue="1">
      <formula>AND($J35&lt;&gt;"Serviço")</formula>
    </cfRule>
    <cfRule type="expression" dxfId="916" priority="1047" stopIfTrue="1">
      <formula>CELL("proteger",P35)</formula>
    </cfRule>
  </conditionalFormatting>
  <conditionalFormatting sqref="Q35:R38">
    <cfRule type="expression" dxfId="915" priority="1048" stopIfTrue="1">
      <formula>$J35=$C$2</formula>
    </cfRule>
    <cfRule type="expression" dxfId="914" priority="1049" stopIfTrue="1">
      <formula>$J35&lt;&gt;"Serviço"</formula>
    </cfRule>
    <cfRule type="expression" dxfId="913" priority="1050" stopIfTrue="1">
      <formula>CELL("proteger",Q35)</formula>
    </cfRule>
  </conditionalFormatting>
  <conditionalFormatting sqref="S35:T38 Y35:Z38">
    <cfRule type="expression" dxfId="912" priority="1051" stopIfTrue="1">
      <formula>$J35=$C$2</formula>
    </cfRule>
    <cfRule type="expression" dxfId="911" priority="1052" stopIfTrue="1">
      <formula>$J35&lt;&gt;"Serviço"</formula>
    </cfRule>
  </conditionalFormatting>
  <conditionalFormatting sqref="L35:M38">
    <cfRule type="expression" dxfId="910" priority="1053" stopIfTrue="1">
      <formula>$J35=$C$2</formula>
    </cfRule>
    <cfRule type="expression" dxfId="909" priority="1054" stopIfTrue="1">
      <formula>$J35&lt;&gt;"Serviço"</formula>
    </cfRule>
    <cfRule type="expression" dxfId="908" priority="1055" stopIfTrue="1">
      <formula>OR(CELL("proteger",L35),$J35="",TipoOrçamento="Licitado")</formula>
    </cfRule>
  </conditionalFormatting>
  <conditionalFormatting sqref="J35:J38">
    <cfRule type="expression" dxfId="907" priority="1056" stopIfTrue="1">
      <formula>TipoOrçamento="Licitado"</formula>
    </cfRule>
  </conditionalFormatting>
  <conditionalFormatting sqref="O35:O38">
    <cfRule type="expression" dxfId="906" priority="1037" stopIfTrue="1">
      <formula>$J35=$C$2</formula>
    </cfRule>
    <cfRule type="expression" dxfId="905" priority="1038" stopIfTrue="1">
      <formula>AND($J35&lt;&gt;"Serviço")</formula>
    </cfRule>
    <cfRule type="expression" dxfId="904" priority="1039" stopIfTrue="1">
      <formula>CELL("proteger",O35)</formula>
    </cfRule>
  </conditionalFormatting>
  <conditionalFormatting sqref="N35:N38">
    <cfRule type="expression" dxfId="903" priority="1040" stopIfTrue="1">
      <formula>$J35=$C$2</formula>
    </cfRule>
    <cfRule type="expression" dxfId="902" priority="1041" stopIfTrue="1">
      <formula>$J35&lt;&gt;"Serviço"</formula>
    </cfRule>
    <cfRule type="expression" dxfId="901" priority="1042" stopIfTrue="1">
      <formula>CELL("proteger",N35)</formula>
    </cfRule>
  </conditionalFormatting>
  <conditionalFormatting sqref="K58">
    <cfRule type="expression" dxfId="900" priority="1022" stopIfTrue="1">
      <formula>$J58=$C$2</formula>
    </cfRule>
    <cfRule type="expression" dxfId="899" priority="1023" stopIfTrue="1">
      <formula>AND($J58&lt;&gt;"",$J58&lt;&gt;"Serviço")</formula>
    </cfRule>
    <cfRule type="expression" dxfId="898" priority="1024" stopIfTrue="1">
      <formula>$J58=""</formula>
    </cfRule>
  </conditionalFormatting>
  <conditionalFormatting sqref="P58">
    <cfRule type="expression" dxfId="897" priority="1015" stopIfTrue="1">
      <formula>$J58=$C$2</formula>
    </cfRule>
    <cfRule type="expression" dxfId="896" priority="1025" stopIfTrue="1">
      <formula>AND($J58&lt;&gt;"Serviço")</formula>
    </cfRule>
    <cfRule type="expression" dxfId="895" priority="1026" stopIfTrue="1">
      <formula>CELL("proteger",P58)</formula>
    </cfRule>
  </conditionalFormatting>
  <conditionalFormatting sqref="Q58:R58">
    <cfRule type="expression" dxfId="894" priority="1027" stopIfTrue="1">
      <formula>$J58=$C$2</formula>
    </cfRule>
    <cfRule type="expression" dxfId="893" priority="1028" stopIfTrue="1">
      <formula>$J58&lt;&gt;"Serviço"</formula>
    </cfRule>
    <cfRule type="expression" dxfId="892" priority="1029" stopIfTrue="1">
      <formula>CELL("proteger",Q58)</formula>
    </cfRule>
  </conditionalFormatting>
  <conditionalFormatting sqref="S58:T58 Y58:Z58">
    <cfRule type="expression" dxfId="891" priority="1030" stopIfTrue="1">
      <formula>$J58=$C$2</formula>
    </cfRule>
    <cfRule type="expression" dxfId="890" priority="1031" stopIfTrue="1">
      <formula>$J58&lt;&gt;"Serviço"</formula>
    </cfRule>
  </conditionalFormatting>
  <conditionalFormatting sqref="L58:M58">
    <cfRule type="expression" dxfId="889" priority="1032" stopIfTrue="1">
      <formula>$J58=$C$2</formula>
    </cfRule>
    <cfRule type="expression" dxfId="888" priority="1033" stopIfTrue="1">
      <formula>$J58&lt;&gt;"Serviço"</formula>
    </cfRule>
    <cfRule type="expression" dxfId="887" priority="1034" stopIfTrue="1">
      <formula>OR(CELL("proteger",L58),$J58="",TipoOrçamento="Licitado")</formula>
    </cfRule>
  </conditionalFormatting>
  <conditionalFormatting sqref="J58:J65">
    <cfRule type="expression" dxfId="886" priority="1035" stopIfTrue="1">
      <formula>TipoOrçamento="Licitado"</formula>
    </cfRule>
  </conditionalFormatting>
  <conditionalFormatting sqref="O58">
    <cfRule type="expression" dxfId="885" priority="1016" stopIfTrue="1">
      <formula>$J58=$C$2</formula>
    </cfRule>
    <cfRule type="expression" dxfId="884" priority="1017" stopIfTrue="1">
      <formula>AND($J58&lt;&gt;"Serviço")</formula>
    </cfRule>
    <cfRule type="expression" dxfId="883" priority="1018" stopIfTrue="1">
      <formula>CELL("proteger",O58)</formula>
    </cfRule>
  </conditionalFormatting>
  <conditionalFormatting sqref="N58">
    <cfRule type="expression" dxfId="882" priority="1019" stopIfTrue="1">
      <formula>$J58=$C$2</formula>
    </cfRule>
    <cfRule type="expression" dxfId="881" priority="1020" stopIfTrue="1">
      <formula>$J58&lt;&gt;"Serviço"</formula>
    </cfRule>
    <cfRule type="expression" dxfId="880" priority="1021" stopIfTrue="1">
      <formula>CELL("proteger",N58)</formula>
    </cfRule>
  </conditionalFormatting>
  <conditionalFormatting sqref="J68:J72">
    <cfRule type="expression" dxfId="879" priority="1014" stopIfTrue="1">
      <formula>TipoOrçamento="Licitado"</formula>
    </cfRule>
  </conditionalFormatting>
  <conditionalFormatting sqref="J74:J78">
    <cfRule type="expression" dxfId="878" priority="993" stopIfTrue="1">
      <formula>TipoOrçamento="Licitado"</formula>
    </cfRule>
  </conditionalFormatting>
  <conditionalFormatting sqref="J94:J105">
    <cfRule type="expression" dxfId="877" priority="972" stopIfTrue="1">
      <formula>TipoOrçamento="Licitado"</formula>
    </cfRule>
  </conditionalFormatting>
  <conditionalFormatting sqref="J128:J133">
    <cfRule type="expression" dxfId="876" priority="951" stopIfTrue="1">
      <formula>TipoOrçamento="Licitado"</formula>
    </cfRule>
  </conditionalFormatting>
  <conditionalFormatting sqref="J145:J146">
    <cfRule type="expression" dxfId="875" priority="930" stopIfTrue="1">
      <formula>TipoOrçamento="Licitado"</formula>
    </cfRule>
  </conditionalFormatting>
  <conditionalFormatting sqref="J203:J205">
    <cfRule type="expression" dxfId="874" priority="909" stopIfTrue="1">
      <formula>TipoOrçamento="Licitado"</formula>
    </cfRule>
  </conditionalFormatting>
  <conditionalFormatting sqref="J223:J227">
    <cfRule type="expression" dxfId="873" priority="888" stopIfTrue="1">
      <formula>TipoOrçamento="Licitado"</formula>
    </cfRule>
  </conditionalFormatting>
  <conditionalFormatting sqref="J229">
    <cfRule type="expression" dxfId="872" priority="867" stopIfTrue="1">
      <formula>TipoOrçamento="Licitado"</formula>
    </cfRule>
  </conditionalFormatting>
  <conditionalFormatting sqref="J253">
    <cfRule type="expression" dxfId="871" priority="825" stopIfTrue="1">
      <formula>TipoOrçamento="Licitado"</formula>
    </cfRule>
  </conditionalFormatting>
  <conditionalFormatting sqref="J368">
    <cfRule type="expression" dxfId="870" priority="804" stopIfTrue="1">
      <formula>TipoOrçamento="Licitado"</formula>
    </cfRule>
  </conditionalFormatting>
  <conditionalFormatting sqref="J377">
    <cfRule type="expression" dxfId="869" priority="783" stopIfTrue="1">
      <formula>TipoOrçamento="Licitado"</formula>
    </cfRule>
  </conditionalFormatting>
  <conditionalFormatting sqref="J393">
    <cfRule type="expression" dxfId="868" priority="762" stopIfTrue="1">
      <formula>TipoOrçamento="Licitado"</formula>
    </cfRule>
  </conditionalFormatting>
  <conditionalFormatting sqref="J396">
    <cfRule type="expression" dxfId="867" priority="741" stopIfTrue="1">
      <formula>TipoOrçamento="Licitado"</formula>
    </cfRule>
  </conditionalFormatting>
  <conditionalFormatting sqref="J399">
    <cfRule type="expression" dxfId="866" priority="720" stopIfTrue="1">
      <formula>TipoOrçamento="Licitado"</formula>
    </cfRule>
  </conditionalFormatting>
  <conditionalFormatting sqref="J406:J407">
    <cfRule type="expression" dxfId="865" priority="699" stopIfTrue="1">
      <formula>TipoOrçamento="Licitado"</formula>
    </cfRule>
  </conditionalFormatting>
  <conditionalFormatting sqref="J408">
    <cfRule type="expression" dxfId="864" priority="678" stopIfTrue="1">
      <formula>TipoOrçamento="Licitado"</formula>
    </cfRule>
  </conditionalFormatting>
  <conditionalFormatting sqref="J414">
    <cfRule type="expression" dxfId="863" priority="657" stopIfTrue="1">
      <formula>TipoOrçamento="Licitado"</formula>
    </cfRule>
  </conditionalFormatting>
  <conditionalFormatting sqref="J475">
    <cfRule type="expression" dxfId="862" priority="636" stopIfTrue="1">
      <formula>TipoOrçamento="Licitado"</formula>
    </cfRule>
  </conditionalFormatting>
  <conditionalFormatting sqref="J476">
    <cfRule type="expression" dxfId="861" priority="615" stopIfTrue="1">
      <formula>TipoOrçamento="Licitado"</formula>
    </cfRule>
  </conditionalFormatting>
  <conditionalFormatting sqref="J106:J107">
    <cfRule type="expression" dxfId="860" priority="594" stopIfTrue="1">
      <formula>TipoOrçamento="Licitado"</formula>
    </cfRule>
  </conditionalFormatting>
  <conditionalFormatting sqref="K66">
    <cfRule type="expression" dxfId="859" priority="539" stopIfTrue="1">
      <formula>$J66=$C$2</formula>
    </cfRule>
    <cfRule type="expression" dxfId="858" priority="540" stopIfTrue="1">
      <formula>AND($J66&lt;&gt;"",$J66&lt;&gt;"Serviço")</formula>
    </cfRule>
    <cfRule type="expression" dxfId="857" priority="541" stopIfTrue="1">
      <formula>$J66=""</formula>
    </cfRule>
  </conditionalFormatting>
  <conditionalFormatting sqref="P66">
    <cfRule type="expression" dxfId="856" priority="532" stopIfTrue="1">
      <formula>$J66=$C$2</formula>
    </cfRule>
    <cfRule type="expression" dxfId="855" priority="542" stopIfTrue="1">
      <formula>AND($J66&lt;&gt;"Serviço")</formula>
    </cfRule>
    <cfRule type="expression" dxfId="854" priority="543" stopIfTrue="1">
      <formula>CELL("proteger",P66)</formula>
    </cfRule>
  </conditionalFormatting>
  <conditionalFormatting sqref="R66">
    <cfRule type="expression" dxfId="853" priority="544" stopIfTrue="1">
      <formula>$J66=$C$2</formula>
    </cfRule>
    <cfRule type="expression" dxfId="852" priority="545" stopIfTrue="1">
      <formula>$J66&lt;&gt;"Serviço"</formula>
    </cfRule>
    <cfRule type="expression" dxfId="851" priority="546" stopIfTrue="1">
      <formula>CELL("proteger",R66)</formula>
    </cfRule>
  </conditionalFormatting>
  <conditionalFormatting sqref="S66:T66 Y66:Z66">
    <cfRule type="expression" dxfId="850" priority="547" stopIfTrue="1">
      <formula>$J66=$C$2</formula>
    </cfRule>
    <cfRule type="expression" dxfId="849" priority="548" stopIfTrue="1">
      <formula>$J66&lt;&gt;"Serviço"</formula>
    </cfRule>
  </conditionalFormatting>
  <conditionalFormatting sqref="L66:M66 L67">
    <cfRule type="expression" dxfId="848" priority="549" stopIfTrue="1">
      <formula>$J66=$C$2</formula>
    </cfRule>
    <cfRule type="expression" dxfId="847" priority="550" stopIfTrue="1">
      <formula>$J66&lt;&gt;"Serviço"</formula>
    </cfRule>
    <cfRule type="expression" dxfId="846" priority="551" stopIfTrue="1">
      <formula>OR(CELL("proteger",L66),$J66="",TipoOrçamento="Licitado")</formula>
    </cfRule>
  </conditionalFormatting>
  <conditionalFormatting sqref="J66">
    <cfRule type="expression" dxfId="845" priority="552" stopIfTrue="1">
      <formula>TipoOrçamento="Licitado"</formula>
    </cfRule>
  </conditionalFormatting>
  <conditionalFormatting sqref="O66">
    <cfRule type="expression" dxfId="844" priority="533" stopIfTrue="1">
      <formula>$J66=$C$2</formula>
    </cfRule>
    <cfRule type="expression" dxfId="843" priority="534" stopIfTrue="1">
      <formula>AND($J66&lt;&gt;"Serviço")</formula>
    </cfRule>
    <cfRule type="expression" dxfId="842" priority="535" stopIfTrue="1">
      <formula>CELL("proteger",O66)</formula>
    </cfRule>
  </conditionalFormatting>
  <conditionalFormatting sqref="N66">
    <cfRule type="expression" dxfId="841" priority="536" stopIfTrue="1">
      <formula>$J66=$C$2</formula>
    </cfRule>
    <cfRule type="expression" dxfId="840" priority="537" stopIfTrue="1">
      <formula>$J66&lt;&gt;"Serviço"</formula>
    </cfRule>
    <cfRule type="expression" dxfId="839" priority="538" stopIfTrue="1">
      <formula>CELL("proteger",N66)</formula>
    </cfRule>
  </conditionalFormatting>
  <conditionalFormatting sqref="K51">
    <cfRule type="expression" dxfId="838" priority="455" stopIfTrue="1">
      <formula>$J51=$C$2</formula>
    </cfRule>
    <cfRule type="expression" dxfId="837" priority="456" stopIfTrue="1">
      <formula>AND($J51&lt;&gt;"",$J51&lt;&gt;"Serviço")</formula>
    </cfRule>
    <cfRule type="expression" dxfId="836" priority="457" stopIfTrue="1">
      <formula>$J51=""</formula>
    </cfRule>
  </conditionalFormatting>
  <conditionalFormatting sqref="P51">
    <cfRule type="expression" dxfId="835" priority="448" stopIfTrue="1">
      <formula>$J51=$C$2</formula>
    </cfRule>
    <cfRule type="expression" dxfId="834" priority="458" stopIfTrue="1">
      <formula>AND($J51&lt;&gt;"Serviço")</formula>
    </cfRule>
    <cfRule type="expression" dxfId="833" priority="459" stopIfTrue="1">
      <formula>CELL("proteger",P51)</formula>
    </cfRule>
  </conditionalFormatting>
  <conditionalFormatting sqref="R51">
    <cfRule type="expression" dxfId="832" priority="460" stopIfTrue="1">
      <formula>$J51=$C$2</formula>
    </cfRule>
    <cfRule type="expression" dxfId="831" priority="461" stopIfTrue="1">
      <formula>$J51&lt;&gt;"Serviço"</formula>
    </cfRule>
    <cfRule type="expression" dxfId="830" priority="462" stopIfTrue="1">
      <formula>CELL("proteger",R51)</formula>
    </cfRule>
  </conditionalFormatting>
  <conditionalFormatting sqref="S51:T51 Y51:Z51">
    <cfRule type="expression" dxfId="829" priority="463" stopIfTrue="1">
      <formula>$J51=$C$2</formula>
    </cfRule>
    <cfRule type="expression" dxfId="828" priority="464" stopIfTrue="1">
      <formula>$J51&lt;&gt;"Serviço"</formula>
    </cfRule>
  </conditionalFormatting>
  <conditionalFormatting sqref="M51">
    <cfRule type="expression" dxfId="827" priority="465" stopIfTrue="1">
      <formula>$J51=$C$2</formula>
    </cfRule>
    <cfRule type="expression" dxfId="826" priority="466" stopIfTrue="1">
      <formula>$J51&lt;&gt;"Serviço"</formula>
    </cfRule>
    <cfRule type="expression" dxfId="825" priority="467" stopIfTrue="1">
      <formula>OR(CELL("proteger",M51),$J51="",TipoOrçamento="Licitado")</formula>
    </cfRule>
  </conditionalFormatting>
  <conditionalFormatting sqref="J51">
    <cfRule type="expression" dxfId="824" priority="468" stopIfTrue="1">
      <formula>TipoOrçamento="Licitado"</formula>
    </cfRule>
  </conditionalFormatting>
  <conditionalFormatting sqref="O51">
    <cfRule type="expression" dxfId="823" priority="449" stopIfTrue="1">
      <formula>$J51=$C$2</formula>
    </cfRule>
    <cfRule type="expression" dxfId="822" priority="450" stopIfTrue="1">
      <formula>AND($J51&lt;&gt;"Serviço")</formula>
    </cfRule>
    <cfRule type="expression" dxfId="821" priority="451" stopIfTrue="1">
      <formula>CELL("proteger",O51)</formula>
    </cfRule>
  </conditionalFormatting>
  <conditionalFormatting sqref="N51">
    <cfRule type="expression" dxfId="820" priority="452" stopIfTrue="1">
      <formula>$J51=$C$2</formula>
    </cfRule>
    <cfRule type="expression" dxfId="819" priority="453" stopIfTrue="1">
      <formula>$J51&lt;&gt;"Serviço"</formula>
    </cfRule>
    <cfRule type="expression" dxfId="818" priority="454" stopIfTrue="1">
      <formula>CELL("proteger",N51)</formula>
    </cfRule>
  </conditionalFormatting>
  <conditionalFormatting sqref="K46">
    <cfRule type="expression" dxfId="817" priority="434" stopIfTrue="1">
      <formula>$J46=$C$2</formula>
    </cfRule>
    <cfRule type="expression" dxfId="816" priority="435" stopIfTrue="1">
      <formula>AND($J46&lt;&gt;"",$J46&lt;&gt;"Serviço")</formula>
    </cfRule>
    <cfRule type="expression" dxfId="815" priority="436" stopIfTrue="1">
      <formula>$J46=""</formula>
    </cfRule>
  </conditionalFormatting>
  <conditionalFormatting sqref="P46">
    <cfRule type="expression" dxfId="814" priority="427" stopIfTrue="1">
      <formula>$J46=$C$2</formula>
    </cfRule>
    <cfRule type="expression" dxfId="813" priority="437" stopIfTrue="1">
      <formula>AND($J46&lt;&gt;"Serviço")</formula>
    </cfRule>
    <cfRule type="expression" dxfId="812" priority="438" stopIfTrue="1">
      <formula>CELL("proteger",P46)</formula>
    </cfRule>
  </conditionalFormatting>
  <conditionalFormatting sqref="R46">
    <cfRule type="expression" dxfId="811" priority="439" stopIfTrue="1">
      <formula>$J46=$C$2</formula>
    </cfRule>
    <cfRule type="expression" dxfId="810" priority="440" stopIfTrue="1">
      <formula>$J46&lt;&gt;"Serviço"</formula>
    </cfRule>
    <cfRule type="expression" dxfId="809" priority="441" stopIfTrue="1">
      <formula>CELL("proteger",R46)</formula>
    </cfRule>
  </conditionalFormatting>
  <conditionalFormatting sqref="S46:T46 Y46:Z46">
    <cfRule type="expression" dxfId="808" priority="442" stopIfTrue="1">
      <formula>$J46=$C$2</formula>
    </cfRule>
    <cfRule type="expression" dxfId="807" priority="443" stopIfTrue="1">
      <formula>$J46&lt;&gt;"Serviço"</formula>
    </cfRule>
  </conditionalFormatting>
  <conditionalFormatting sqref="M67">
    <cfRule type="expression" dxfId="806" priority="423" stopIfTrue="1">
      <formula>$J67=$C$2</formula>
    </cfRule>
    <cfRule type="expression" dxfId="805" priority="424" stopIfTrue="1">
      <formula>$J67&lt;&gt;"Serviço"</formula>
    </cfRule>
    <cfRule type="expression" dxfId="804" priority="425" stopIfTrue="1">
      <formula>OR(CELL("proteger",M67),$J67="",TipoOrçamento="Licitado")</formula>
    </cfRule>
  </conditionalFormatting>
  <conditionalFormatting sqref="J46">
    <cfRule type="expression" dxfId="803" priority="447" stopIfTrue="1">
      <formula>TipoOrçamento="Licitado"</formula>
    </cfRule>
  </conditionalFormatting>
  <conditionalFormatting sqref="O46">
    <cfRule type="expression" dxfId="802" priority="428" stopIfTrue="1">
      <formula>$J46=$C$2</formula>
    </cfRule>
    <cfRule type="expression" dxfId="801" priority="429" stopIfTrue="1">
      <formula>AND($J46&lt;&gt;"Serviço")</formula>
    </cfRule>
    <cfRule type="expression" dxfId="800" priority="430" stopIfTrue="1">
      <formula>CELL("proteger",O46)</formula>
    </cfRule>
  </conditionalFormatting>
  <conditionalFormatting sqref="N46">
    <cfRule type="expression" dxfId="799" priority="431" stopIfTrue="1">
      <formula>$J46=$C$2</formula>
    </cfRule>
    <cfRule type="expression" dxfId="798" priority="432" stopIfTrue="1">
      <formula>$J46&lt;&gt;"Serviço"</formula>
    </cfRule>
    <cfRule type="expression" dxfId="797" priority="433" stopIfTrue="1">
      <formula>CELL("proteger",N46)</formula>
    </cfRule>
  </conditionalFormatting>
  <conditionalFormatting sqref="K67">
    <cfRule type="expression" dxfId="796" priority="413" stopIfTrue="1">
      <formula>$J67=$C$2</formula>
    </cfRule>
    <cfRule type="expression" dxfId="795" priority="414" stopIfTrue="1">
      <formula>AND($J67&lt;&gt;"",$J67&lt;&gt;"Serviço")</formula>
    </cfRule>
    <cfRule type="expression" dxfId="794" priority="415" stopIfTrue="1">
      <formula>$J67=""</formula>
    </cfRule>
  </conditionalFormatting>
  <conditionalFormatting sqref="P67">
    <cfRule type="expression" dxfId="793" priority="406" stopIfTrue="1">
      <formula>$J67=$C$2</formula>
    </cfRule>
    <cfRule type="expression" dxfId="792" priority="416" stopIfTrue="1">
      <formula>AND($J67&lt;&gt;"Serviço")</formula>
    </cfRule>
    <cfRule type="expression" dxfId="791" priority="417" stopIfTrue="1">
      <formula>CELL("proteger",P67)</formula>
    </cfRule>
  </conditionalFormatting>
  <conditionalFormatting sqref="R67">
    <cfRule type="expression" dxfId="790" priority="418" stopIfTrue="1">
      <formula>$J67=$C$2</formula>
    </cfRule>
    <cfRule type="expression" dxfId="789" priority="419" stopIfTrue="1">
      <formula>$J67&lt;&gt;"Serviço"</formula>
    </cfRule>
    <cfRule type="expression" dxfId="788" priority="420" stopIfTrue="1">
      <formula>CELL("proteger",R67)</formula>
    </cfRule>
  </conditionalFormatting>
  <conditionalFormatting sqref="S67:T67 Y67:Z67">
    <cfRule type="expression" dxfId="787" priority="421" stopIfTrue="1">
      <formula>$J67=$C$2</formula>
    </cfRule>
    <cfRule type="expression" dxfId="786" priority="422" stopIfTrue="1">
      <formula>$J67&lt;&gt;"Serviço"</formula>
    </cfRule>
  </conditionalFormatting>
  <conditionalFormatting sqref="M73">
    <cfRule type="expression" dxfId="785" priority="402" stopIfTrue="1">
      <formula>$J73=$C$2</formula>
    </cfRule>
    <cfRule type="expression" dxfId="784" priority="403" stopIfTrue="1">
      <formula>$J73&lt;&gt;"Serviço"</formula>
    </cfRule>
    <cfRule type="expression" dxfId="783" priority="404" stopIfTrue="1">
      <formula>OR(CELL("proteger",M73),$J73="",TipoOrçamento="Licitado")</formula>
    </cfRule>
  </conditionalFormatting>
  <conditionalFormatting sqref="J67">
    <cfRule type="expression" dxfId="782" priority="426" stopIfTrue="1">
      <formula>TipoOrçamento="Licitado"</formula>
    </cfRule>
  </conditionalFormatting>
  <conditionalFormatting sqref="O67">
    <cfRule type="expression" dxfId="781" priority="407" stopIfTrue="1">
      <formula>$J67=$C$2</formula>
    </cfRule>
    <cfRule type="expression" dxfId="780" priority="408" stopIfTrue="1">
      <formula>AND($J67&lt;&gt;"Serviço")</formula>
    </cfRule>
    <cfRule type="expression" dxfId="779" priority="409" stopIfTrue="1">
      <formula>CELL("proteger",O67)</formula>
    </cfRule>
  </conditionalFormatting>
  <conditionalFormatting sqref="N67">
    <cfRule type="expression" dxfId="778" priority="410" stopIfTrue="1">
      <formula>$J67=$C$2</formula>
    </cfRule>
    <cfRule type="expression" dxfId="777" priority="411" stopIfTrue="1">
      <formula>$J67&lt;&gt;"Serviço"</formula>
    </cfRule>
    <cfRule type="expression" dxfId="776" priority="412" stopIfTrue="1">
      <formula>CELL("proteger",N67)</formula>
    </cfRule>
  </conditionalFormatting>
  <conditionalFormatting sqref="K73">
    <cfRule type="expression" dxfId="775" priority="392" stopIfTrue="1">
      <formula>$J73=$C$2</formula>
    </cfRule>
    <cfRule type="expression" dxfId="774" priority="393" stopIfTrue="1">
      <formula>AND($J73&lt;&gt;"",$J73&lt;&gt;"Serviço")</formula>
    </cfRule>
    <cfRule type="expression" dxfId="773" priority="394" stopIfTrue="1">
      <formula>$J73=""</formula>
    </cfRule>
  </conditionalFormatting>
  <conditionalFormatting sqref="P73">
    <cfRule type="expression" dxfId="772" priority="385" stopIfTrue="1">
      <formula>$J73=$C$2</formula>
    </cfRule>
    <cfRule type="expression" dxfId="771" priority="395" stopIfTrue="1">
      <formula>AND($J73&lt;&gt;"Serviço")</formula>
    </cfRule>
    <cfRule type="expression" dxfId="770" priority="396" stopIfTrue="1">
      <formula>CELL("proteger",P73)</formula>
    </cfRule>
  </conditionalFormatting>
  <conditionalFormatting sqref="R73">
    <cfRule type="expression" dxfId="769" priority="397" stopIfTrue="1">
      <formula>$J73=$C$2</formula>
    </cfRule>
    <cfRule type="expression" dxfId="768" priority="398" stopIfTrue="1">
      <formula>$J73&lt;&gt;"Serviço"</formula>
    </cfRule>
    <cfRule type="expression" dxfId="767" priority="399" stopIfTrue="1">
      <formula>CELL("proteger",R73)</formula>
    </cfRule>
  </conditionalFormatting>
  <conditionalFormatting sqref="S73:T73 Y73:Z73">
    <cfRule type="expression" dxfId="766" priority="400" stopIfTrue="1">
      <formula>$J73=$C$2</formula>
    </cfRule>
    <cfRule type="expression" dxfId="765" priority="401" stopIfTrue="1">
      <formula>$J73&lt;&gt;"Serviço"</formula>
    </cfRule>
  </conditionalFormatting>
  <conditionalFormatting sqref="J73">
    <cfRule type="expression" dxfId="764" priority="405" stopIfTrue="1">
      <formula>TipoOrçamento="Licitado"</formula>
    </cfRule>
  </conditionalFormatting>
  <conditionalFormatting sqref="O73">
    <cfRule type="expression" dxfId="763" priority="386" stopIfTrue="1">
      <formula>$J73=$C$2</formula>
    </cfRule>
    <cfRule type="expression" dxfId="762" priority="387" stopIfTrue="1">
      <formula>AND($J73&lt;&gt;"Serviço")</formula>
    </cfRule>
    <cfRule type="expression" dxfId="761" priority="388" stopIfTrue="1">
      <formula>CELL("proteger",O73)</formula>
    </cfRule>
  </conditionalFormatting>
  <conditionalFormatting sqref="N73">
    <cfRule type="expression" dxfId="760" priority="389" stopIfTrue="1">
      <formula>$J73=$C$2</formula>
    </cfRule>
    <cfRule type="expression" dxfId="759" priority="390" stopIfTrue="1">
      <formula>$J73&lt;&gt;"Serviço"</formula>
    </cfRule>
    <cfRule type="expression" dxfId="758" priority="391" stopIfTrue="1">
      <formula>CELL("proteger",N73)</formula>
    </cfRule>
  </conditionalFormatting>
  <conditionalFormatting sqref="P193:P199">
    <cfRule type="expression" dxfId="757" priority="6180" stopIfTrue="1">
      <formula>$J194=$C$2</formula>
    </cfRule>
    <cfRule type="expression" dxfId="756" priority="6181" stopIfTrue="1">
      <formula>AND($J194&lt;&gt;"Serviço")</formula>
    </cfRule>
    <cfRule type="expression" dxfId="755" priority="6182" stopIfTrue="1">
      <formula>CELL("proteger",P193)</formula>
    </cfRule>
  </conditionalFormatting>
  <conditionalFormatting sqref="J181">
    <cfRule type="expression" dxfId="754" priority="384" stopIfTrue="1">
      <formula>TipoOrçamento="Licitado"</formula>
    </cfRule>
  </conditionalFormatting>
  <conditionalFormatting sqref="K240">
    <cfRule type="expression" dxfId="753" priority="323" stopIfTrue="1">
      <formula>$J240=$C$2</formula>
    </cfRule>
    <cfRule type="expression" dxfId="752" priority="324" stopIfTrue="1">
      <formula>AND($J240&lt;&gt;"",$J240&lt;&gt;"Serviço")</formula>
    </cfRule>
    <cfRule type="expression" dxfId="751" priority="325" stopIfTrue="1">
      <formula>$J240=""</formula>
    </cfRule>
  </conditionalFormatting>
  <conditionalFormatting sqref="P240">
    <cfRule type="expression" dxfId="750" priority="316" stopIfTrue="1">
      <formula>$J240=$C$2</formula>
    </cfRule>
    <cfRule type="expression" dxfId="749" priority="326" stopIfTrue="1">
      <formula>AND($J240&lt;&gt;"Serviço")</formula>
    </cfRule>
    <cfRule type="expression" dxfId="748" priority="327" stopIfTrue="1">
      <formula>CELL("proteger",P240)</formula>
    </cfRule>
  </conditionalFormatting>
  <conditionalFormatting sqref="Q240:R240">
    <cfRule type="expression" dxfId="747" priority="328" stopIfTrue="1">
      <formula>$J240=$C$2</formula>
    </cfRule>
    <cfRule type="expression" dxfId="746" priority="329" stopIfTrue="1">
      <formula>$J240&lt;&gt;"Serviço"</formula>
    </cfRule>
    <cfRule type="expression" dxfId="745" priority="330" stopIfTrue="1">
      <formula>CELL("proteger",Q240)</formula>
    </cfRule>
  </conditionalFormatting>
  <conditionalFormatting sqref="S240:T240 Y240:Z240">
    <cfRule type="expression" dxfId="744" priority="331" stopIfTrue="1">
      <formula>$J240=$C$2</formula>
    </cfRule>
    <cfRule type="expression" dxfId="743" priority="332" stopIfTrue="1">
      <formula>$J240&lt;&gt;"Serviço"</formula>
    </cfRule>
  </conditionalFormatting>
  <conditionalFormatting sqref="L240:M240">
    <cfRule type="expression" dxfId="742" priority="333" stopIfTrue="1">
      <formula>$J240=$C$2</formula>
    </cfRule>
    <cfRule type="expression" dxfId="741" priority="334" stopIfTrue="1">
      <formula>$J240&lt;&gt;"Serviço"</formula>
    </cfRule>
    <cfRule type="expression" dxfId="740" priority="335" stopIfTrue="1">
      <formula>OR(CELL("proteger",L240),$J240="",TipoOrçamento="Licitado")</formula>
    </cfRule>
  </conditionalFormatting>
  <conditionalFormatting sqref="J240">
    <cfRule type="expression" dxfId="739" priority="336" stopIfTrue="1">
      <formula>TipoOrçamento="Licitado"</formula>
    </cfRule>
  </conditionalFormatting>
  <conditionalFormatting sqref="O240">
    <cfRule type="expression" dxfId="738" priority="317" stopIfTrue="1">
      <formula>$J240=$C$2</formula>
    </cfRule>
    <cfRule type="expression" dxfId="737" priority="318" stopIfTrue="1">
      <formula>AND($J240&lt;&gt;"Serviço")</formula>
    </cfRule>
    <cfRule type="expression" dxfId="736" priority="319" stopIfTrue="1">
      <formula>CELL("proteger",O240)</formula>
    </cfRule>
  </conditionalFormatting>
  <conditionalFormatting sqref="N240">
    <cfRule type="expression" dxfId="735" priority="320" stopIfTrue="1">
      <formula>$J240=$C$2</formula>
    </cfRule>
    <cfRule type="expression" dxfId="734" priority="321" stopIfTrue="1">
      <formula>$J240&lt;&gt;"Serviço"</formula>
    </cfRule>
    <cfRule type="expression" dxfId="733" priority="322" stopIfTrue="1">
      <formula>CELL("proteger",N240)</formula>
    </cfRule>
  </conditionalFormatting>
  <conditionalFormatting sqref="J507">
    <cfRule type="expression" dxfId="732" priority="294" stopIfTrue="1">
      <formula>TipoOrçamento="Licitado"</formula>
    </cfRule>
  </conditionalFormatting>
  <conditionalFormatting sqref="J537">
    <cfRule type="expression" dxfId="731" priority="273" stopIfTrue="1">
      <formula>TipoOrçamento="Licitado"</formula>
    </cfRule>
  </conditionalFormatting>
  <conditionalFormatting sqref="K17">
    <cfRule type="expression" dxfId="730" priority="236" stopIfTrue="1">
      <formula>$J17=$C$2</formula>
    </cfRule>
    <cfRule type="expression" dxfId="729" priority="237" stopIfTrue="1">
      <formula>AND($J17&lt;&gt;"",$J17&lt;&gt;"Serviço")</formula>
    </cfRule>
    <cfRule type="expression" dxfId="728" priority="238" stopIfTrue="1">
      <formula>$J17=""</formula>
    </cfRule>
  </conditionalFormatting>
  <conditionalFormatting sqref="P17">
    <cfRule type="expression" dxfId="727" priority="229" stopIfTrue="1">
      <formula>$J17=$C$2</formula>
    </cfRule>
    <cfRule type="expression" dxfId="726" priority="239" stopIfTrue="1">
      <formula>AND($J17&lt;&gt;"Serviço")</formula>
    </cfRule>
    <cfRule type="expression" dxfId="725" priority="240" stopIfTrue="1">
      <formula>CELL("proteger",P17)</formula>
    </cfRule>
  </conditionalFormatting>
  <conditionalFormatting sqref="R17">
    <cfRule type="expression" dxfId="724" priority="241" stopIfTrue="1">
      <formula>$J17=$C$2</formula>
    </cfRule>
    <cfRule type="expression" dxfId="723" priority="242" stopIfTrue="1">
      <formula>$J17&lt;&gt;"Serviço"</formula>
    </cfRule>
    <cfRule type="expression" dxfId="722" priority="243" stopIfTrue="1">
      <formula>CELL("proteger",R17)</formula>
    </cfRule>
  </conditionalFormatting>
  <conditionalFormatting sqref="S17:T17 Y17:Z17">
    <cfRule type="expression" dxfId="721" priority="244" stopIfTrue="1">
      <formula>$J17=$C$2</formula>
    </cfRule>
    <cfRule type="expression" dxfId="720" priority="245" stopIfTrue="1">
      <formula>$J17&lt;&gt;"Serviço"</formula>
    </cfRule>
  </conditionalFormatting>
  <conditionalFormatting sqref="L17:M17">
    <cfRule type="expression" dxfId="719" priority="246" stopIfTrue="1">
      <formula>$J17=$C$2</formula>
    </cfRule>
    <cfRule type="expression" dxfId="718" priority="247" stopIfTrue="1">
      <formula>$J17&lt;&gt;"Serviço"</formula>
    </cfRule>
    <cfRule type="expression" dxfId="717" priority="248" stopIfTrue="1">
      <formula>OR(CELL("proteger",L17),$J17="",TipoOrçamento="Licitado")</formula>
    </cfRule>
  </conditionalFormatting>
  <conditionalFormatting sqref="J17">
    <cfRule type="expression" dxfId="716" priority="249" stopIfTrue="1">
      <formula>TipoOrçamento="Licitado"</formula>
    </cfRule>
  </conditionalFormatting>
  <conditionalFormatting sqref="O17">
    <cfRule type="expression" dxfId="715" priority="230" stopIfTrue="1">
      <formula>$J17=$C$2</formula>
    </cfRule>
    <cfRule type="expression" dxfId="714" priority="231" stopIfTrue="1">
      <formula>AND($J17&lt;&gt;"Serviço")</formula>
    </cfRule>
    <cfRule type="expression" dxfId="713" priority="232" stopIfTrue="1">
      <formula>CELL("proteger",O17)</formula>
    </cfRule>
  </conditionalFormatting>
  <conditionalFormatting sqref="N17">
    <cfRule type="expression" dxfId="712" priority="233" stopIfTrue="1">
      <formula>$J17=$C$2</formula>
    </cfRule>
    <cfRule type="expression" dxfId="711" priority="234" stopIfTrue="1">
      <formula>$J17&lt;&gt;"Serviço"</formula>
    </cfRule>
    <cfRule type="expression" dxfId="710" priority="235" stopIfTrue="1">
      <formula>CELL("proteger",N17)</formula>
    </cfRule>
  </conditionalFormatting>
  <conditionalFormatting sqref="L470">
    <cfRule type="expression" dxfId="709" priority="202" stopIfTrue="1">
      <formula>$J470=$C$2</formula>
    </cfRule>
    <cfRule type="expression" dxfId="708" priority="203" stopIfTrue="1">
      <formula>$J470&lt;&gt;"Serviço"</formula>
    </cfRule>
    <cfRule type="expression" dxfId="707" priority="204" stopIfTrue="1">
      <formula>OR(CELL("proteger",L470),$J470="",TipoOrçamento="Licitado")</formula>
    </cfRule>
  </conditionalFormatting>
  <conditionalFormatting sqref="L446">
    <cfRule type="expression" dxfId="706" priority="199" stopIfTrue="1">
      <formula>$J446=$C$2</formula>
    </cfRule>
    <cfRule type="expression" dxfId="705" priority="200" stopIfTrue="1">
      <formula>$J446&lt;&gt;"Serviço"</formula>
    </cfRule>
    <cfRule type="expression" dxfId="704" priority="201" stopIfTrue="1">
      <formula>OR(CELL("proteger",L446),$J446="",TipoOrçamento="Licitado")</formula>
    </cfRule>
  </conditionalFormatting>
  <conditionalFormatting sqref="L436:L439">
    <cfRule type="expression" dxfId="703" priority="196" stopIfTrue="1">
      <formula>$J436=$C$2</formula>
    </cfRule>
    <cfRule type="expression" dxfId="702" priority="197" stopIfTrue="1">
      <formula>$J436&lt;&gt;"Serviço"</formula>
    </cfRule>
    <cfRule type="expression" dxfId="701" priority="198" stopIfTrue="1">
      <formula>OR(CELL("proteger",L436),$J436="",TipoOrçamento="Licitado")</formula>
    </cfRule>
  </conditionalFormatting>
  <conditionalFormatting sqref="L416">
    <cfRule type="expression" dxfId="700" priority="193" stopIfTrue="1">
      <formula>$J416=$C$2</formula>
    </cfRule>
    <cfRule type="expression" dxfId="699" priority="194" stopIfTrue="1">
      <formula>$J416&lt;&gt;"Serviço"</formula>
    </cfRule>
    <cfRule type="expression" dxfId="698" priority="195" stopIfTrue="1">
      <formula>OR(CELL("proteger",L416),$J416="",TipoOrçamento="Licitado")</formula>
    </cfRule>
  </conditionalFormatting>
  <conditionalFormatting sqref="L403:L405">
    <cfRule type="expression" dxfId="697" priority="190" stopIfTrue="1">
      <formula>$J403=$C$2</formula>
    </cfRule>
    <cfRule type="expression" dxfId="696" priority="191" stopIfTrue="1">
      <formula>$J403&lt;&gt;"Serviço"</formula>
    </cfRule>
    <cfRule type="expression" dxfId="695" priority="192" stopIfTrue="1">
      <formula>OR(CELL("proteger",L403),$J403="",TipoOrçamento="Licitado")</formula>
    </cfRule>
  </conditionalFormatting>
  <conditionalFormatting sqref="L407">
    <cfRule type="expression" dxfId="694" priority="187" stopIfTrue="1">
      <formula>$J407=$C$2</formula>
    </cfRule>
    <cfRule type="expression" dxfId="693" priority="188" stopIfTrue="1">
      <formula>$J407&lt;&gt;"Serviço"</formula>
    </cfRule>
    <cfRule type="expression" dxfId="692" priority="189" stopIfTrue="1">
      <formula>OR(CELL("proteger",L407),$J407="",TipoOrçamento="Licitado")</formula>
    </cfRule>
  </conditionalFormatting>
  <conditionalFormatting sqref="L391">
    <cfRule type="expression" dxfId="691" priority="184" stopIfTrue="1">
      <formula>$J391=$C$2</formula>
    </cfRule>
    <cfRule type="expression" dxfId="690" priority="185" stopIfTrue="1">
      <formula>$J391&lt;&gt;"Serviço"</formula>
    </cfRule>
    <cfRule type="expression" dxfId="689" priority="186" stopIfTrue="1">
      <formula>OR(CELL("proteger",L391),$J391="",TipoOrçamento="Licitado")</formula>
    </cfRule>
  </conditionalFormatting>
  <conditionalFormatting sqref="L382:L383">
    <cfRule type="expression" dxfId="688" priority="181" stopIfTrue="1">
      <formula>$J382=$C$2</formula>
    </cfRule>
    <cfRule type="expression" dxfId="687" priority="182" stopIfTrue="1">
      <formula>$J382&lt;&gt;"Serviço"</formula>
    </cfRule>
    <cfRule type="expression" dxfId="686" priority="183" stopIfTrue="1">
      <formula>OR(CELL("proteger",L382),$J382="",TipoOrçamento="Licitado")</formula>
    </cfRule>
  </conditionalFormatting>
  <conditionalFormatting sqref="L379">
    <cfRule type="expression" dxfId="685" priority="178" stopIfTrue="1">
      <formula>$J379=$C$2</formula>
    </cfRule>
    <cfRule type="expression" dxfId="684" priority="179" stopIfTrue="1">
      <formula>$J379&lt;&gt;"Serviço"</formula>
    </cfRule>
    <cfRule type="expression" dxfId="683" priority="180" stopIfTrue="1">
      <formula>OR(CELL("proteger",L379),$J379="",TipoOrçamento="Licitado")</formula>
    </cfRule>
  </conditionalFormatting>
  <conditionalFormatting sqref="L374:L377">
    <cfRule type="expression" dxfId="682" priority="175" stopIfTrue="1">
      <formula>$J374=$C$2</formula>
    </cfRule>
    <cfRule type="expression" dxfId="681" priority="176" stopIfTrue="1">
      <formula>$J374&lt;&gt;"Serviço"</formula>
    </cfRule>
    <cfRule type="expression" dxfId="680" priority="177" stopIfTrue="1">
      <formula>OR(CELL("proteger",L374),$J374="",TipoOrçamento="Licitado")</formula>
    </cfRule>
  </conditionalFormatting>
  <conditionalFormatting sqref="L370:L372">
    <cfRule type="expression" dxfId="679" priority="172" stopIfTrue="1">
      <formula>$J370=$C$2</formula>
    </cfRule>
    <cfRule type="expression" dxfId="678" priority="173" stopIfTrue="1">
      <formula>$J370&lt;&gt;"Serviço"</formula>
    </cfRule>
    <cfRule type="expression" dxfId="677" priority="174" stopIfTrue="1">
      <formula>OR(CELL("proteger",L370),$J370="",TipoOrçamento="Licitado")</formula>
    </cfRule>
  </conditionalFormatting>
  <conditionalFormatting sqref="L366">
    <cfRule type="expression" dxfId="676" priority="169" stopIfTrue="1">
      <formula>$J366=$C$2</formula>
    </cfRule>
    <cfRule type="expression" dxfId="675" priority="170" stopIfTrue="1">
      <formula>$J366&lt;&gt;"Serviço"</formula>
    </cfRule>
    <cfRule type="expression" dxfId="674" priority="171" stopIfTrue="1">
      <formula>OR(CELL("proteger",L366),$J366="",TipoOrçamento="Licitado")</formula>
    </cfRule>
  </conditionalFormatting>
  <conditionalFormatting sqref="L362:L363">
    <cfRule type="expression" dxfId="673" priority="166" stopIfTrue="1">
      <formula>$J362=$C$2</formula>
    </cfRule>
    <cfRule type="expression" dxfId="672" priority="167" stopIfTrue="1">
      <formula>$J362&lt;&gt;"Serviço"</formula>
    </cfRule>
    <cfRule type="expression" dxfId="671" priority="168" stopIfTrue="1">
      <formula>OR(CELL("proteger",L362),$J362="",TipoOrçamento="Licitado")</formula>
    </cfRule>
  </conditionalFormatting>
  <conditionalFormatting sqref="L359:L360">
    <cfRule type="expression" dxfId="670" priority="163" stopIfTrue="1">
      <formula>$J359=$C$2</formula>
    </cfRule>
    <cfRule type="expression" dxfId="669" priority="164" stopIfTrue="1">
      <formula>$J359&lt;&gt;"Serviço"</formula>
    </cfRule>
    <cfRule type="expression" dxfId="668" priority="165" stopIfTrue="1">
      <formula>OR(CELL("proteger",L359),$J359="",TipoOrçamento="Licitado")</formula>
    </cfRule>
  </conditionalFormatting>
  <conditionalFormatting sqref="L354">
    <cfRule type="expression" dxfId="667" priority="160" stopIfTrue="1">
      <formula>$J354=$C$2</formula>
    </cfRule>
    <cfRule type="expression" dxfId="666" priority="161" stopIfTrue="1">
      <formula>$J354&lt;&gt;"Serviço"</formula>
    </cfRule>
    <cfRule type="expression" dxfId="665" priority="162" stopIfTrue="1">
      <formula>OR(CELL("proteger",L354),$J354="",TipoOrçamento="Licitado")</formula>
    </cfRule>
  </conditionalFormatting>
  <conditionalFormatting sqref="L348:L349">
    <cfRule type="expression" dxfId="664" priority="157" stopIfTrue="1">
      <formula>$J348=$C$2</formula>
    </cfRule>
    <cfRule type="expression" dxfId="663" priority="158" stopIfTrue="1">
      <formula>$J348&lt;&gt;"Serviço"</formula>
    </cfRule>
    <cfRule type="expression" dxfId="662" priority="159" stopIfTrue="1">
      <formula>OR(CELL("proteger",L348),$J348="",TipoOrçamento="Licitado")</formula>
    </cfRule>
  </conditionalFormatting>
  <conditionalFormatting sqref="L336">
    <cfRule type="expression" dxfId="661" priority="154" stopIfTrue="1">
      <formula>$J336=$C$2</formula>
    </cfRule>
    <cfRule type="expression" dxfId="660" priority="155" stopIfTrue="1">
      <formula>$J336&lt;&gt;"Serviço"</formula>
    </cfRule>
    <cfRule type="expression" dxfId="659" priority="156" stopIfTrue="1">
      <formula>OR(CELL("proteger",L336),$J336="",TipoOrçamento="Licitado")</formula>
    </cfRule>
  </conditionalFormatting>
  <conditionalFormatting sqref="L325">
    <cfRule type="expression" dxfId="658" priority="151" stopIfTrue="1">
      <formula>$J325=$C$2</formula>
    </cfRule>
    <cfRule type="expression" dxfId="657" priority="152" stopIfTrue="1">
      <formula>$J325&lt;&gt;"Serviço"</formula>
    </cfRule>
    <cfRule type="expression" dxfId="656" priority="153" stopIfTrue="1">
      <formula>OR(CELL("proteger",L325),$J325="",TipoOrçamento="Licitado")</formula>
    </cfRule>
  </conditionalFormatting>
  <conditionalFormatting sqref="L323">
    <cfRule type="expression" dxfId="655" priority="148" stopIfTrue="1">
      <formula>$J323=$C$2</formula>
    </cfRule>
    <cfRule type="expression" dxfId="654" priority="149" stopIfTrue="1">
      <formula>$J323&lt;&gt;"Serviço"</formula>
    </cfRule>
    <cfRule type="expression" dxfId="653" priority="150" stopIfTrue="1">
      <formula>OR(CELL("proteger",L323),$J323="",TipoOrçamento="Licitado")</formula>
    </cfRule>
  </conditionalFormatting>
  <conditionalFormatting sqref="L331">
    <cfRule type="expression" dxfId="652" priority="145" stopIfTrue="1">
      <formula>$J331=$C$2</formula>
    </cfRule>
    <cfRule type="expression" dxfId="651" priority="146" stopIfTrue="1">
      <formula>$J331&lt;&gt;"Serviço"</formula>
    </cfRule>
    <cfRule type="expression" dxfId="650" priority="147" stopIfTrue="1">
      <formula>OR(CELL("proteger",L331),$J331="",TipoOrçamento="Licitado")</formula>
    </cfRule>
  </conditionalFormatting>
  <conditionalFormatting sqref="L297">
    <cfRule type="expression" dxfId="649" priority="142" stopIfTrue="1">
      <formula>$J297=$C$2</formula>
    </cfRule>
    <cfRule type="expression" dxfId="648" priority="143" stopIfTrue="1">
      <formula>$J297&lt;&gt;"Serviço"</formula>
    </cfRule>
    <cfRule type="expression" dxfId="647" priority="144" stopIfTrue="1">
      <formula>OR(CELL("proteger",L297),$J297="",TipoOrçamento="Licitado")</formula>
    </cfRule>
  </conditionalFormatting>
  <conditionalFormatting sqref="L286">
    <cfRule type="expression" dxfId="646" priority="139" stopIfTrue="1">
      <formula>$J286=$C$2</formula>
    </cfRule>
    <cfRule type="expression" dxfId="645" priority="140" stopIfTrue="1">
      <formula>$J286&lt;&gt;"Serviço"</formula>
    </cfRule>
    <cfRule type="expression" dxfId="644" priority="141" stopIfTrue="1">
      <formula>OR(CELL("proteger",L286),$J286="",TipoOrçamento="Licitado")</formula>
    </cfRule>
  </conditionalFormatting>
  <conditionalFormatting sqref="L262:L263">
    <cfRule type="expression" dxfId="643" priority="136" stopIfTrue="1">
      <formula>$J262=$C$2</formula>
    </cfRule>
    <cfRule type="expression" dxfId="642" priority="137" stopIfTrue="1">
      <formula>$J262&lt;&gt;"Serviço"</formula>
    </cfRule>
    <cfRule type="expression" dxfId="641" priority="138" stopIfTrue="1">
      <formula>OR(CELL("proteger",L262),$J262="",TipoOrçamento="Licitado")</formula>
    </cfRule>
  </conditionalFormatting>
  <conditionalFormatting sqref="L233:L234">
    <cfRule type="expression" dxfId="640" priority="133" stopIfTrue="1">
      <formula>$J233=$C$2</formula>
    </cfRule>
    <cfRule type="expression" dxfId="639" priority="134" stopIfTrue="1">
      <formula>$J233&lt;&gt;"Serviço"</formula>
    </cfRule>
    <cfRule type="expression" dxfId="638" priority="135" stopIfTrue="1">
      <formula>OR(CELL("proteger",L233),$J233="",TipoOrçamento="Licitado")</formula>
    </cfRule>
  </conditionalFormatting>
  <conditionalFormatting sqref="L231">
    <cfRule type="expression" dxfId="637" priority="130" stopIfTrue="1">
      <formula>$J231=$C$2</formula>
    </cfRule>
    <cfRule type="expression" dxfId="636" priority="131" stopIfTrue="1">
      <formula>$J231&lt;&gt;"Serviço"</formula>
    </cfRule>
    <cfRule type="expression" dxfId="635" priority="132" stopIfTrue="1">
      <formula>OR(CELL("proteger",L231),$J231="",TipoOrçamento="Licitado")</formula>
    </cfRule>
  </conditionalFormatting>
  <conditionalFormatting sqref="L223:L225">
    <cfRule type="expression" dxfId="634" priority="127" stopIfTrue="1">
      <formula>$J223=$C$2</formula>
    </cfRule>
    <cfRule type="expression" dxfId="633" priority="128" stopIfTrue="1">
      <formula>$J223&lt;&gt;"Serviço"</formula>
    </cfRule>
    <cfRule type="expression" dxfId="632" priority="129" stopIfTrue="1">
      <formula>OR(CELL("proteger",L223),$J223="",TipoOrçamento="Licitado")</formula>
    </cfRule>
  </conditionalFormatting>
  <conditionalFormatting sqref="L218">
    <cfRule type="expression" dxfId="631" priority="124" stopIfTrue="1">
      <formula>$J218=$C$2</formula>
    </cfRule>
    <cfRule type="expression" dxfId="630" priority="125" stopIfTrue="1">
      <formula>$J218&lt;&gt;"Serviço"</formula>
    </cfRule>
    <cfRule type="expression" dxfId="629" priority="126" stopIfTrue="1">
      <formula>OR(CELL("proteger",L218),$J218="",TipoOrçamento="Licitado")</formula>
    </cfRule>
  </conditionalFormatting>
  <conditionalFormatting sqref="L213:L214">
    <cfRule type="expression" dxfId="628" priority="121" stopIfTrue="1">
      <formula>$J213=$C$2</formula>
    </cfRule>
    <cfRule type="expression" dxfId="627" priority="122" stopIfTrue="1">
      <formula>$J213&lt;&gt;"Serviço"</formula>
    </cfRule>
    <cfRule type="expression" dxfId="626" priority="123" stopIfTrue="1">
      <formula>OR(CELL("proteger",L213),$J213="",TipoOrçamento="Licitado")</formula>
    </cfRule>
  </conditionalFormatting>
  <conditionalFormatting sqref="L208">
    <cfRule type="expression" dxfId="625" priority="118" stopIfTrue="1">
      <formula>$J208=$C$2</formula>
    </cfRule>
    <cfRule type="expression" dxfId="624" priority="119" stopIfTrue="1">
      <formula>$J208&lt;&gt;"Serviço"</formula>
    </cfRule>
    <cfRule type="expression" dxfId="623" priority="120" stopIfTrue="1">
      <formula>OR(CELL("proteger",L208),$J208="",TipoOrçamento="Licitado")</formula>
    </cfRule>
  </conditionalFormatting>
  <conditionalFormatting sqref="L202">
    <cfRule type="expression" dxfId="622" priority="115" stopIfTrue="1">
      <formula>$J202=$C$2</formula>
    </cfRule>
    <cfRule type="expression" dxfId="621" priority="116" stopIfTrue="1">
      <formula>$J202&lt;&gt;"Serviço"</formula>
    </cfRule>
    <cfRule type="expression" dxfId="620" priority="117" stopIfTrue="1">
      <formula>OR(CELL("proteger",L202),$J202="",TipoOrçamento="Licitado")</formula>
    </cfRule>
  </conditionalFormatting>
  <conditionalFormatting sqref="L196:L200">
    <cfRule type="expression" dxfId="619" priority="112" stopIfTrue="1">
      <formula>$J196=$C$2</formula>
    </cfRule>
    <cfRule type="expression" dxfId="618" priority="113" stopIfTrue="1">
      <formula>$J196&lt;&gt;"Serviço"</formula>
    </cfRule>
    <cfRule type="expression" dxfId="617" priority="114" stopIfTrue="1">
      <formula>OR(CELL("proteger",L196),$J196="",TipoOrçamento="Licitado")</formula>
    </cfRule>
  </conditionalFormatting>
  <conditionalFormatting sqref="L187:L188">
    <cfRule type="expression" dxfId="616" priority="109" stopIfTrue="1">
      <formula>$J187=$C$2</formula>
    </cfRule>
    <cfRule type="expression" dxfId="615" priority="110" stopIfTrue="1">
      <formula>$J187&lt;&gt;"Serviço"</formula>
    </cfRule>
    <cfRule type="expression" dxfId="614" priority="111" stopIfTrue="1">
      <formula>OR(CELL("proteger",L187),$J187="",TipoOrçamento="Licitado")</formula>
    </cfRule>
  </conditionalFormatting>
  <conditionalFormatting sqref="L182:L185">
    <cfRule type="expression" dxfId="613" priority="106" stopIfTrue="1">
      <formula>$J182=$C$2</formula>
    </cfRule>
    <cfRule type="expression" dxfId="612" priority="107" stopIfTrue="1">
      <formula>$J182&lt;&gt;"Serviço"</formula>
    </cfRule>
    <cfRule type="expression" dxfId="611" priority="108" stopIfTrue="1">
      <formula>OR(CELL("proteger",L182),$J182="",TipoOrçamento="Licitado")</formula>
    </cfRule>
  </conditionalFormatting>
  <conditionalFormatting sqref="L180">
    <cfRule type="expression" dxfId="610" priority="103" stopIfTrue="1">
      <formula>$J180=$C$2</formula>
    </cfRule>
    <cfRule type="expression" dxfId="609" priority="104" stopIfTrue="1">
      <formula>$J180&lt;&gt;"Serviço"</formula>
    </cfRule>
    <cfRule type="expression" dxfId="608" priority="105" stopIfTrue="1">
      <formula>OR(CELL("proteger",L180),$J180="",TipoOrçamento="Licitado")</formula>
    </cfRule>
  </conditionalFormatting>
  <conditionalFormatting sqref="L172:L178">
    <cfRule type="expression" dxfId="607" priority="100" stopIfTrue="1">
      <formula>$J172=$C$2</formula>
    </cfRule>
    <cfRule type="expression" dxfId="606" priority="101" stopIfTrue="1">
      <formula>$J172&lt;&gt;"Serviço"</formula>
    </cfRule>
    <cfRule type="expression" dxfId="605" priority="102" stopIfTrue="1">
      <formula>OR(CELL("proteger",L172),$J172="",TipoOrçamento="Licitado")</formula>
    </cfRule>
  </conditionalFormatting>
  <conditionalFormatting sqref="L170">
    <cfRule type="expression" dxfId="604" priority="97" stopIfTrue="1">
      <formula>$J170=$C$2</formula>
    </cfRule>
    <cfRule type="expression" dxfId="603" priority="98" stopIfTrue="1">
      <formula>$J170&lt;&gt;"Serviço"</formula>
    </cfRule>
    <cfRule type="expression" dxfId="602" priority="99" stopIfTrue="1">
      <formula>OR(CELL("proteger",L170),$J170="",TipoOrçamento="Licitado")</formula>
    </cfRule>
  </conditionalFormatting>
  <conditionalFormatting sqref="L154:L168">
    <cfRule type="expression" dxfId="601" priority="94" stopIfTrue="1">
      <formula>$J154=$C$2</formula>
    </cfRule>
    <cfRule type="expression" dxfId="600" priority="95" stopIfTrue="1">
      <formula>$J154&lt;&gt;"Serviço"</formula>
    </cfRule>
    <cfRule type="expression" dxfId="599" priority="96" stopIfTrue="1">
      <formula>OR(CELL("proteger",L154),$J154="",TipoOrçamento="Licitado")</formula>
    </cfRule>
  </conditionalFormatting>
  <conditionalFormatting sqref="L148:L152">
    <cfRule type="expression" dxfId="598" priority="91" stopIfTrue="1">
      <formula>$J148=$C$2</formula>
    </cfRule>
    <cfRule type="expression" dxfId="597" priority="92" stopIfTrue="1">
      <formula>$J148&lt;&gt;"Serviço"</formula>
    </cfRule>
    <cfRule type="expression" dxfId="596" priority="93" stopIfTrue="1">
      <formula>OR(CELL("proteger",L148),$J148="",TipoOrçamento="Licitado")</formula>
    </cfRule>
  </conditionalFormatting>
  <conditionalFormatting sqref="L146">
    <cfRule type="expression" dxfId="595" priority="88" stopIfTrue="1">
      <formula>$J146=$C$2</formula>
    </cfRule>
    <cfRule type="expression" dxfId="594" priority="89" stopIfTrue="1">
      <formula>$J146&lt;&gt;"Serviço"</formula>
    </cfRule>
    <cfRule type="expression" dxfId="593" priority="90" stopIfTrue="1">
      <formula>OR(CELL("proteger",L146),$J146="",TipoOrçamento="Licitado")</formula>
    </cfRule>
  </conditionalFormatting>
  <conditionalFormatting sqref="L136:L142">
    <cfRule type="expression" dxfId="592" priority="85" stopIfTrue="1">
      <formula>$J136=$C$2</formula>
    </cfRule>
    <cfRule type="expression" dxfId="591" priority="86" stopIfTrue="1">
      <formula>$J136&lt;&gt;"Serviço"</formula>
    </cfRule>
    <cfRule type="expression" dxfId="590" priority="87" stopIfTrue="1">
      <formula>OR(CELL("proteger",L136),$J136="",TipoOrçamento="Licitado")</formula>
    </cfRule>
  </conditionalFormatting>
  <conditionalFormatting sqref="K545:K579">
    <cfRule type="expression" dxfId="589" priority="29" stopIfTrue="1">
      <formula>$J545=$C$2</formula>
    </cfRule>
    <cfRule type="expression" dxfId="588" priority="30" stopIfTrue="1">
      <formula>AND($J545&lt;&gt;"",$J545&lt;&gt;"Serviço")</formula>
    </cfRule>
    <cfRule type="expression" dxfId="587" priority="31" stopIfTrue="1">
      <formula>$J545=""</formula>
    </cfRule>
  </conditionalFormatting>
  <conditionalFormatting sqref="P545:P579">
    <cfRule type="expression" dxfId="586" priority="22" stopIfTrue="1">
      <formula>$J545=$C$2</formula>
    </cfRule>
    <cfRule type="expression" dxfId="585" priority="32" stopIfTrue="1">
      <formula>AND($J545&lt;&gt;"Serviço")</formula>
    </cfRule>
    <cfRule type="expression" dxfId="584" priority="33" stopIfTrue="1">
      <formula>CELL("proteger",P545)</formula>
    </cfRule>
  </conditionalFormatting>
  <conditionalFormatting sqref="Q545:R579">
    <cfRule type="expression" dxfId="583" priority="34" stopIfTrue="1">
      <formula>$J545=$C$2</formula>
    </cfRule>
    <cfRule type="expression" dxfId="582" priority="35" stopIfTrue="1">
      <formula>$J545&lt;&gt;"Serviço"</formula>
    </cfRule>
    <cfRule type="expression" dxfId="581" priority="36" stopIfTrue="1">
      <formula>CELL("proteger",Q545)</formula>
    </cfRule>
  </conditionalFormatting>
  <conditionalFormatting sqref="S545:T579 Y545:Z579">
    <cfRule type="expression" dxfId="580" priority="37" stopIfTrue="1">
      <formula>$J545=$C$2</formula>
    </cfRule>
    <cfRule type="expression" dxfId="579" priority="38" stopIfTrue="1">
      <formula>$J545&lt;&gt;"Serviço"</formula>
    </cfRule>
  </conditionalFormatting>
  <conditionalFormatting sqref="L545:M579">
    <cfRule type="expression" dxfId="578" priority="39" stopIfTrue="1">
      <formula>$J545=$C$2</formula>
    </cfRule>
    <cfRule type="expression" dxfId="577" priority="40" stopIfTrue="1">
      <formula>$J545&lt;&gt;"Serviço"</formula>
    </cfRule>
    <cfRule type="expression" dxfId="576" priority="41" stopIfTrue="1">
      <formula>OR(CELL("proteger",L545),$J545="",TipoOrçamento="Licitado")</formula>
    </cfRule>
  </conditionalFormatting>
  <conditionalFormatting sqref="J545:J579">
    <cfRule type="expression" dxfId="575" priority="42" stopIfTrue="1">
      <formula>TipoOrçamento="Licitado"</formula>
    </cfRule>
  </conditionalFormatting>
  <conditionalFormatting sqref="O545:O579">
    <cfRule type="expression" dxfId="574" priority="23" stopIfTrue="1">
      <formula>$J545=$C$2</formula>
    </cfRule>
    <cfRule type="expression" dxfId="573" priority="24" stopIfTrue="1">
      <formula>AND($J545&lt;&gt;"Serviço")</formula>
    </cfRule>
    <cfRule type="expression" dxfId="572" priority="25" stopIfTrue="1">
      <formula>CELL("proteger",O545)</formula>
    </cfRule>
  </conditionalFormatting>
  <conditionalFormatting sqref="N545:N579">
    <cfRule type="expression" dxfId="571" priority="26" stopIfTrue="1">
      <formula>$J545=$C$2</formula>
    </cfRule>
    <cfRule type="expression" dxfId="570" priority="27" stopIfTrue="1">
      <formula>$J545&lt;&gt;"Serviço"</formula>
    </cfRule>
    <cfRule type="expression" dxfId="569" priority="28" stopIfTrue="1">
      <formula>CELL("proteger",N545)</formula>
    </cfRule>
  </conditionalFormatting>
  <conditionalFormatting sqref="K580:K599">
    <cfRule type="expression" dxfId="568" priority="8" stopIfTrue="1">
      <formula>$J580=$C$2</formula>
    </cfRule>
    <cfRule type="expression" dxfId="567" priority="9" stopIfTrue="1">
      <formula>AND($J580&lt;&gt;"",$J580&lt;&gt;"Serviço")</formula>
    </cfRule>
    <cfRule type="expression" dxfId="566" priority="10" stopIfTrue="1">
      <formula>$J580=""</formula>
    </cfRule>
  </conditionalFormatting>
  <conditionalFormatting sqref="P580:P599">
    <cfRule type="expression" dxfId="565" priority="1" stopIfTrue="1">
      <formula>$J580=$C$2</formula>
    </cfRule>
    <cfRule type="expression" dxfId="564" priority="11" stopIfTrue="1">
      <formula>AND($J580&lt;&gt;"Serviço")</formula>
    </cfRule>
    <cfRule type="expression" dxfId="563" priority="12" stopIfTrue="1">
      <formula>CELL("proteger",P580)</formula>
    </cfRule>
  </conditionalFormatting>
  <conditionalFormatting sqref="Q580:R599">
    <cfRule type="expression" dxfId="562" priority="13" stopIfTrue="1">
      <formula>$J580=$C$2</formula>
    </cfRule>
    <cfRule type="expression" dxfId="561" priority="14" stopIfTrue="1">
      <formula>$J580&lt;&gt;"Serviço"</formula>
    </cfRule>
    <cfRule type="expression" dxfId="560" priority="15" stopIfTrue="1">
      <formula>CELL("proteger",Q580)</formula>
    </cfRule>
  </conditionalFormatting>
  <conditionalFormatting sqref="S580:T599 Y580:Z599">
    <cfRule type="expression" dxfId="559" priority="16" stopIfTrue="1">
      <formula>$J580=$C$2</formula>
    </cfRule>
    <cfRule type="expression" dxfId="558" priority="17" stopIfTrue="1">
      <formula>$J580&lt;&gt;"Serviço"</formula>
    </cfRule>
  </conditionalFormatting>
  <conditionalFormatting sqref="L580:M599">
    <cfRule type="expression" dxfId="557" priority="18" stopIfTrue="1">
      <formula>$J580=$C$2</formula>
    </cfRule>
    <cfRule type="expression" dxfId="556" priority="19" stopIfTrue="1">
      <formula>$J580&lt;&gt;"Serviço"</formula>
    </cfRule>
    <cfRule type="expression" dxfId="555" priority="20" stopIfTrue="1">
      <formula>OR(CELL("proteger",L580),$J580="",TipoOrçamento="Licitado")</formula>
    </cfRule>
  </conditionalFormatting>
  <conditionalFormatting sqref="J580:J599">
    <cfRule type="expression" dxfId="554" priority="21" stopIfTrue="1">
      <formula>TipoOrçamento="Licitado"</formula>
    </cfRule>
  </conditionalFormatting>
  <conditionalFormatting sqref="O580:O599">
    <cfRule type="expression" dxfId="553" priority="2" stopIfTrue="1">
      <formula>$J580=$C$2</formula>
    </cfRule>
    <cfRule type="expression" dxfId="552" priority="3" stopIfTrue="1">
      <formula>AND($J580&lt;&gt;"Serviço")</formula>
    </cfRule>
    <cfRule type="expression" dxfId="551" priority="4" stopIfTrue="1">
      <formula>CELL("proteger",O580)</formula>
    </cfRule>
  </conditionalFormatting>
  <conditionalFormatting sqref="N580:N599">
    <cfRule type="expression" dxfId="550" priority="5" stopIfTrue="1">
      <formula>$J580=$C$2</formula>
    </cfRule>
    <cfRule type="expression" dxfId="549" priority="6" stopIfTrue="1">
      <formula>$J580&lt;&gt;"Serviço"</formula>
    </cfRule>
    <cfRule type="expression" dxfId="548" priority="7" stopIfTrue="1">
      <formula>CELL("proteger",N580)</formula>
    </cfRule>
  </conditionalFormatting>
  <dataValidations count="3">
    <dataValidation type="decimal" operator="greaterThan" allowBlank="1" showInputMessage="1" showErrorMessage="1" error="Apenas números decimais maiores que zero." sqref="Q11 Q13:Q602">
      <formula1>0</formula1>
    </dataValidation>
    <dataValidation type="list" errorStyle="warning" allowBlank="1" showInputMessage="1" showErrorMessage="1" error="Selecione um dos 5 BDI da lista._x000a__x000a_Caso tenha mais de 5 BDI nesta Planilha Orçamentária digite apenas valor percentual." sqref="R11 R13:R602">
      <formula1>Dados.Lista.BDI</formula1>
    </dataValidation>
    <dataValidation type="list" showInputMessage="1" showErrorMessage="1" errorTitle="Erro de Entrada" error="Selecione somente os itens da lista." promptTitle="Nível:" prompt="Selecione na lista o nível de itemização da Planilha." sqref="J11 J14:J602">
      <formula1>$C$2:$G$2</formula1>
    </dataValidation>
  </dataValidations>
  <pageMargins left="0.78740157480314965" right="0.78740157480314965" top="0.78740157480314965" bottom="0.78740157480314965" header="0.59055118110236227" footer="0.59055118110236227"/>
  <pageSetup paperSize="9" scale="63" fitToHeight="0" orientation="landscape" r:id="rId1"/>
  <headerFooter alignWithMargins="0">
    <oddHeader>&amp;C&amp;14I</oddHeader>
    <oddFooter>&amp;R&amp;P&amp;L27.476 v008   micro</oddFooter>
  </headerFooter>
  <ignoredErrors>
    <ignoredError sqref="K614 K617"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609"/>
  <sheetViews>
    <sheetView showGridLines="0" zoomScale="70" zoomScaleNormal="70" workbookViewId="0">
      <selection activeCell="K580" sqref="K580"/>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1" customFormat="1" ht="17.25" customHeight="1" x14ac:dyDescent="0.3">
      <c r="E1" s="71" t="s">
        <v>63</v>
      </c>
      <c r="F1" s="28" t="s">
        <v>64</v>
      </c>
      <c r="K1" s="14"/>
      <c r="O1"/>
    </row>
    <row r="2" spans="1:21" s="1" customFormat="1" ht="15.6" x14ac:dyDescent="0.3">
      <c r="D2" s="3"/>
      <c r="E2" s="71"/>
      <c r="F2" s="28"/>
      <c r="K2" s="15"/>
      <c r="O2"/>
    </row>
    <row r="3" spans="1:21" s="1" customFormat="1" x14ac:dyDescent="0.25"/>
    <row r="4" spans="1:21" s="1" customFormat="1" ht="39.9" customHeight="1" x14ac:dyDescent="0.25"/>
    <row r="5" spans="1:21" s="1" customFormat="1" ht="39.9" customHeight="1" x14ac:dyDescent="0.25"/>
    <row r="6" spans="1:21" s="1" customFormat="1" ht="20.25" customHeight="1" x14ac:dyDescent="0.25"/>
    <row r="7" spans="1:21" s="1" customFormat="1" ht="12.75" hidden="1" customHeight="1" x14ac:dyDescent="0.25">
      <c r="E7" s="191">
        <f ca="1">OFFSET(PO!$P$12,ROW($E7)-ROW(E$12),0)</f>
        <v>0</v>
      </c>
    </row>
    <row r="8" spans="1:21" s="1" customFormat="1" ht="9.9" customHeight="1" x14ac:dyDescent="0.25"/>
    <row r="9" spans="1:21" s="1" customFormat="1" ht="60" customHeight="1" x14ac:dyDescent="0.25">
      <c r="B9" s="13"/>
      <c r="C9" s="10"/>
      <c r="D9" s="4"/>
      <c r="E9" s="124" t="s">
        <v>46</v>
      </c>
      <c r="F9" s="362" t="s">
        <v>236</v>
      </c>
      <c r="G9" s="362"/>
      <c r="H9" s="362"/>
      <c r="I9" s="362"/>
      <c r="J9" s="362"/>
      <c r="K9" s="362"/>
      <c r="L9" s="362"/>
      <c r="M9" s="362"/>
      <c r="N9" s="362"/>
      <c r="O9" s="362"/>
      <c r="U9" s="104"/>
    </row>
    <row r="10" spans="1:21" s="11" customFormat="1" ht="30" customHeight="1" x14ac:dyDescent="0.25">
      <c r="A10" s="105" t="s">
        <v>3</v>
      </c>
      <c r="B10" s="105" t="s">
        <v>147</v>
      </c>
      <c r="C10" s="105" t="s">
        <v>142</v>
      </c>
      <c r="D10" s="106" t="s">
        <v>158</v>
      </c>
      <c r="E10" s="105" t="s">
        <v>148</v>
      </c>
      <c r="F10" s="107">
        <f t="shared" ref="F10:O10" ca="1" si="0">IF(OFFSET(F10,0,-1)="Quantidade",1,OFFSET(F10,0,-1)+1)</f>
        <v>1</v>
      </c>
      <c r="G10" s="107">
        <f t="shared" ca="1" si="0"/>
        <v>2</v>
      </c>
      <c r="H10" s="107">
        <f t="shared" ca="1" si="0"/>
        <v>3</v>
      </c>
      <c r="I10" s="107">
        <f t="shared" ca="1" si="0"/>
        <v>4</v>
      </c>
      <c r="J10" s="107">
        <f t="shared" ca="1" si="0"/>
        <v>5</v>
      </c>
      <c r="K10" s="107">
        <f t="shared" ca="1" si="0"/>
        <v>6</v>
      </c>
      <c r="L10" s="107">
        <f t="shared" ca="1" si="0"/>
        <v>7</v>
      </c>
      <c r="M10" s="107">
        <f t="shared" ca="1" si="0"/>
        <v>8</v>
      </c>
      <c r="N10" s="107">
        <f t="shared" ca="1" si="0"/>
        <v>9</v>
      </c>
      <c r="O10" s="107">
        <f t="shared" ca="1" si="0"/>
        <v>10</v>
      </c>
      <c r="U10" s="107">
        <f ca="1">IF(OFFSET(U10,0,-1)="Quantidade",1,OFFSET(U10,0,-1)+1)</f>
        <v>1</v>
      </c>
    </row>
    <row r="11" spans="1:21" s="1" customFormat="1" hidden="1" x14ac:dyDescent="0.25">
      <c r="A11" s="110" t="str">
        <f ca="1">OFFSET(PO!J$12,ROW(A11)-ROW($A$12),0)</f>
        <v>Serviço</v>
      </c>
      <c r="B11" s="112" t="e">
        <f ca="1">IF($A11=0,"",OFFSET(PO!K$12,ROW(B11)-ROW(B$12),0))</f>
        <v>#VALUE!</v>
      </c>
      <c r="C11" s="109" t="str">
        <f ca="1">IF(OFFSET(PO!N$12,ROW(C11)-ROW(C$12),0)=0,"",OFFSET(PO!N$12,ROW(C11)-ROW(C$12),0))</f>
        <v/>
      </c>
      <c r="D11" s="111" t="str">
        <f ca="1">IF(OFFSET(PO!O$12,ROW(D11)-ROW(D$12),0)=0,"",OFFSET(PO!O$12,ROW(D11)-ROW(D$12),0))</f>
        <v/>
      </c>
      <c r="E11" s="140">
        <f ca="1">IF($A11&lt;&gt;"Serviço",0,ROUND(SUMIF($F$9:$P$9,"&lt;&gt;",$F11:$P11),15-13*PO!$X$3))</f>
        <v>0</v>
      </c>
      <c r="F11" s="182">
        <f ca="1">OFFSET(PO!$P$12,ROW($E11)-ROW(F$12),0)</f>
        <v>0</v>
      </c>
      <c r="G11" s="182"/>
      <c r="H11" s="182"/>
      <c r="I11" s="182"/>
      <c r="J11" s="182"/>
      <c r="K11" s="182"/>
      <c r="L11" s="182"/>
      <c r="M11" s="182"/>
      <c r="N11" s="182"/>
      <c r="O11" s="182"/>
      <c r="U11" s="182"/>
    </row>
    <row r="12" spans="1:21" s="1" customFormat="1" x14ac:dyDescent="0.25">
      <c r="A12" s="64" t="str">
        <f>PO!J12</f>
        <v>CTEF</v>
      </c>
      <c r="B12" s="64"/>
      <c r="C12" s="64">
        <f>PO!N12</f>
        <v>0</v>
      </c>
      <c r="D12" s="64"/>
      <c r="E12" s="183"/>
      <c r="F12" s="184"/>
      <c r="G12" s="184"/>
      <c r="H12" s="184"/>
      <c r="I12" s="184"/>
      <c r="J12" s="184"/>
      <c r="K12" s="184"/>
      <c r="L12" s="184"/>
      <c r="M12" s="184"/>
      <c r="N12" s="184"/>
      <c r="O12" s="184"/>
      <c r="U12" s="184"/>
    </row>
    <row r="13" spans="1:21" s="1" customFormat="1" x14ac:dyDescent="0.25">
      <c r="A13" s="108" t="str">
        <f ca="1">OFFSET(PO!J$12,ROW(A13)-ROW($A$12),0)</f>
        <v>Meta</v>
      </c>
      <c r="B13" s="112" t="str">
        <f ca="1">IF($A13=0,"",OFFSET(PO!K$12,ROW(B13)-ROW(B$12),0))</f>
        <v>1.</v>
      </c>
      <c r="C13" s="109" t="str">
        <f ca="1">IF(OFFSET(PO!N$12,ROW(C13)-ROW(C$12),0)=0,"",OFFSET(PO!N$12,ROW(C13)-ROW(C$12),0))</f>
        <v>SERVIÇOS PRELIMINARES</v>
      </c>
      <c r="D13" s="111" t="str">
        <f ca="1">IF(OFFSET(PO!O$12,ROW(D13)-ROW(D$12),0)=0,"",OFFSET(PO!O$12,ROW(D13)-ROW(D$12),0))</f>
        <v/>
      </c>
      <c r="E13" s="140">
        <f ca="1">IF($A13&lt;&gt;"Serviço",0,ROUND(SUMIF($F$9:$P$9,"&lt;&gt;",$F13:$P13),15-13*PO!$X$3))</f>
        <v>0</v>
      </c>
      <c r="F13" s="361">
        <f ca="1">OFFSET(PO!$P$12,ROW($E13)-ROW(F$12),0)</f>
        <v>0</v>
      </c>
      <c r="G13" s="361"/>
      <c r="H13" s="361"/>
      <c r="I13" s="361"/>
      <c r="J13" s="361"/>
      <c r="K13" s="361"/>
      <c r="L13" s="361"/>
      <c r="M13" s="361"/>
      <c r="N13" s="361"/>
      <c r="O13" s="361"/>
      <c r="U13" s="182"/>
    </row>
    <row r="14" spans="1:21" s="1" customFormat="1" ht="26.4" x14ac:dyDescent="0.25">
      <c r="A14" s="110" t="str">
        <f ca="1">OFFSET(PO!J$12,ROW(A14)-ROW($A$12),0)</f>
        <v>Serviço</v>
      </c>
      <c r="B14" s="112" t="str">
        <f ca="1">IF($A14=0,"",OFFSET(PO!K$12,ROW(B14)-ROW(B$12),0))</f>
        <v>1.0.0.1.</v>
      </c>
      <c r="C14" s="109" t="str">
        <f ca="1">IF(OFFSET(PO!N$12,ROW(C14)-ROW(C$12),0)=0,"",OFFSET(PO!N$12,ROW(C14)-ROW(C$12),0))</f>
        <v>FORNECIMENTO E INSTALAÇÃO DE PLACA DE OBRA COM CHAPA GALVANIZADA E ESTRUTURA DE MADEIRA. AF_03/2022_PS</v>
      </c>
      <c r="D14" s="111" t="str">
        <f ca="1">IF(OFFSET(PO!O$12,ROW(D14)-ROW(D$12),0)=0,"",OFFSET(PO!O$12,ROW(D14)-ROW(D$12),0))</f>
        <v>M2</v>
      </c>
      <c r="E14" s="140">
        <f ca="1">IF($A14&lt;&gt;"Serviço",0,ROUND(SUMIF($F$9:$P$9,"&lt;&gt;",$F14:$P14),15-13*PO!$X$3))</f>
        <v>10</v>
      </c>
      <c r="F14" s="361">
        <f ca="1">OFFSET(PO!$P$12,ROW($E14)-ROW(F$12),0)</f>
        <v>10</v>
      </c>
      <c r="G14" s="361"/>
      <c r="H14" s="361"/>
      <c r="I14" s="361"/>
      <c r="J14" s="361"/>
      <c r="K14" s="361"/>
      <c r="L14" s="361"/>
      <c r="M14" s="361"/>
      <c r="N14" s="361"/>
      <c r="O14" s="361"/>
      <c r="U14" s="182"/>
    </row>
    <row r="15" spans="1:21" s="1" customFormat="1" x14ac:dyDescent="0.25">
      <c r="A15" s="110" t="str">
        <f ca="1">OFFSET(PO!J$12,ROW(A15)-ROW($A$12),0)</f>
        <v>Serviço</v>
      </c>
      <c r="B15" s="112" t="str">
        <f ca="1">IF($A15=0,"",OFFSET(PO!K$12,ROW(B15)-ROW(B$12),0))</f>
        <v>1.0.0.2.</v>
      </c>
      <c r="C15" s="109" t="str">
        <f ca="1">IF(OFFSET(PO!N$12,ROW(C15)-ROW(C$12),0)=0,"",OFFSET(PO!N$12,ROW(C15)-ROW(C$12),0))</f>
        <v>TAPUME COM TELHA METÁLICA. AF_03/2024</v>
      </c>
      <c r="D15" s="111" t="str">
        <f ca="1">IF(OFFSET(PO!O$12,ROW(D15)-ROW(D$12),0)=0,"",OFFSET(PO!O$12,ROW(D15)-ROW(D$12),0))</f>
        <v>M2</v>
      </c>
      <c r="E15" s="140">
        <f ca="1">IF($A15&lt;&gt;"Serviço",0,ROUND(SUMIF($F$9:$P$9,"&lt;&gt;",$F15:$P15),15-13*PO!$X$3))</f>
        <v>174.49</v>
      </c>
      <c r="F15" s="361">
        <f ca="1">OFFSET(PO!$P$12,ROW($E15)-ROW(F$12),0)</f>
        <v>174.489</v>
      </c>
      <c r="G15" s="361"/>
      <c r="H15" s="361"/>
      <c r="I15" s="361"/>
      <c r="J15" s="361"/>
      <c r="K15" s="361"/>
      <c r="L15" s="361"/>
      <c r="M15" s="361"/>
      <c r="N15" s="361"/>
      <c r="O15" s="361"/>
      <c r="U15" s="182"/>
    </row>
    <row r="16" spans="1:21" s="1" customFormat="1" ht="39.6" x14ac:dyDescent="0.25">
      <c r="A16" s="110" t="str">
        <f ca="1">OFFSET(PO!J$12,ROW(A16)-ROW($A$12),0)</f>
        <v>Serviço</v>
      </c>
      <c r="B16" s="112" t="str">
        <f ca="1">IF($A16=0,"",OFFSET(PO!K$12,ROW(B16)-ROW(B$12),0))</f>
        <v>1.0.0.3.</v>
      </c>
      <c r="C16" s="109" t="str">
        <f ca="1">IF(OFFSET(PO!N$12,ROW(C16)-ROW(C$12),0)=0,"",OFFSET(PO!N$12,ROW(C16)-ROW(C$12),0))</f>
        <v>ENTRADA DE ENERGIA ELÉTRICA, AÉREA, TRIFÁSICA, COM CAIXA DE EMBUTIR, CABO DE 10 MM2 E DISJUNTOR DIN 50A (NÃO INCLUSO O POSTE DE CONCRETO). AF_07/2020</v>
      </c>
      <c r="D16" s="111" t="str">
        <f ca="1">IF(OFFSET(PO!O$12,ROW(D16)-ROW(D$12),0)=0,"",OFFSET(PO!O$12,ROW(D16)-ROW(D$12),0))</f>
        <v>UN</v>
      </c>
      <c r="E16" s="140">
        <f ca="1">IF($A16&lt;&gt;"Serviço",0,ROUND(SUMIF($F$9:$P$9,"&lt;&gt;",$F16:$P16),15-13*PO!$X$3))</f>
        <v>1</v>
      </c>
      <c r="F16" s="361">
        <f ca="1">OFFSET(PO!$P$12,ROW($E16)-ROW(F$12),0)</f>
        <v>1</v>
      </c>
      <c r="G16" s="361"/>
      <c r="H16" s="361"/>
      <c r="I16" s="361"/>
      <c r="J16" s="361"/>
      <c r="K16" s="361"/>
      <c r="L16" s="361"/>
      <c r="M16" s="361"/>
      <c r="N16" s="361"/>
      <c r="O16" s="361"/>
      <c r="U16" s="182"/>
    </row>
    <row r="17" spans="1:21" s="1" customFormat="1" ht="26.4" x14ac:dyDescent="0.25">
      <c r="A17" s="110" t="str">
        <f ca="1">OFFSET(PO!J$12,ROW(A17)-ROW($A$12),0)</f>
        <v>Serviço</v>
      </c>
      <c r="B17" s="112" t="str">
        <f ca="1">IF($A17=0,"",OFFSET(PO!K$12,ROW(B17)-ROW(B$12),0))</f>
        <v>1.0.0.4.</v>
      </c>
      <c r="C17" s="109" t="str">
        <f ca="1">IF(OFFSET(PO!N$12,ROW(C17)-ROW(C$12),0)=0,"",OFFSET(PO!N$12,ROW(C17)-ROW(C$12),0))</f>
        <v xml:space="preserve">POSTE DE CONCRETO ARMADO DE SECAO DUPLO T, EXTENSAO DE 8,00 M, RESISTENCIA DE 150 DAN, TIPO D                                                                                                                                                                                                                                                                                                                                                                                                             </v>
      </c>
      <c r="D17" s="111" t="str">
        <f ca="1">IF(OFFSET(PO!O$12,ROW(D17)-ROW(D$12),0)=0,"",OFFSET(PO!O$12,ROW(D17)-ROW(D$12),0))</f>
        <v xml:space="preserve">UN    </v>
      </c>
      <c r="E17" s="140">
        <f ca="1">IF($A17&lt;&gt;"Serviço",0,ROUND(SUMIF($F$9:$P$9,"&lt;&gt;",$F17:$P17),15-13*PO!$X$3))</f>
        <v>1</v>
      </c>
      <c r="F17" s="361">
        <f ca="1">OFFSET(PO!$P$12,ROW($E17)-ROW(F$12),0)</f>
        <v>1</v>
      </c>
      <c r="G17" s="361"/>
      <c r="H17" s="361"/>
      <c r="I17" s="361"/>
      <c r="J17" s="361"/>
      <c r="K17" s="361"/>
      <c r="L17" s="361"/>
      <c r="M17" s="361"/>
      <c r="N17" s="361"/>
      <c r="O17" s="361"/>
      <c r="U17" s="182"/>
    </row>
    <row r="18" spans="1:21" s="1" customFormat="1" x14ac:dyDescent="0.25">
      <c r="A18" s="110" t="str">
        <f ca="1">OFFSET(PO!J$12,ROW(A18)-ROW($A$12),0)</f>
        <v>Serviço</v>
      </c>
      <c r="B18" s="112" t="str">
        <f ca="1">IF($A18=0,"",OFFSET(PO!K$12,ROW(B18)-ROW(B$12),0))</f>
        <v>1.0.0.5.</v>
      </c>
      <c r="C18" s="109" t="str">
        <f ca="1">IF(OFFSET(PO!N$12,ROW(C18)-ROW(C$12),0)=0,"",OFFSET(PO!N$12,ROW(C18)-ROW(C$12),0))</f>
        <v>LIGAÇÃO PROVISÓRIA DE ÁGUA E ESGOTO</v>
      </c>
      <c r="D18" s="111" t="str">
        <f ca="1">IF(OFFSET(PO!O$12,ROW(D18)-ROW(D$12),0)=0,"",OFFSET(PO!O$12,ROW(D18)-ROW(D$12),0))</f>
        <v>UN</v>
      </c>
      <c r="E18" s="140">
        <f ca="1">IF($A18&lt;&gt;"Serviço",0,ROUND(SUMIF($F$9:$P$9,"&lt;&gt;",$F18:$P18),15-13*PO!$X$3))</f>
        <v>1</v>
      </c>
      <c r="F18" s="361">
        <f ca="1">OFFSET(PO!$P$12,ROW($E18)-ROW(F$12),0)</f>
        <v>1</v>
      </c>
      <c r="G18" s="361"/>
      <c r="H18" s="361"/>
      <c r="I18" s="361"/>
      <c r="J18" s="361"/>
      <c r="K18" s="361"/>
      <c r="L18" s="361"/>
      <c r="M18" s="361"/>
      <c r="N18" s="361"/>
      <c r="O18" s="361"/>
      <c r="U18" s="182"/>
    </row>
    <row r="19" spans="1:21" s="1" customFormat="1" ht="39.6" x14ac:dyDescent="0.25">
      <c r="A19" s="110" t="str">
        <f ca="1">OFFSET(PO!J$12,ROW(A19)-ROW($A$12),0)</f>
        <v>Serviço</v>
      </c>
      <c r="B19" s="112" t="str">
        <f ca="1">IF($A19=0,"",OFFSET(PO!K$12,ROW(B19)-ROW(B$12),0))</f>
        <v>1.0.0.6.</v>
      </c>
      <c r="C19" s="109" t="str">
        <f ca="1">IF(OFFSET(PO!N$12,ROW(C19)-ROW(C$12),0)=0,"",OFFSET(PO!N$12,ROW(C19)-ROW(C$12),0))</f>
        <v>LOCAÇÃO CONVENCIONAL DE OBRA, UTILIZANDO GABARITO DE TÁBUAS CORRIDAS PONTALETADAS A CADA 2,00M -  2 UTILIZAÇÕES. AF_03/2024</v>
      </c>
      <c r="D19" s="111" t="str">
        <f ca="1">IF(OFFSET(PO!O$12,ROW(D19)-ROW(D$12),0)=0,"",OFFSET(PO!O$12,ROW(D19)-ROW(D$12),0))</f>
        <v>M</v>
      </c>
      <c r="E19" s="140">
        <f ca="1">IF($A19&lt;&gt;"Serviço",0,ROUND(SUMIF($F$9:$P$9,"&lt;&gt;",$F19:$P19),15-13*PO!$X$3))</f>
        <v>127.78</v>
      </c>
      <c r="F19" s="361">
        <f ca="1">OFFSET(PO!$P$12,ROW($E19)-ROW(F$12),0)</f>
        <v>127.78</v>
      </c>
      <c r="G19" s="361"/>
      <c r="H19" s="361"/>
      <c r="I19" s="361"/>
      <c r="J19" s="361"/>
      <c r="K19" s="361"/>
      <c r="L19" s="361"/>
      <c r="M19" s="361"/>
      <c r="N19" s="361"/>
      <c r="O19" s="361"/>
      <c r="U19" s="182"/>
    </row>
    <row r="20" spans="1:21" s="1" customFormat="1" ht="39.6" x14ac:dyDescent="0.25">
      <c r="A20" s="110" t="str">
        <f ca="1">OFFSET(PO!J$12,ROW(A20)-ROW($A$12),0)</f>
        <v>Serviço</v>
      </c>
      <c r="B20" s="112" t="str">
        <f ca="1">IF($A20=0,"",OFFSET(PO!K$12,ROW(B20)-ROW(B$12),0))</f>
        <v>1.0.0.7.</v>
      </c>
      <c r="C20" s="109" t="str">
        <f ca="1">IF(OFFSET(PO!N$12,ROW(C20)-ROW(C$12),0)=0,"",OFFSET(PO!N$12,ROW(C20)-ROW(C$12),0))</f>
        <v>LOCACAO DE CONTAINER 2,30 X 6,00 M, ALT. 2,50 M, COM 1 SANITARIO, PARA ESCRITORIO, COMPLETO, SEM DIVISORIAS INTERNAS (NAO INCLUI MOBILIZACAO/DESMOBILIZACAO) (MÊS)</v>
      </c>
      <c r="D20" s="111" t="str">
        <f ca="1">IF(OFFSET(PO!O$12,ROW(D20)-ROW(D$12),0)=0,"",OFFSET(PO!O$12,ROW(D20)-ROW(D$12),0))</f>
        <v>MÊS</v>
      </c>
      <c r="E20" s="140">
        <f ca="1">IF($A20&lt;&gt;"Serviço",0,ROUND(SUMIF($F$9:$P$9,"&lt;&gt;",$F20:$P20),15-13*PO!$X$3))</f>
        <v>8</v>
      </c>
      <c r="F20" s="361">
        <f ca="1">OFFSET(PO!$P$12,ROW($E20)-ROW(F$12),0)</f>
        <v>8</v>
      </c>
      <c r="G20" s="361"/>
      <c r="H20" s="361"/>
      <c r="I20" s="361"/>
      <c r="J20" s="361"/>
      <c r="K20" s="361"/>
      <c r="L20" s="361"/>
      <c r="M20" s="361"/>
      <c r="N20" s="361"/>
      <c r="O20" s="361"/>
      <c r="U20" s="182"/>
    </row>
    <row r="21" spans="1:21" s="1" customFormat="1" ht="26.4" x14ac:dyDescent="0.25">
      <c r="A21" s="110" t="str">
        <f ca="1">OFFSET(PO!J$12,ROW(A21)-ROW($A$12),0)</f>
        <v>Serviço</v>
      </c>
      <c r="B21" s="112" t="str">
        <f ca="1">IF($A21=0,"",OFFSET(PO!K$12,ROW(B21)-ROW(B$12),0))</f>
        <v>1.0.0.8.</v>
      </c>
      <c r="C21" s="109" t="str">
        <f ca="1">IF(OFFSET(PO!N$12,ROW(C21)-ROW(C$12),0)=0,"",OFFSET(PO!N$12,ROW(C21)-ROW(C$12),0))</f>
        <v>LOCACAO DE CONTAINER 2,30 X 6,00 M, ALT. 2,50 M, PARA ESCRITORIO, SEM DIVISORIAS INTERNAS E SEM SANITARIO</v>
      </c>
      <c r="D21" s="111" t="str">
        <f ca="1">IF(OFFSET(PO!O$12,ROW(D21)-ROW(D$12),0)=0,"",OFFSET(PO!O$12,ROW(D21)-ROW(D$12),0))</f>
        <v>MÊS</v>
      </c>
      <c r="E21" s="140">
        <f ca="1">IF($A21&lt;&gt;"Serviço",0,ROUND(SUMIF($F$9:$P$9,"&lt;&gt;",$F21:$P21),15-13*PO!$X$3))</f>
        <v>8</v>
      </c>
      <c r="F21" s="361">
        <f ca="1">OFFSET(PO!$P$12,ROW($E21)-ROW(F$12),0)</f>
        <v>8</v>
      </c>
      <c r="G21" s="361"/>
      <c r="H21" s="361"/>
      <c r="I21" s="361"/>
      <c r="J21" s="361"/>
      <c r="K21" s="361"/>
      <c r="L21" s="361"/>
      <c r="M21" s="361"/>
      <c r="N21" s="361"/>
      <c r="O21" s="361"/>
      <c r="U21" s="182"/>
    </row>
    <row r="22" spans="1:21" s="1" customFormat="1" ht="39.6" x14ac:dyDescent="0.25">
      <c r="A22" s="110" t="str">
        <f ca="1">OFFSET(PO!J$12,ROW(A22)-ROW($A$12),0)</f>
        <v>Serviço</v>
      </c>
      <c r="B22" s="112" t="str">
        <f ca="1">IF($A22=0,"",OFFSET(PO!K$12,ROW(B22)-ROW(B$12),0))</f>
        <v>1.0.0.9.</v>
      </c>
      <c r="C22" s="109" t="str">
        <f ca="1">IF(OFFSET(PO!N$12,ROW(C22)-ROW(C$12),0)=0,"",OFFSET(PO!N$12,ROW(C22)-ROW(C$12),0))</f>
        <v xml:space="preserve">LOCACAO DE CONTAINER 2,30 X 6,00 M, ALT. 2,50 M, PARA SANITARIO, COM 4 BACIAS, 8 CHUVEIROS,1 LAVATORIO E 1 MICTORIO </v>
      </c>
      <c r="D22" s="111" t="str">
        <f ca="1">IF(OFFSET(PO!O$12,ROW(D22)-ROW(D$12),0)=0,"",OFFSET(PO!O$12,ROW(D22)-ROW(D$12),0))</f>
        <v>MÊS</v>
      </c>
      <c r="E22" s="140">
        <f ca="1">IF($A22&lt;&gt;"Serviço",0,ROUND(SUMIF($F$9:$P$9,"&lt;&gt;",$F22:$P22),15-13*PO!$X$3))</f>
        <v>8</v>
      </c>
      <c r="F22" s="361">
        <f ca="1">OFFSET(PO!$P$12,ROW($E22)-ROW(F$12),0)</f>
        <v>8</v>
      </c>
      <c r="G22" s="361"/>
      <c r="H22" s="361"/>
      <c r="I22" s="361"/>
      <c r="J22" s="361"/>
      <c r="K22" s="361"/>
      <c r="L22" s="361"/>
      <c r="M22" s="361"/>
      <c r="N22" s="361"/>
      <c r="O22" s="361"/>
      <c r="U22" s="182"/>
    </row>
    <row r="23" spans="1:21" s="1" customFormat="1" x14ac:dyDescent="0.25">
      <c r="A23" s="110" t="str">
        <f ca="1">OFFSET(PO!J$12,ROW(A23)-ROW($A$12),0)</f>
        <v>Serviço</v>
      </c>
      <c r="B23" s="112" t="str">
        <f ca="1">IF($A23=0,"",OFFSET(PO!K$12,ROW(B23)-ROW(B$12),0))</f>
        <v>1.0.0.10.</v>
      </c>
      <c r="C23" s="109" t="str">
        <f ca="1">IF(OFFSET(PO!N$12,ROW(C23)-ROW(C$12),0)=0,"",OFFSET(PO!N$12,ROW(C23)-ROW(C$12),0))</f>
        <v xml:space="preserve">ADMINISTRAÇÃO LOCAL TIPO 2 </v>
      </c>
      <c r="D23" s="111" t="str">
        <f ca="1">IF(OFFSET(PO!O$12,ROW(D23)-ROW(D$12),0)=0,"",OFFSET(PO!O$12,ROW(D23)-ROW(D$12),0))</f>
        <v>UN</v>
      </c>
      <c r="E23" s="140">
        <f ca="1">IF($A23&lt;&gt;"Serviço",0,ROUND(SUMIF($F$9:$P$9,"&lt;&gt;",$F23:$P23),15-13*PO!$X$3))</f>
        <v>1</v>
      </c>
      <c r="F23" s="361">
        <f ca="1">OFFSET(PO!$P$12,ROW($E23)-ROW(F$12),0)</f>
        <v>1</v>
      </c>
      <c r="G23" s="361"/>
      <c r="H23" s="361"/>
      <c r="I23" s="361"/>
      <c r="J23" s="361"/>
      <c r="K23" s="361"/>
      <c r="L23" s="361"/>
      <c r="M23" s="361"/>
      <c r="N23" s="361"/>
      <c r="O23" s="361"/>
      <c r="U23" s="182"/>
    </row>
    <row r="24" spans="1:21" s="1" customFormat="1" x14ac:dyDescent="0.25">
      <c r="A24" s="110" t="str">
        <f ca="1">OFFSET(PO!J$12,ROW(A24)-ROW($A$12),0)</f>
        <v>Meta</v>
      </c>
      <c r="B24" s="112" t="str">
        <f ca="1">IF($A24=0,"",OFFSET(PO!K$12,ROW(B24)-ROW(B$12),0))</f>
        <v>2.</v>
      </c>
      <c r="C24" s="109" t="str">
        <f ca="1">IF(OFFSET(PO!N$12,ROW(C24)-ROW(C$12),0)=0,"",OFFSET(PO!N$12,ROW(C24)-ROW(C$12),0))</f>
        <v>MOVIMENTAÇÕES DE SOLO</v>
      </c>
      <c r="D24" s="111" t="str">
        <f ca="1">IF(OFFSET(PO!O$12,ROW(D24)-ROW(D$12),0)=0,"",OFFSET(PO!O$12,ROW(D24)-ROW(D$12),0))</f>
        <v/>
      </c>
      <c r="E24" s="140">
        <f ca="1">IF($A24&lt;&gt;"Serviço",0,ROUND(SUMIF($F$9:$P$9,"&lt;&gt;",$F24:$P24),15-13*PO!$X$3))</f>
        <v>0</v>
      </c>
      <c r="F24" s="361">
        <f ca="1">OFFSET(PO!$P$12,ROW($E24)-ROW(F$12),0)</f>
        <v>0</v>
      </c>
      <c r="G24" s="361"/>
      <c r="H24" s="361"/>
      <c r="I24" s="361"/>
      <c r="J24" s="361"/>
      <c r="K24" s="361"/>
      <c r="L24" s="361"/>
      <c r="M24" s="361"/>
      <c r="N24" s="361"/>
      <c r="O24" s="361"/>
      <c r="U24" s="182"/>
    </row>
    <row r="25" spans="1:21" s="1" customFormat="1" x14ac:dyDescent="0.25">
      <c r="A25" s="110" t="str">
        <f ca="1">OFFSET(PO!J$12,ROW(A25)-ROW($A$12),0)</f>
        <v>Nível 2</v>
      </c>
      <c r="B25" s="112" t="str">
        <f ca="1">IF($A25=0,"",OFFSET(PO!K$12,ROW(B25)-ROW(B$12),0))</f>
        <v>2.1.</v>
      </c>
      <c r="C25" s="109" t="str">
        <f ca="1">IF(OFFSET(PO!N$12,ROW(C25)-ROW(C$12),0)=0,"",OFFSET(PO!N$12,ROW(C25)-ROW(C$12),0))</f>
        <v>EDIFICAÇÃO</v>
      </c>
      <c r="D25" s="111" t="str">
        <f ca="1">IF(OFFSET(PO!O$12,ROW(D25)-ROW(D$12),0)=0,"",OFFSET(PO!O$12,ROW(D25)-ROW(D$12),0))</f>
        <v/>
      </c>
      <c r="E25" s="140">
        <f ca="1">IF($A25&lt;&gt;"Serviço",0,ROUND(SUMIF($F$9:$P$9,"&lt;&gt;",$F25:$P25),15-13*PO!$X$3))</f>
        <v>0</v>
      </c>
      <c r="F25" s="361">
        <f ca="1">OFFSET(PO!$P$12,ROW($E25)-ROW(F$12),0)</f>
        <v>0</v>
      </c>
      <c r="G25" s="361"/>
      <c r="H25" s="361"/>
      <c r="I25" s="361"/>
      <c r="J25" s="361"/>
      <c r="K25" s="361"/>
      <c r="L25" s="361"/>
      <c r="M25" s="361"/>
      <c r="N25" s="361"/>
      <c r="O25" s="361"/>
      <c r="U25" s="182"/>
    </row>
    <row r="26" spans="1:21" s="1" customFormat="1" ht="39.6" x14ac:dyDescent="0.25">
      <c r="A26" s="110" t="str">
        <f ca="1">OFFSET(PO!J$12,ROW(A26)-ROW($A$12),0)</f>
        <v>Serviço</v>
      </c>
      <c r="B26" s="112" t="str">
        <f ca="1">IF($A26=0,"",OFFSET(PO!K$12,ROW(B26)-ROW(B$12),0))</f>
        <v>2.1.0.1.</v>
      </c>
      <c r="C26" s="109" t="str">
        <f ca="1">IF(OFFSET(PO!N$12,ROW(C26)-ROW(C$12),0)=0,"",OFFSET(PO!N$12,ROW(C26)-ROW(C$12),0))</f>
        <v>LIMPEZA MECANIZADA DE CAMADA VEGETAL, VEGETAÇÃO E PEQUENAS ÁRVORES (DIÂMETRO DE TRONCO MENOR QUE 0,20 M), COM TRATOR DE ESTEIRAS. AF_03/2024</v>
      </c>
      <c r="D26" s="111" t="str">
        <f ca="1">IF(OFFSET(PO!O$12,ROW(D26)-ROW(D$12),0)=0,"",OFFSET(PO!O$12,ROW(D26)-ROW(D$12),0))</f>
        <v>M2</v>
      </c>
      <c r="E26" s="140">
        <f ca="1">IF($A26&lt;&gt;"Serviço",0,ROUND(SUMIF($F$9:$P$9,"&lt;&gt;",$F26:$P26),15-13*PO!$X$3))</f>
        <v>1575</v>
      </c>
      <c r="F26" s="361">
        <f ca="1">OFFSET(PO!$P$12,ROW($E26)-ROW(F$12),0)</f>
        <v>1575</v>
      </c>
      <c r="G26" s="361"/>
      <c r="H26" s="361"/>
      <c r="I26" s="361"/>
      <c r="J26" s="361"/>
      <c r="K26" s="361"/>
      <c r="L26" s="361"/>
      <c r="M26" s="361"/>
      <c r="N26" s="361"/>
      <c r="O26" s="361"/>
      <c r="U26" s="182"/>
    </row>
    <row r="27" spans="1:21" s="1" customFormat="1" ht="52.8" x14ac:dyDescent="0.25">
      <c r="A27" s="110" t="str">
        <f ca="1">OFFSET(PO!J$12,ROW(A27)-ROW($A$12),0)</f>
        <v>Serviço</v>
      </c>
      <c r="B27" s="112" t="str">
        <f ca="1">IF($A27=0,"",OFFSET(PO!K$12,ROW(B27)-ROW(B$12),0))</f>
        <v>2.1.0.2.</v>
      </c>
      <c r="C27" s="109" t="str">
        <f ca="1">IF(OFFSET(PO!N$12,ROW(C27)-ROW(C$12),0)=0,"",OFFSET(PO!N$12,ROW(C27)-ROW(C$12),0))</f>
        <v>ATERRO MECANIZADO DE VALA COM ESCAVADEIRA HIDRÁULICA (CAPACIDADE DA CAÇAMBA: 0,8 M³ / POTÊNCIA: 111 HP), LARGURA ATÉ 2,5 M, PROFUNDIDADE DE 1,5 A 3,0 M, COM SOLO ARGILO-ARENOSO. AF_08/2023</v>
      </c>
      <c r="D27" s="111" t="str">
        <f ca="1">IF(OFFSET(PO!O$12,ROW(D27)-ROW(D$12),0)=0,"",OFFSET(PO!O$12,ROW(D27)-ROW(D$12),0))</f>
        <v>M3</v>
      </c>
      <c r="E27" s="140">
        <f ca="1">IF($A27&lt;&gt;"Serviço",0,ROUND(SUMIF($F$9:$P$9,"&lt;&gt;",$F27:$P27),15-13*PO!$X$3))</f>
        <v>158.44</v>
      </c>
      <c r="F27" s="361">
        <f ca="1">OFFSET(PO!$P$12,ROW($E27)-ROW(F$12),0)</f>
        <v>158.44</v>
      </c>
      <c r="G27" s="361"/>
      <c r="H27" s="361"/>
      <c r="I27" s="361"/>
      <c r="J27" s="361"/>
      <c r="K27" s="361"/>
      <c r="L27" s="361"/>
      <c r="M27" s="361"/>
      <c r="N27" s="361"/>
      <c r="O27" s="361"/>
      <c r="U27" s="182"/>
    </row>
    <row r="28" spans="1:21" s="1" customFormat="1" ht="39.6" x14ac:dyDescent="0.25">
      <c r="A28" s="110" t="str">
        <f ca="1">OFFSET(PO!J$12,ROW(A28)-ROW($A$12),0)</f>
        <v>Serviço</v>
      </c>
      <c r="B28" s="112" t="str">
        <f ca="1">IF($A28=0,"",OFFSET(PO!K$12,ROW(B28)-ROW(B$12),0))</f>
        <v>2.1.0.3.</v>
      </c>
      <c r="C28" s="109" t="str">
        <f ca="1">IF(OFFSET(PO!N$12,ROW(C28)-ROW(C$12),0)=0,"",OFFSET(PO!N$12,ROW(C28)-ROW(C$12),0))</f>
        <v>ESCAVAÇÃO MANUAL PARA BLOCO DE COROAMENTO OU SAPATA (INCLUINDO ESCAVAÇÃO PARA COLOCAÇÃO DE FÔRMAS). AF_01/2024</v>
      </c>
      <c r="D28" s="111" t="str">
        <f ca="1">IF(OFFSET(PO!O$12,ROW(D28)-ROW(D$12),0)=0,"",OFFSET(PO!O$12,ROW(D28)-ROW(D$12),0))</f>
        <v>M3</v>
      </c>
      <c r="E28" s="140">
        <f ca="1">IF($A28&lt;&gt;"Serviço",0,ROUND(SUMIF($F$9:$P$9,"&lt;&gt;",$F28:$P28),15-13*PO!$X$3))</f>
        <v>250.58</v>
      </c>
      <c r="F28" s="361">
        <f ca="1">OFFSET(PO!$P$12,ROW($E28)-ROW(F$12),0)</f>
        <v>250.58</v>
      </c>
      <c r="G28" s="361"/>
      <c r="H28" s="361"/>
      <c r="I28" s="361"/>
      <c r="J28" s="361"/>
      <c r="K28" s="361"/>
      <c r="L28" s="361"/>
      <c r="M28" s="361"/>
      <c r="N28" s="361"/>
      <c r="O28" s="361"/>
      <c r="U28" s="182"/>
    </row>
    <row r="29" spans="1:21" s="1" customFormat="1" ht="39.6" x14ac:dyDescent="0.25">
      <c r="A29" s="110" t="str">
        <f ca="1">OFFSET(PO!J$12,ROW(A29)-ROW($A$12),0)</f>
        <v>Serviço</v>
      </c>
      <c r="B29" s="112" t="str">
        <f ca="1">IF($A29=0,"",OFFSET(PO!K$12,ROW(B29)-ROW(B$12),0))</f>
        <v>2.1.0.4.</v>
      </c>
      <c r="C29" s="109" t="str">
        <f ca="1">IF(OFFSET(PO!N$12,ROW(C29)-ROW(C$12),0)=0,"",OFFSET(PO!N$12,ROW(C29)-ROW(C$12),0))</f>
        <v>PREPARO DE FUNDO DE VALA COM LARGURA MAIOR OU IGUAL A 1,5 M E MENOR QUE 2,5 M (ACERTO DO SOLO NATURAL). AF_08/2020</v>
      </c>
      <c r="D29" s="111" t="str">
        <f ca="1">IF(OFFSET(PO!O$12,ROW(D29)-ROW(D$12),0)=0,"",OFFSET(PO!O$12,ROW(D29)-ROW(D$12),0))</f>
        <v>M2</v>
      </c>
      <c r="E29" s="140">
        <f ca="1">IF($A29&lt;&gt;"Serviço",0,ROUND(SUMIF($F$9:$P$9,"&lt;&gt;",$F29:$P29),15-13*PO!$X$3))</f>
        <v>107.09</v>
      </c>
      <c r="F29" s="361">
        <f ca="1">OFFSET(PO!$P$12,ROW($E29)-ROW(F$12),0)</f>
        <v>107.09</v>
      </c>
      <c r="G29" s="361"/>
      <c r="H29" s="361"/>
      <c r="I29" s="361"/>
      <c r="J29" s="361"/>
      <c r="K29" s="361"/>
      <c r="L29" s="361"/>
      <c r="M29" s="361"/>
      <c r="N29" s="361"/>
      <c r="O29" s="361"/>
      <c r="U29" s="182"/>
    </row>
    <row r="30" spans="1:21" s="1" customFormat="1" ht="66" x14ac:dyDescent="0.25">
      <c r="A30" s="110" t="str">
        <f ca="1">OFFSET(PO!J$12,ROW(A30)-ROW($A$12),0)</f>
        <v>Serviço</v>
      </c>
      <c r="B30" s="112" t="str">
        <f ca="1">IF($A30=0,"",OFFSET(PO!K$12,ROW(B30)-ROW(B$12),0))</f>
        <v>2.1.0.5.</v>
      </c>
      <c r="C30" s="109" t="str">
        <f ca="1">IF(OFFSET(PO!N$12,ROW(C30)-ROW(C$12),0)=0,"",OFFSET(PO!N$12,ROW(C30)-ROW(C$12),0))</f>
        <v>REATERRO MECANIZADO DE VALA COM RETROESCAVADEIRA (CAPACIDADE DA CAÇAMBA   DA RETRO: 0,26 M³/POTÊNCIA: 88 HP), LARGURA 0,8 A 1,5 M, PROFUNDIDADE 1,5 A 3,0 M, COM SOLO (SEM SUBSTITUIÇÃO) DE 1ª CATEGORIA E COMPACTADOR DE SOLOS DE PERCUSSÃO. AF_08/2023</v>
      </c>
      <c r="D30" s="111" t="str">
        <f ca="1">IF(OFFSET(PO!O$12,ROW(D30)-ROW(D$12),0)=0,"",OFFSET(PO!O$12,ROW(D30)-ROW(D$12),0))</f>
        <v>M3</v>
      </c>
      <c r="E30" s="140">
        <f ca="1">IF($A30&lt;&gt;"Serviço",0,ROUND(SUMIF($F$9:$P$9,"&lt;&gt;",$F30:$P30),15-13*PO!$X$3))</f>
        <v>210.86</v>
      </c>
      <c r="F30" s="361">
        <f ca="1">OFFSET(PO!$P$12,ROW($E30)-ROW(F$12),0)</f>
        <v>210.86</v>
      </c>
      <c r="G30" s="361"/>
      <c r="H30" s="361"/>
      <c r="I30" s="361"/>
      <c r="J30" s="361"/>
      <c r="K30" s="361"/>
      <c r="L30" s="361"/>
      <c r="M30" s="361"/>
      <c r="N30" s="361"/>
      <c r="O30" s="361"/>
      <c r="U30" s="182"/>
    </row>
    <row r="31" spans="1:21" s="1" customFormat="1" x14ac:dyDescent="0.25">
      <c r="A31" s="110" t="str">
        <f ca="1">OFFSET(PO!J$12,ROW(A31)-ROW($A$12),0)</f>
        <v>Nível 2</v>
      </c>
      <c r="B31" s="112" t="str">
        <f ca="1">IF($A31=0,"",OFFSET(PO!K$12,ROW(B31)-ROW(B$12),0))</f>
        <v>2.2.</v>
      </c>
      <c r="C31" s="109" t="str">
        <f ca="1">IF(OFFSET(PO!N$12,ROW(C31)-ROW(C$12),0)=0,"",OFFSET(PO!N$12,ROW(C31)-ROW(C$12),0))</f>
        <v>MURETA ABRIGO DE GÁS</v>
      </c>
      <c r="D31" s="111" t="str">
        <f ca="1">IF(OFFSET(PO!O$12,ROW(D31)-ROW(D$12),0)=0,"",OFFSET(PO!O$12,ROW(D31)-ROW(D$12),0))</f>
        <v/>
      </c>
      <c r="E31" s="140">
        <f ca="1">IF($A31&lt;&gt;"Serviço",0,ROUND(SUMIF($F$9:$P$9,"&lt;&gt;",$F31:$P31),15-13*PO!$X$3))</f>
        <v>0</v>
      </c>
      <c r="F31" s="361">
        <f ca="1">OFFSET(PO!$P$12,ROW($E31)-ROW(F$12),0)</f>
        <v>0</v>
      </c>
      <c r="G31" s="361"/>
      <c r="H31" s="361"/>
      <c r="I31" s="361"/>
      <c r="J31" s="361"/>
      <c r="K31" s="361"/>
      <c r="L31" s="361"/>
      <c r="M31" s="361"/>
      <c r="N31" s="361"/>
      <c r="O31" s="361"/>
      <c r="U31" s="182"/>
    </row>
    <row r="32" spans="1:21" s="1" customFormat="1" ht="39.6" x14ac:dyDescent="0.25">
      <c r="A32" s="110" t="str">
        <f ca="1">OFFSET(PO!J$12,ROW(A32)-ROW($A$12),0)</f>
        <v>Serviço</v>
      </c>
      <c r="B32" s="112" t="str">
        <f ca="1">IF($A32=0,"",OFFSET(PO!K$12,ROW(B32)-ROW(B$12),0))</f>
        <v>2.2.0.1.</v>
      </c>
      <c r="C32" s="109" t="str">
        <f ca="1">IF(OFFSET(PO!N$12,ROW(C32)-ROW(C$12),0)=0,"",OFFSET(PO!N$12,ROW(C32)-ROW(C$12),0))</f>
        <v>ESCAVAÇÃO MANUAL PARA BLOCO DE COROAMENTO OU SAPATA (INCLUINDO ESCAVAÇÃO PARA COLOCAÇÃO DE FÔRMAS). AF_01/2024</v>
      </c>
      <c r="D32" s="111" t="str">
        <f ca="1">IF(OFFSET(PO!O$12,ROW(D32)-ROW(D$12),0)=0,"",OFFSET(PO!O$12,ROW(D32)-ROW(D$12),0))</f>
        <v>M3</v>
      </c>
      <c r="E32" s="140">
        <f ca="1">IF($A32&lt;&gt;"Serviço",0,ROUND(SUMIF($F$9:$P$9,"&lt;&gt;",$F32:$P32),15-13*PO!$X$3))</f>
        <v>15.68</v>
      </c>
      <c r="F32" s="361">
        <f ca="1">OFFSET(PO!$P$12,ROW($E32)-ROW(F$12),0)</f>
        <v>15.68</v>
      </c>
      <c r="G32" s="361"/>
      <c r="H32" s="361"/>
      <c r="I32" s="361"/>
      <c r="J32" s="361"/>
      <c r="K32" s="361"/>
      <c r="L32" s="361"/>
      <c r="M32" s="361"/>
      <c r="N32" s="361"/>
      <c r="O32" s="361"/>
      <c r="U32" s="182"/>
    </row>
    <row r="33" spans="1:21" s="1" customFormat="1" ht="39.6" x14ac:dyDescent="0.25">
      <c r="A33" s="110" t="str">
        <f ca="1">OFFSET(PO!J$12,ROW(A33)-ROW($A$12),0)</f>
        <v>Serviço</v>
      </c>
      <c r="B33" s="112" t="str">
        <f ca="1">IF($A33=0,"",OFFSET(PO!K$12,ROW(B33)-ROW(B$12),0))</f>
        <v>2.2.0.2.</v>
      </c>
      <c r="C33" s="109" t="str">
        <f ca="1">IF(OFFSET(PO!N$12,ROW(C33)-ROW(C$12),0)=0,"",OFFSET(PO!N$12,ROW(C33)-ROW(C$12),0))</f>
        <v>PREPARO DE FUNDO DE VALA COM LARGURA MAIOR OU IGUAL A 1,5 M E MENOR QUE 2,5 M (ACERTO DO SOLO NATURAL). AF_08/2020</v>
      </c>
      <c r="D33" s="111" t="str">
        <f ca="1">IF(OFFSET(PO!O$12,ROW(D33)-ROW(D$12),0)=0,"",OFFSET(PO!O$12,ROW(D33)-ROW(D$12),0))</f>
        <v>M2</v>
      </c>
      <c r="E33" s="140">
        <f ca="1">IF($A33&lt;&gt;"Serviço",0,ROUND(SUMIF($F$9:$P$9,"&lt;&gt;",$F33:$P33),15-13*PO!$X$3))</f>
        <v>13.37</v>
      </c>
      <c r="F33" s="361">
        <f ca="1">OFFSET(PO!$P$12,ROW($E33)-ROW(F$12),0)</f>
        <v>13.37</v>
      </c>
      <c r="G33" s="361"/>
      <c r="H33" s="361"/>
      <c r="I33" s="361"/>
      <c r="J33" s="361"/>
      <c r="K33" s="361"/>
      <c r="L33" s="361"/>
      <c r="M33" s="361"/>
      <c r="N33" s="361"/>
      <c r="O33" s="361"/>
      <c r="U33" s="182"/>
    </row>
    <row r="34" spans="1:21" s="1" customFormat="1" ht="66" x14ac:dyDescent="0.25">
      <c r="A34" s="110" t="str">
        <f ca="1">OFFSET(PO!J$12,ROW(A34)-ROW($A$12),0)</f>
        <v>Serviço</v>
      </c>
      <c r="B34" s="112" t="str">
        <f ca="1">IF($A34=0,"",OFFSET(PO!K$12,ROW(B34)-ROW(B$12),0))</f>
        <v>2.2.0.3.</v>
      </c>
      <c r="C34" s="109" t="str">
        <f ca="1">IF(OFFSET(PO!N$12,ROW(C34)-ROW(C$12),0)=0,"",OFFSET(PO!N$12,ROW(C34)-ROW(C$12),0))</f>
        <v>REATERRO MECANIZADO DE VALA COM RETROESCAVADEIRA (CAPACIDADE DA CAÇAMBA   DA RETRO: 0,26 M³/POTÊNCIA: 88 HP), LARGURA 0,8 A 1,5 M, PROFUNDIDADE 1,5 A 3,0 M, COM SOLO (SEM SUBSTITUIÇÃO) DE 1ª CATEGORIA E COMPACTADOR DE SOLOS DE PERCUSSÃO. AF_08/2023</v>
      </c>
      <c r="D34" s="111" t="str">
        <f ca="1">IF(OFFSET(PO!O$12,ROW(D34)-ROW(D$12),0)=0,"",OFFSET(PO!O$12,ROW(D34)-ROW(D$12),0))</f>
        <v>M3</v>
      </c>
      <c r="E34" s="140">
        <f ca="1">IF($A34&lt;&gt;"Serviço",0,ROUND(SUMIF($F$9:$P$9,"&lt;&gt;",$F34:$P34),15-13*PO!$X$3))</f>
        <v>11.42</v>
      </c>
      <c r="F34" s="361">
        <f ca="1">OFFSET(PO!$P$12,ROW($E34)-ROW(F$12),0)</f>
        <v>11.42</v>
      </c>
      <c r="G34" s="361"/>
      <c r="H34" s="361"/>
      <c r="I34" s="361"/>
      <c r="J34" s="361"/>
      <c r="K34" s="361"/>
      <c r="L34" s="361"/>
      <c r="M34" s="361"/>
      <c r="N34" s="361"/>
      <c r="O34" s="361"/>
      <c r="U34" s="182"/>
    </row>
    <row r="35" spans="1:21" s="1" customFormat="1" x14ac:dyDescent="0.25">
      <c r="A35" s="110" t="str">
        <f ca="1">OFFSET(PO!J$12,ROW(A35)-ROW($A$12),0)</f>
        <v>Nível 2</v>
      </c>
      <c r="B35" s="112" t="str">
        <f ca="1">IF($A35=0,"",OFFSET(PO!K$12,ROW(B35)-ROW(B$12),0))</f>
        <v>2.3.</v>
      </c>
      <c r="C35" s="109" t="str">
        <f ca="1">IF(OFFSET(PO!N$12,ROW(C35)-ROW(C$12),0)=0,"",OFFSET(PO!N$12,ROW(C35)-ROW(C$12),0))</f>
        <v>CASTELO D'ÁGUA</v>
      </c>
      <c r="D35" s="111" t="str">
        <f ca="1">IF(OFFSET(PO!O$12,ROW(D35)-ROW(D$12),0)=0,"",OFFSET(PO!O$12,ROW(D35)-ROW(D$12),0))</f>
        <v/>
      </c>
      <c r="E35" s="140">
        <f ca="1">IF($A35&lt;&gt;"Serviço",0,ROUND(SUMIF($F$9:$P$9,"&lt;&gt;",$F35:$P35),15-13*PO!$X$3))</f>
        <v>0</v>
      </c>
      <c r="F35" s="361">
        <f ca="1">OFFSET(PO!$P$12,ROW($E35)-ROW(F$12),0)</f>
        <v>0</v>
      </c>
      <c r="G35" s="361"/>
      <c r="H35" s="361"/>
      <c r="I35" s="361"/>
      <c r="J35" s="361"/>
      <c r="K35" s="361"/>
      <c r="L35" s="361"/>
      <c r="M35" s="361"/>
      <c r="N35" s="361"/>
      <c r="O35" s="361"/>
      <c r="U35" s="182"/>
    </row>
    <row r="36" spans="1:21" s="1" customFormat="1" ht="39.6" x14ac:dyDescent="0.25">
      <c r="A36" s="110" t="str">
        <f ca="1">OFFSET(PO!J$12,ROW(A36)-ROW($A$12),0)</f>
        <v>Serviço</v>
      </c>
      <c r="B36" s="112" t="str">
        <f ca="1">IF($A36=0,"",OFFSET(PO!K$12,ROW(B36)-ROW(B$12),0))</f>
        <v>2.3.0.1.</v>
      </c>
      <c r="C36" s="109" t="str">
        <f ca="1">IF(OFFSET(PO!N$12,ROW(C36)-ROW(C$12),0)=0,"",OFFSET(PO!N$12,ROW(C36)-ROW(C$12),0))</f>
        <v>ESCAVAÇÃO MANUAL PARA BLOCO DE COROAMENTO OU SAPATA (INCLUINDO ESCAVAÇÃO PARA COLOCAÇÃO DE FÔRMAS). AF_01/2024</v>
      </c>
      <c r="D36" s="111" t="str">
        <f ca="1">IF(OFFSET(PO!O$12,ROW(D36)-ROW(D$12),0)=0,"",OFFSET(PO!O$12,ROW(D36)-ROW(D$12),0))</f>
        <v>M3</v>
      </c>
      <c r="E36" s="140">
        <f ca="1">IF($A36&lt;&gt;"Serviço",0,ROUND(SUMIF($F$9:$P$9,"&lt;&gt;",$F36:$P36),15-13*PO!$X$3))</f>
        <v>3.65</v>
      </c>
      <c r="F36" s="361">
        <f ca="1">OFFSET(PO!$P$12,ROW($E36)-ROW(F$12),0)</f>
        <v>3.65</v>
      </c>
      <c r="G36" s="361"/>
      <c r="H36" s="361"/>
      <c r="I36" s="361"/>
      <c r="J36" s="361"/>
      <c r="K36" s="361"/>
      <c r="L36" s="361"/>
      <c r="M36" s="361"/>
      <c r="N36" s="361"/>
      <c r="O36" s="361"/>
      <c r="U36" s="182"/>
    </row>
    <row r="37" spans="1:21" s="1" customFormat="1" ht="39.6" x14ac:dyDescent="0.25">
      <c r="A37" s="110" t="str">
        <f ca="1">OFFSET(PO!J$12,ROW(A37)-ROW($A$12),0)</f>
        <v>Serviço</v>
      </c>
      <c r="B37" s="112" t="str">
        <f ca="1">IF($A37=0,"",OFFSET(PO!K$12,ROW(B37)-ROW(B$12),0))</f>
        <v>2.3.0.2.</v>
      </c>
      <c r="C37" s="109" t="str">
        <f ca="1">IF(OFFSET(PO!N$12,ROW(C37)-ROW(C$12),0)=0,"",OFFSET(PO!N$12,ROW(C37)-ROW(C$12),0))</f>
        <v>PREPARO DE FUNDO DE VALA COM LARGURA MAIOR OU IGUAL A 1,5 M E MENOR QUE 2,5 M (ACERTO DO SOLO NATURAL). AF_08/2020</v>
      </c>
      <c r="D37" s="111" t="str">
        <f ca="1">IF(OFFSET(PO!O$12,ROW(D37)-ROW(D$12),0)=0,"",OFFSET(PO!O$12,ROW(D37)-ROW(D$12),0))</f>
        <v>M2</v>
      </c>
      <c r="E37" s="140">
        <f ca="1">IF($A37&lt;&gt;"Serviço",0,ROUND(SUMIF($F$9:$P$9,"&lt;&gt;",$F37:$P37),15-13*PO!$X$3))</f>
        <v>4.84</v>
      </c>
      <c r="F37" s="361">
        <f ca="1">OFFSET(PO!$P$12,ROW($E37)-ROW(F$12),0)</f>
        <v>4.84</v>
      </c>
      <c r="G37" s="361"/>
      <c r="H37" s="361"/>
      <c r="I37" s="361"/>
      <c r="J37" s="361"/>
      <c r="K37" s="361"/>
      <c r="L37" s="361"/>
      <c r="M37" s="361"/>
      <c r="N37" s="361"/>
      <c r="O37" s="361"/>
      <c r="U37" s="182"/>
    </row>
    <row r="38" spans="1:21" s="1" customFormat="1" ht="66" x14ac:dyDescent="0.25">
      <c r="A38" s="110" t="str">
        <f ca="1">OFFSET(PO!J$12,ROW(A38)-ROW($A$12),0)</f>
        <v>Serviço</v>
      </c>
      <c r="B38" s="112" t="str">
        <f ca="1">IF($A38=0,"",OFFSET(PO!K$12,ROW(B38)-ROW(B$12),0))</f>
        <v>2.3.0.3.</v>
      </c>
      <c r="C38" s="109" t="str">
        <f ca="1">IF(OFFSET(PO!N$12,ROW(C38)-ROW(C$12),0)=0,"",OFFSET(PO!N$12,ROW(C38)-ROW(C$12),0))</f>
        <v>REATERRO MECANIZADO DE VALA COM RETROESCAVADEIRA (CAPACIDADE DA CAÇAMBA   DA RETRO: 0,26 M³/POTÊNCIA: 88 HP), LARGURA 0,8 A 1,5 M, PROFUNDIDADE 1,5 A 3,0 M, COM SOLO (SEM SUBSTITUIÇÃO) DE 1ª CATEGORIA E COMPACTADOR DE SOLOS DE PERCUSSÃO. AF_08/2023</v>
      </c>
      <c r="D38" s="111" t="str">
        <f ca="1">IF(OFFSET(PO!O$12,ROW(D38)-ROW(D$12),0)=0,"",OFFSET(PO!O$12,ROW(D38)-ROW(D$12),0))</f>
        <v>M3</v>
      </c>
      <c r="E38" s="140">
        <f ca="1">IF($A38&lt;&gt;"Serviço",0,ROUND(SUMIF($F$9:$P$9,"&lt;&gt;",$F38:$P38),15-13*PO!$X$3))</f>
        <v>1.23</v>
      </c>
      <c r="F38" s="361">
        <f ca="1">OFFSET(PO!$P$12,ROW($E38)-ROW(F$12),0)</f>
        <v>1.23</v>
      </c>
      <c r="G38" s="361"/>
      <c r="H38" s="361"/>
      <c r="I38" s="361"/>
      <c r="J38" s="361"/>
      <c r="K38" s="361"/>
      <c r="L38" s="361"/>
      <c r="M38" s="361"/>
      <c r="N38" s="361"/>
      <c r="O38" s="361"/>
      <c r="U38" s="182"/>
    </row>
    <row r="39" spans="1:21" s="1" customFormat="1" x14ac:dyDescent="0.25">
      <c r="A39" s="110" t="str">
        <f ca="1">OFFSET(PO!J$12,ROW(A39)-ROW($A$12),0)</f>
        <v>Meta</v>
      </c>
      <c r="B39" s="112" t="str">
        <f ca="1">IF($A39=0,"",OFFSET(PO!K$12,ROW(B39)-ROW(B$12),0))</f>
        <v>3.</v>
      </c>
      <c r="C39" s="109" t="str">
        <f ca="1">IF(OFFSET(PO!N$12,ROW(C39)-ROW(C$12),0)=0,"",OFFSET(PO!N$12,ROW(C39)-ROW(C$12),0))</f>
        <v>FUNDAÇÕES</v>
      </c>
      <c r="D39" s="111" t="str">
        <f ca="1">IF(OFFSET(PO!O$12,ROW(D39)-ROW(D$12),0)=0,"",OFFSET(PO!O$12,ROW(D39)-ROW(D$12),0))</f>
        <v/>
      </c>
      <c r="E39" s="140">
        <f ca="1">IF($A39&lt;&gt;"Serviço",0,ROUND(SUMIF($F$9:$P$9,"&lt;&gt;",$F39:$P39),15-13*PO!$X$3))</f>
        <v>0</v>
      </c>
      <c r="F39" s="361">
        <f ca="1">OFFSET(PO!$P$12,ROW($E39)-ROW(F$12),0)</f>
        <v>0</v>
      </c>
      <c r="G39" s="361"/>
      <c r="H39" s="361"/>
      <c r="I39" s="361"/>
      <c r="J39" s="361"/>
      <c r="K39" s="361"/>
      <c r="L39" s="361"/>
      <c r="M39" s="361"/>
      <c r="N39" s="361"/>
      <c r="O39" s="361"/>
      <c r="U39" s="182"/>
    </row>
    <row r="40" spans="1:21" s="1" customFormat="1" x14ac:dyDescent="0.25">
      <c r="A40" s="110" t="str">
        <f ca="1">OFFSET(PO!J$12,ROW(A40)-ROW($A$12),0)</f>
        <v>Nível 2</v>
      </c>
      <c r="B40" s="112" t="str">
        <f ca="1">IF($A40=0,"",OFFSET(PO!K$12,ROW(B40)-ROW(B$12),0))</f>
        <v>3.1.</v>
      </c>
      <c r="C40" s="109" t="str">
        <f ca="1">IF(OFFSET(PO!N$12,ROW(C40)-ROW(C$12),0)=0,"",OFFSET(PO!N$12,ROW(C40)-ROW(C$12),0))</f>
        <v>CONCRETO ARMADO PARA SAPATAS</v>
      </c>
      <c r="D40" s="111" t="str">
        <f ca="1">IF(OFFSET(PO!O$12,ROW(D40)-ROW(D$12),0)=0,"",OFFSET(PO!O$12,ROW(D40)-ROW(D$12),0))</f>
        <v/>
      </c>
      <c r="E40" s="140">
        <f ca="1">IF($A40&lt;&gt;"Serviço",0,ROUND(SUMIF($F$9:$P$9,"&lt;&gt;",$F40:$P40),15-13*PO!$X$3))</f>
        <v>0</v>
      </c>
      <c r="F40" s="361">
        <f ca="1">OFFSET(PO!$P$12,ROW($E40)-ROW(F$12),0)</f>
        <v>0</v>
      </c>
      <c r="G40" s="361"/>
      <c r="H40" s="361"/>
      <c r="I40" s="361"/>
      <c r="J40" s="361"/>
      <c r="K40" s="361"/>
      <c r="L40" s="361"/>
      <c r="M40" s="361"/>
      <c r="N40" s="361"/>
      <c r="O40" s="361"/>
      <c r="U40" s="182"/>
    </row>
    <row r="41" spans="1:21" s="1" customFormat="1" ht="26.4" x14ac:dyDescent="0.25">
      <c r="A41" s="110" t="str">
        <f ca="1">OFFSET(PO!J$12,ROW(A41)-ROW($A$12),0)</f>
        <v>Serviço</v>
      </c>
      <c r="B41" s="112" t="str">
        <f ca="1">IF($A41=0,"",OFFSET(PO!K$12,ROW(B41)-ROW(B$12),0))</f>
        <v>3.1.0.1.</v>
      </c>
      <c r="C41" s="109" t="str">
        <f ca="1">IF(OFFSET(PO!N$12,ROW(C41)-ROW(C$12),0)=0,"",OFFSET(PO!N$12,ROW(C41)-ROW(C$12),0))</f>
        <v>LASTRO DE CONCRETO MAGRO, APLICADO EM BLOCOS DE COROAMENTO OU SAPATAS, ESPESSURA DE 5 CM. AF_01/2024</v>
      </c>
      <c r="D41" s="111" t="str">
        <f ca="1">IF(OFFSET(PO!O$12,ROW(D41)-ROW(D$12),0)=0,"",OFFSET(PO!O$12,ROW(D41)-ROW(D$12),0))</f>
        <v>M2</v>
      </c>
      <c r="E41" s="140">
        <f ca="1">IF($A41&lt;&gt;"Serviço",0,ROUND(SUMIF($F$9:$P$9,"&lt;&gt;",$F41:$P41),15-13*PO!$X$3))</f>
        <v>46.65</v>
      </c>
      <c r="F41" s="361">
        <f ca="1">OFFSET(PO!$P$12,ROW($E41)-ROW(F$12),0)</f>
        <v>46.65</v>
      </c>
      <c r="G41" s="361"/>
      <c r="H41" s="361"/>
      <c r="I41" s="361"/>
      <c r="J41" s="361"/>
      <c r="K41" s="361"/>
      <c r="L41" s="361"/>
      <c r="M41" s="361"/>
      <c r="N41" s="361"/>
      <c r="O41" s="361"/>
      <c r="U41" s="182"/>
    </row>
    <row r="42" spans="1:21" s="1" customFormat="1" ht="39.6" x14ac:dyDescent="0.25">
      <c r="A42" s="110" t="str">
        <f ca="1">OFFSET(PO!J$12,ROW(A42)-ROW($A$12),0)</f>
        <v>Serviço</v>
      </c>
      <c r="B42" s="112" t="str">
        <f ca="1">IF($A42=0,"",OFFSET(PO!K$12,ROW(B42)-ROW(B$12),0))</f>
        <v>3.1.0.2.</v>
      </c>
      <c r="C42" s="109" t="str">
        <f ca="1">IF(OFFSET(PO!N$12,ROW(C42)-ROW(C$12),0)=0,"",OFFSET(PO!N$12,ROW(C42)-ROW(C$12),0))</f>
        <v>FABRICAÇÃO, MONTAGEM E DESMONTAGEM DE FÔRMA PARA BLOCO DE COROAMENTO, EM MADEIRA SERRADA, E=25 MM, 4 UTILIZAÇÕES. AF_01/2024</v>
      </c>
      <c r="D42" s="111" t="str">
        <f ca="1">IF(OFFSET(PO!O$12,ROW(D42)-ROW(D$12),0)=0,"",OFFSET(PO!O$12,ROW(D42)-ROW(D$12),0))</f>
        <v>M2</v>
      </c>
      <c r="E42" s="140">
        <f ca="1">IF($A42&lt;&gt;"Serviço",0,ROUND(SUMIF($F$9:$P$9,"&lt;&gt;",$F42:$P42),15-13*PO!$X$3))</f>
        <v>131.71</v>
      </c>
      <c r="F42" s="361">
        <f ca="1">OFFSET(PO!$P$12,ROW($E42)-ROW(F$12),0)</f>
        <v>131.71</v>
      </c>
      <c r="G42" s="361"/>
      <c r="H42" s="361"/>
      <c r="I42" s="361"/>
      <c r="J42" s="361"/>
      <c r="K42" s="361"/>
      <c r="L42" s="361"/>
      <c r="M42" s="361"/>
      <c r="N42" s="361"/>
      <c r="O42" s="361"/>
      <c r="U42" s="182"/>
    </row>
    <row r="43" spans="1:21" s="1" customFormat="1" ht="39.6" x14ac:dyDescent="0.25">
      <c r="A43" s="110" t="str">
        <f ca="1">OFFSET(PO!J$12,ROW(A43)-ROW($A$12),0)</f>
        <v>Serviço</v>
      </c>
      <c r="B43" s="112" t="str">
        <f ca="1">IF($A43=0,"",OFFSET(PO!K$12,ROW(B43)-ROW(B$12),0))</f>
        <v>3.1.0.3.</v>
      </c>
      <c r="C43" s="109" t="str">
        <f ca="1">IF(OFFSET(PO!N$12,ROW(C43)-ROW(C$12),0)=0,"",OFFSET(PO!N$12,ROW(C43)-ROW(C$12),0))</f>
        <v>ARMAÇÃO DE SAPATA ISOLADA, VIGA BALDRAME E SAPATA CORRIDA UTILIZANDO AÇO CA-50 DE 6,3 MM - MONTAGEM. AF_01/2024</v>
      </c>
      <c r="D43" s="111" t="str">
        <f ca="1">IF(OFFSET(PO!O$12,ROW(D43)-ROW(D$12),0)=0,"",OFFSET(PO!O$12,ROW(D43)-ROW(D$12),0))</f>
        <v>KG</v>
      </c>
      <c r="E43" s="140">
        <f ca="1">IF($A43&lt;&gt;"Serviço",0,ROUND(SUMIF($F$9:$P$9,"&lt;&gt;",$F43:$P43),15-13*PO!$X$3))</f>
        <v>317.2</v>
      </c>
      <c r="F43" s="361">
        <f ca="1">OFFSET(PO!$P$12,ROW($E43)-ROW(F$12),0)</f>
        <v>317.2</v>
      </c>
      <c r="G43" s="361"/>
      <c r="H43" s="361"/>
      <c r="I43" s="361"/>
      <c r="J43" s="361"/>
      <c r="K43" s="361"/>
      <c r="L43" s="361"/>
      <c r="M43" s="361"/>
      <c r="N43" s="361"/>
      <c r="O43" s="361"/>
      <c r="U43" s="182"/>
    </row>
    <row r="44" spans="1:21" s="1" customFormat="1" ht="39.6" x14ac:dyDescent="0.25">
      <c r="A44" s="110" t="str">
        <f ca="1">OFFSET(PO!J$12,ROW(A44)-ROW($A$12),0)</f>
        <v>Serviço</v>
      </c>
      <c r="B44" s="112" t="str">
        <f ca="1">IF($A44=0,"",OFFSET(PO!K$12,ROW(B44)-ROW(B$12),0))</f>
        <v>3.1.0.4.</v>
      </c>
      <c r="C44" s="109" t="str">
        <f ca="1">IF(OFFSET(PO!N$12,ROW(C44)-ROW(C$12),0)=0,"",OFFSET(PO!N$12,ROW(C44)-ROW(C$12),0))</f>
        <v>ARMAÇÃO DE SAPATA ISOLADA, VIGA BALDRAME E SAPATA CORRIDA UTILIZANDO AÇO CA-50 DE 8 MM - MONTAGEM. AF_01/2024</v>
      </c>
      <c r="D44" s="111" t="str">
        <f ca="1">IF(OFFSET(PO!O$12,ROW(D44)-ROW(D$12),0)=0,"",OFFSET(PO!O$12,ROW(D44)-ROW(D$12),0))</f>
        <v>KG</v>
      </c>
      <c r="E44" s="140">
        <f ca="1">IF($A44&lt;&gt;"Serviço",0,ROUND(SUMIF($F$9:$P$9,"&lt;&gt;",$F44:$P44),15-13*PO!$X$3))</f>
        <v>41.25</v>
      </c>
      <c r="F44" s="361">
        <f ca="1">OFFSET(PO!$P$12,ROW($E44)-ROW(F$12),0)</f>
        <v>41.25</v>
      </c>
      <c r="G44" s="361"/>
      <c r="H44" s="361"/>
      <c r="I44" s="361"/>
      <c r="J44" s="361"/>
      <c r="K44" s="361"/>
      <c r="L44" s="361"/>
      <c r="M44" s="361"/>
      <c r="N44" s="361"/>
      <c r="O44" s="361"/>
      <c r="U44" s="182"/>
    </row>
    <row r="45" spans="1:21" s="1" customFormat="1" ht="39.6" x14ac:dyDescent="0.25">
      <c r="A45" s="110" t="str">
        <f ca="1">OFFSET(PO!J$12,ROW(A45)-ROW($A$12),0)</f>
        <v>Serviço</v>
      </c>
      <c r="B45" s="112" t="str">
        <f ca="1">IF($A45=0,"",OFFSET(PO!K$12,ROW(B45)-ROW(B$12),0))</f>
        <v>3.1.0.5.</v>
      </c>
      <c r="C45" s="109" t="str">
        <f ca="1">IF(OFFSET(PO!N$12,ROW(C45)-ROW(C$12),0)=0,"",OFFSET(PO!N$12,ROW(C45)-ROW(C$12),0))</f>
        <v>ARMAÇÃO DE SAPATA ISOLADA, VIGA BALDRAME E SAPATA CORRIDA UTILIZANDO AÇO CA-50 DE 10 MM - MONTAGEM. AF_01/2024</v>
      </c>
      <c r="D45" s="111" t="str">
        <f ca="1">IF(OFFSET(PO!O$12,ROW(D45)-ROW(D$12),0)=0,"",OFFSET(PO!O$12,ROW(D45)-ROW(D$12),0))</f>
        <v>KG</v>
      </c>
      <c r="E45" s="140">
        <f ca="1">IF($A45&lt;&gt;"Serviço",0,ROUND(SUMIF($F$9:$P$9,"&lt;&gt;",$F45:$P45),15-13*PO!$X$3))</f>
        <v>366.94</v>
      </c>
      <c r="F45" s="361">
        <f ca="1">OFFSET(PO!$P$12,ROW($E45)-ROW(F$12),0)</f>
        <v>366.94</v>
      </c>
      <c r="G45" s="361"/>
      <c r="H45" s="361"/>
      <c r="I45" s="361"/>
      <c r="J45" s="361"/>
      <c r="K45" s="361"/>
      <c r="L45" s="361"/>
      <c r="M45" s="361"/>
      <c r="N45" s="361"/>
      <c r="O45" s="361"/>
      <c r="U45" s="182"/>
    </row>
    <row r="46" spans="1:21" s="1" customFormat="1" ht="39.6" x14ac:dyDescent="0.25">
      <c r="A46" s="110" t="str">
        <f ca="1">OFFSET(PO!J$12,ROW(A46)-ROW($A$12),0)</f>
        <v>Serviço</v>
      </c>
      <c r="B46" s="112" t="str">
        <f ca="1">IF($A46=0,"",OFFSET(PO!K$12,ROW(B46)-ROW(B$12),0))</f>
        <v>3.1.0.6.</v>
      </c>
      <c r="C46" s="109" t="str">
        <f ca="1">IF(OFFSET(PO!N$12,ROW(C46)-ROW(C$12),0)=0,"",OFFSET(PO!N$12,ROW(C46)-ROW(C$12),0))</f>
        <v>ARMAÇÃO DE BLOCO, SAPATA ISOLADA, VIGA BALDRAME E SAPATA CORRIDA UTILIZANDO AÇO CA-50 DE 12,5 MM - MONTAGEM. AF_01/2024</v>
      </c>
      <c r="D46" s="111" t="str">
        <f ca="1">IF(OFFSET(PO!O$12,ROW(D46)-ROW(D$12),0)=0,"",OFFSET(PO!O$12,ROW(D46)-ROW(D$12),0))</f>
        <v>KG</v>
      </c>
      <c r="E46" s="140">
        <f ca="1">IF($A46&lt;&gt;"Serviço",0,ROUND(SUMIF($F$9:$P$9,"&lt;&gt;",$F46:$P46),15-13*PO!$X$3))</f>
        <v>225</v>
      </c>
      <c r="F46" s="361">
        <f ca="1">OFFSET(PO!$P$12,ROW($E46)-ROW(F$12),0)</f>
        <v>225</v>
      </c>
      <c r="G46" s="361"/>
      <c r="H46" s="361"/>
      <c r="I46" s="361"/>
      <c r="J46" s="361"/>
      <c r="K46" s="361"/>
      <c r="L46" s="361"/>
      <c r="M46" s="361"/>
      <c r="N46" s="361"/>
      <c r="O46" s="361"/>
      <c r="U46" s="182"/>
    </row>
    <row r="47" spans="1:21" s="1" customFormat="1" ht="39.6" x14ac:dyDescent="0.25">
      <c r="A47" s="110" t="str">
        <f ca="1">OFFSET(PO!J$12,ROW(A47)-ROW($A$12),0)</f>
        <v>Serviço</v>
      </c>
      <c r="B47" s="112" t="str">
        <f ca="1">IF($A47=0,"",OFFSET(PO!K$12,ROW(B47)-ROW(B$12),0))</f>
        <v>3.1.0.7.</v>
      </c>
      <c r="C47" s="109" t="str">
        <f ca="1">IF(OFFSET(PO!N$12,ROW(C47)-ROW(C$12),0)=0,"",OFFSET(PO!N$12,ROW(C47)-ROW(C$12),0))</f>
        <v>ARMAÇÃO DE ESTRUTURAS DIVERSAS DE CONCRETO ARMADO, EXCETO VIGAS, PILARES, LAJES E FUNDAÇÕES, UTILIZANDO AÇO CA-60 DE 5,0 MM - MONTAGEM. AF_06/2022</v>
      </c>
      <c r="D47" s="111" t="str">
        <f ca="1">IF(OFFSET(PO!O$12,ROW(D47)-ROW(D$12),0)=0,"",OFFSET(PO!O$12,ROW(D47)-ROW(D$12),0))</f>
        <v>KG</v>
      </c>
      <c r="E47" s="140">
        <f ca="1">IF($A47&lt;&gt;"Serviço",0,ROUND(SUMIF($F$9:$P$9,"&lt;&gt;",$F47:$P47),15-13*PO!$X$3))</f>
        <v>134.38</v>
      </c>
      <c r="F47" s="361">
        <f ca="1">OFFSET(PO!$P$12,ROW($E47)-ROW(F$12),0)</f>
        <v>134.38</v>
      </c>
      <c r="G47" s="361"/>
      <c r="H47" s="361"/>
      <c r="I47" s="361"/>
      <c r="J47" s="361"/>
      <c r="K47" s="361"/>
      <c r="L47" s="361"/>
      <c r="M47" s="361"/>
      <c r="N47" s="361"/>
      <c r="O47" s="361"/>
      <c r="U47" s="182"/>
    </row>
    <row r="48" spans="1:21" s="1" customFormat="1" ht="26.4" x14ac:dyDescent="0.25">
      <c r="A48" s="110" t="str">
        <f ca="1">OFFSET(PO!J$12,ROW(A48)-ROW($A$12),0)</f>
        <v>Serviço</v>
      </c>
      <c r="B48" s="112" t="str">
        <f ca="1">IF($A48=0,"",OFFSET(PO!K$12,ROW(B48)-ROW(B$12),0))</f>
        <v>3.1.0.8.</v>
      </c>
      <c r="C48" s="109" t="str">
        <f ca="1">IF(OFFSET(PO!N$12,ROW(C48)-ROW(C$12),0)=0,"",OFFSET(PO!N$12,ROW(C48)-ROW(C$12),0))</f>
        <v>CONCRETAGEM DE SAPATA, FCK 30 MPA, COM USO DE BOMBA - LANÇAMENTO, ADENSAMENTO E ACABAMENTO. AF_01/2024</v>
      </c>
      <c r="D48" s="111" t="str">
        <f ca="1">IF(OFFSET(PO!O$12,ROW(D48)-ROW(D$12),0)=0,"",OFFSET(PO!O$12,ROW(D48)-ROW(D$12),0))</f>
        <v>M3</v>
      </c>
      <c r="E48" s="140">
        <f ca="1">IF($A48&lt;&gt;"Serviço",0,ROUND(SUMIF($F$9:$P$9,"&lt;&gt;",$F48:$P48),15-13*PO!$X$3))</f>
        <v>15.55</v>
      </c>
      <c r="F48" s="361">
        <f ca="1">OFFSET(PO!$P$12,ROW($E48)-ROW(F$12),0)</f>
        <v>15.55</v>
      </c>
      <c r="G48" s="361"/>
      <c r="H48" s="361"/>
      <c r="I48" s="361"/>
      <c r="J48" s="361"/>
      <c r="K48" s="361"/>
      <c r="L48" s="361"/>
      <c r="M48" s="361"/>
      <c r="N48" s="361"/>
      <c r="O48" s="361"/>
      <c r="U48" s="182"/>
    </row>
    <row r="49" spans="1:21" s="1" customFormat="1" x14ac:dyDescent="0.25">
      <c r="A49" s="110" t="str">
        <f ca="1">OFFSET(PO!J$12,ROW(A49)-ROW($A$12),0)</f>
        <v>Nível 2</v>
      </c>
      <c r="B49" s="112" t="str">
        <f ca="1">IF($A49=0,"",OFFSET(PO!K$12,ROW(B49)-ROW(B$12),0))</f>
        <v>3.2.</v>
      </c>
      <c r="C49" s="109" t="str">
        <f ca="1">IF(OFFSET(PO!N$12,ROW(C49)-ROW(C$12),0)=0,"",OFFSET(PO!N$12,ROW(C49)-ROW(C$12),0))</f>
        <v>CONCRETO ARMADO VIGAS BALDRAME</v>
      </c>
      <c r="D49" s="111" t="str">
        <f ca="1">IF(OFFSET(PO!O$12,ROW(D49)-ROW(D$12),0)=0,"",OFFSET(PO!O$12,ROW(D49)-ROW(D$12),0))</f>
        <v/>
      </c>
      <c r="E49" s="140">
        <f ca="1">IF($A49&lt;&gt;"Serviço",0,ROUND(SUMIF($F$9:$P$9,"&lt;&gt;",$F49:$P49),15-13*PO!$X$3))</f>
        <v>0</v>
      </c>
      <c r="F49" s="361">
        <f ca="1">OFFSET(PO!$P$12,ROW($E49)-ROW(F$12),0)</f>
        <v>0</v>
      </c>
      <c r="G49" s="361"/>
      <c r="H49" s="361"/>
      <c r="I49" s="361"/>
      <c r="J49" s="361"/>
      <c r="K49" s="361"/>
      <c r="L49" s="361"/>
      <c r="M49" s="361"/>
      <c r="N49" s="361"/>
      <c r="O49" s="361"/>
      <c r="U49" s="182"/>
    </row>
    <row r="50" spans="1:21" s="1" customFormat="1" ht="26.4" x14ac:dyDescent="0.25">
      <c r="A50" s="110" t="str">
        <f ca="1">OFFSET(PO!J$12,ROW(A50)-ROW($A$12),0)</f>
        <v>Serviço</v>
      </c>
      <c r="B50" s="112" t="str">
        <f ca="1">IF($A50=0,"",OFFSET(PO!K$12,ROW(B50)-ROW(B$12),0))</f>
        <v>3.2.0.1.</v>
      </c>
      <c r="C50" s="109" t="str">
        <f ca="1">IF(OFFSET(PO!N$12,ROW(C50)-ROW(C$12),0)=0,"",OFFSET(PO!N$12,ROW(C50)-ROW(C$12),0))</f>
        <v>LASTRO DE CONCRETO MAGRO, APLICADO EM BLOCOS DE COROAMENTO OU SAPATAS, ESPESSURA DE 5 CM. AF_01/2024</v>
      </c>
      <c r="D50" s="111" t="str">
        <f ca="1">IF(OFFSET(PO!O$12,ROW(D50)-ROW(D$12),0)=0,"",OFFSET(PO!O$12,ROW(D50)-ROW(D$12),0))</f>
        <v>M2</v>
      </c>
      <c r="E50" s="140">
        <f ca="1">IF($A50&lt;&gt;"Serviço",0,ROUND(SUMIF($F$9:$P$9,"&lt;&gt;",$F50:$P50),15-13*PO!$X$3))</f>
        <v>60.44</v>
      </c>
      <c r="F50" s="361">
        <f ca="1">OFFSET(PO!$P$12,ROW($E50)-ROW(F$12),0)</f>
        <v>60.44</v>
      </c>
      <c r="G50" s="361"/>
      <c r="H50" s="361"/>
      <c r="I50" s="361"/>
      <c r="J50" s="361"/>
      <c r="K50" s="361"/>
      <c r="L50" s="361"/>
      <c r="M50" s="361"/>
      <c r="N50" s="361"/>
      <c r="O50" s="361"/>
      <c r="U50" s="182"/>
    </row>
    <row r="51" spans="1:21" s="1" customFormat="1" ht="26.4" x14ac:dyDescent="0.25">
      <c r="A51" s="110" t="str">
        <f ca="1">OFFSET(PO!J$12,ROW(A51)-ROW($A$12),0)</f>
        <v>Serviço</v>
      </c>
      <c r="B51" s="112" t="str">
        <f ca="1">IF($A51=0,"",OFFSET(PO!K$12,ROW(B51)-ROW(B$12),0))</f>
        <v>3.2.0.2.</v>
      </c>
      <c r="C51" s="109" t="str">
        <f ca="1">IF(OFFSET(PO!N$12,ROW(C51)-ROW(C$12),0)=0,"",OFFSET(PO!N$12,ROW(C51)-ROW(C$12),0))</f>
        <v>LASTRO DE CONCRETO MAGRO, APLICADO EM BLOCOS DE COROAMENTO OU SAPATAS. AF_01/2024</v>
      </c>
      <c r="D51" s="111" t="str">
        <f ca="1">IF(OFFSET(PO!O$12,ROW(D51)-ROW(D$12),0)=0,"",OFFSET(PO!O$12,ROW(D51)-ROW(D$12),0))</f>
        <v>M3</v>
      </c>
      <c r="E51" s="140">
        <f ca="1">IF($A51&lt;&gt;"Serviço",0,ROUND(SUMIF($F$9:$P$9,"&lt;&gt;",$F51:$P51),15-13*PO!$X$3))</f>
        <v>3.89</v>
      </c>
      <c r="F51" s="361">
        <f ca="1">OFFSET(PO!$P$12,ROW($E51)-ROW(F$12),0)</f>
        <v>3.89</v>
      </c>
      <c r="G51" s="361"/>
      <c r="H51" s="361"/>
      <c r="I51" s="361"/>
      <c r="J51" s="361"/>
      <c r="K51" s="361"/>
      <c r="L51" s="361"/>
      <c r="M51" s="361"/>
      <c r="N51" s="361"/>
      <c r="O51" s="361"/>
      <c r="U51" s="182"/>
    </row>
    <row r="52" spans="1:21" s="1" customFormat="1" ht="39.6" x14ac:dyDescent="0.25">
      <c r="A52" s="110" t="str">
        <f ca="1">OFFSET(PO!J$12,ROW(A52)-ROW($A$12),0)</f>
        <v>Serviço</v>
      </c>
      <c r="B52" s="112" t="str">
        <f ca="1">IF($A52=0,"",OFFSET(PO!K$12,ROW(B52)-ROW(B$12),0))</f>
        <v>3.2.0.3.</v>
      </c>
      <c r="C52" s="109" t="str">
        <f ca="1">IF(OFFSET(PO!N$12,ROW(C52)-ROW(C$12),0)=0,"",OFFSET(PO!N$12,ROW(C52)-ROW(C$12),0))</f>
        <v>FABRICAÇÃO, MONTAGEM E DESMONTAGEM DE FÔRMA PARA BLOCO DE COROAMENTO, EM MADEIRA SERRADA, E=25 MM, 4 UTILIZAÇÕES. AF_01/2024</v>
      </c>
      <c r="D52" s="111" t="str">
        <f ca="1">IF(OFFSET(PO!O$12,ROW(D52)-ROW(D$12),0)=0,"",OFFSET(PO!O$12,ROW(D52)-ROW(D$12),0))</f>
        <v>M2</v>
      </c>
      <c r="E52" s="140">
        <f ca="1">IF($A52&lt;&gt;"Serviço",0,ROUND(SUMIF($F$9:$P$9,"&lt;&gt;",$F52:$P52),15-13*PO!$X$3))</f>
        <v>349.55</v>
      </c>
      <c r="F52" s="361">
        <f ca="1">OFFSET(PO!$P$12,ROW($E52)-ROW(F$12),0)</f>
        <v>349.55</v>
      </c>
      <c r="G52" s="361"/>
      <c r="H52" s="361"/>
      <c r="I52" s="361"/>
      <c r="J52" s="361"/>
      <c r="K52" s="361"/>
      <c r="L52" s="361"/>
      <c r="M52" s="361"/>
      <c r="N52" s="361"/>
      <c r="O52" s="361"/>
      <c r="U52" s="182"/>
    </row>
    <row r="53" spans="1:21" s="1" customFormat="1" ht="39.6" x14ac:dyDescent="0.25">
      <c r="A53" s="110" t="str">
        <f ca="1">OFFSET(PO!J$12,ROW(A53)-ROW($A$12),0)</f>
        <v>Serviço</v>
      </c>
      <c r="B53" s="112" t="str">
        <f ca="1">IF($A53=0,"",OFFSET(PO!K$12,ROW(B53)-ROW(B$12),0))</f>
        <v>3.2.0.4.</v>
      </c>
      <c r="C53" s="109" t="str">
        <f ca="1">IF(OFFSET(PO!N$12,ROW(C53)-ROW(C$12),0)=0,"",OFFSET(PO!N$12,ROW(C53)-ROW(C$12),0))</f>
        <v>ARMAÇÃO DE SAPATA ISOLADA, VIGA BALDRAME E SAPATA CORRIDA UTILIZANDO AÇO CA-50 DE 8 MM - MONTAGEM. AF_01/2024</v>
      </c>
      <c r="D53" s="111" t="str">
        <f ca="1">IF(OFFSET(PO!O$12,ROW(D53)-ROW(D$12),0)=0,"",OFFSET(PO!O$12,ROW(D53)-ROW(D$12),0))</f>
        <v>KG</v>
      </c>
      <c r="E53" s="140">
        <f ca="1">IF($A53&lt;&gt;"Serviço",0,ROUND(SUMIF($F$9:$P$9,"&lt;&gt;",$F53:$P53),15-13*PO!$X$3))</f>
        <v>660.1</v>
      </c>
      <c r="F53" s="361">
        <f ca="1">OFFSET(PO!$P$12,ROW($E53)-ROW(F$12),0)</f>
        <v>660.1</v>
      </c>
      <c r="G53" s="361"/>
      <c r="H53" s="361"/>
      <c r="I53" s="361"/>
      <c r="J53" s="361"/>
      <c r="K53" s="361"/>
      <c r="L53" s="361"/>
      <c r="M53" s="361"/>
      <c r="N53" s="361"/>
      <c r="O53" s="361"/>
      <c r="U53" s="182"/>
    </row>
    <row r="54" spans="1:21" s="1" customFormat="1" ht="39.6" x14ac:dyDescent="0.25">
      <c r="A54" s="110" t="str">
        <f ca="1">OFFSET(PO!J$12,ROW(A54)-ROW($A$12),0)</f>
        <v>Serviço</v>
      </c>
      <c r="B54" s="112" t="str">
        <f ca="1">IF($A54=0,"",OFFSET(PO!K$12,ROW(B54)-ROW(B$12),0))</f>
        <v>3.2.0.5.</v>
      </c>
      <c r="C54" s="109" t="str">
        <f ca="1">IF(OFFSET(PO!N$12,ROW(C54)-ROW(C$12),0)=0,"",OFFSET(PO!N$12,ROW(C54)-ROW(C$12),0))</f>
        <v>ARMAÇÃO DE SAPATA ISOLADA, VIGA BALDRAME E SAPATA CORRIDA UTILIZANDO AÇO CA-50 DE 10 MM - MONTAGEM. AF_01/2024</v>
      </c>
      <c r="D54" s="111" t="str">
        <f ca="1">IF(OFFSET(PO!O$12,ROW(D54)-ROW(D$12),0)=0,"",OFFSET(PO!O$12,ROW(D54)-ROW(D$12),0))</f>
        <v>KG</v>
      </c>
      <c r="E54" s="140">
        <f ca="1">IF($A54&lt;&gt;"Serviço",0,ROUND(SUMIF($F$9:$P$9,"&lt;&gt;",$F54:$P54),15-13*PO!$X$3))</f>
        <v>113.6</v>
      </c>
      <c r="F54" s="361">
        <f ca="1">OFFSET(PO!$P$12,ROW($E54)-ROW(F$12),0)</f>
        <v>113.6</v>
      </c>
      <c r="G54" s="361"/>
      <c r="H54" s="361"/>
      <c r="I54" s="361"/>
      <c r="J54" s="361"/>
      <c r="K54" s="361"/>
      <c r="L54" s="361"/>
      <c r="M54" s="361"/>
      <c r="N54" s="361"/>
      <c r="O54" s="361"/>
      <c r="U54" s="182"/>
    </row>
    <row r="55" spans="1:21" s="1" customFormat="1" ht="39.6" x14ac:dyDescent="0.25">
      <c r="A55" s="110" t="str">
        <f ca="1">OFFSET(PO!J$12,ROW(A55)-ROW($A$12),0)</f>
        <v>Serviço</v>
      </c>
      <c r="B55" s="112" t="str">
        <f ca="1">IF($A55=0,"",OFFSET(PO!K$12,ROW(B55)-ROW(B$12),0))</f>
        <v>3.2.0.6.</v>
      </c>
      <c r="C55" s="109" t="str">
        <f ca="1">IF(OFFSET(PO!N$12,ROW(C55)-ROW(C$12),0)=0,"",OFFSET(PO!N$12,ROW(C55)-ROW(C$12),0))</f>
        <v>ARMAÇÃO DE BLOCO, SAPATA ISOLADA, VIGA BALDRAME E SAPATA CORRIDA UTILIZANDO AÇO CA-50 DE 12,5 MM - MONTAGEM. AF_01/2024</v>
      </c>
      <c r="D55" s="111" t="str">
        <f ca="1">IF(OFFSET(PO!O$12,ROW(D55)-ROW(D$12),0)=0,"",OFFSET(PO!O$12,ROW(D55)-ROW(D$12),0))</f>
        <v>KG</v>
      </c>
      <c r="E55" s="140">
        <f ca="1">IF($A55&lt;&gt;"Serviço",0,ROUND(SUMIF($F$9:$P$9,"&lt;&gt;",$F55:$P55),15-13*PO!$X$3))</f>
        <v>26.41</v>
      </c>
      <c r="F55" s="361">
        <f ca="1">OFFSET(PO!$P$12,ROW($E55)-ROW(F$12),0)</f>
        <v>26.41</v>
      </c>
      <c r="G55" s="361"/>
      <c r="H55" s="361"/>
      <c r="I55" s="361"/>
      <c r="J55" s="361"/>
      <c r="K55" s="361"/>
      <c r="L55" s="361"/>
      <c r="M55" s="361"/>
      <c r="N55" s="361"/>
      <c r="O55" s="361"/>
      <c r="U55" s="182"/>
    </row>
    <row r="56" spans="1:21" s="1" customFormat="1" ht="26.4" x14ac:dyDescent="0.25">
      <c r="A56" s="110" t="str">
        <f ca="1">OFFSET(PO!J$12,ROW(A56)-ROW($A$12),0)</f>
        <v>Serviço</v>
      </c>
      <c r="B56" s="112" t="str">
        <f ca="1">IF($A56=0,"",OFFSET(PO!K$12,ROW(B56)-ROW(B$12),0))</f>
        <v>3.2.0.7.</v>
      </c>
      <c r="C56" s="109" t="str">
        <f ca="1">IF(OFFSET(PO!N$12,ROW(C56)-ROW(C$12),0)=0,"",OFFSET(PO!N$12,ROW(C56)-ROW(C$12),0))</f>
        <v>ARMAÇÃO DE BLOCO UTILIZANDO AÇO CA-60 DE 5 MM - MONTAGEM. AF_01/2024</v>
      </c>
      <c r="D56" s="111" t="str">
        <f ca="1">IF(OFFSET(PO!O$12,ROW(D56)-ROW(D$12),0)=0,"",OFFSET(PO!O$12,ROW(D56)-ROW(D$12),0))</f>
        <v>KG</v>
      </c>
      <c r="E56" s="140">
        <f ca="1">IF($A56&lt;&gt;"Serviço",0,ROUND(SUMIF($F$9:$P$9,"&lt;&gt;",$F56:$P56),15-13*PO!$X$3))</f>
        <v>356.91</v>
      </c>
      <c r="F56" s="361">
        <f ca="1">OFFSET(PO!$P$12,ROW($E56)-ROW(F$12),0)</f>
        <v>356.91</v>
      </c>
      <c r="G56" s="361"/>
      <c r="H56" s="361"/>
      <c r="I56" s="361"/>
      <c r="J56" s="361"/>
      <c r="K56" s="361"/>
      <c r="L56" s="361"/>
      <c r="M56" s="361"/>
      <c r="N56" s="361"/>
      <c r="O56" s="361"/>
      <c r="U56" s="182"/>
    </row>
    <row r="57" spans="1:21" s="1" customFormat="1" ht="39.6" x14ac:dyDescent="0.25">
      <c r="A57" s="110" t="str">
        <f ca="1">OFFSET(PO!J$12,ROW(A57)-ROW($A$12),0)</f>
        <v>Serviço</v>
      </c>
      <c r="B57" s="112" t="str">
        <f ca="1">IF($A57=0,"",OFFSET(PO!K$12,ROW(B57)-ROW(B$12),0))</f>
        <v>3.2.0.8.</v>
      </c>
      <c r="C57" s="109" t="str">
        <f ca="1">IF(OFFSET(PO!N$12,ROW(C57)-ROW(C$12),0)=0,"",OFFSET(PO!N$12,ROW(C57)-ROW(C$12),0))</f>
        <v>CONCRETAGEM DE BLOCO DE COROAMENTO OU VIGA BALDRAME, FCK 30 MPA, COM USO DE BOMBA - LANÇAMENTO, ADENSAMENTO E ACABAMENTO. AF_01/2024</v>
      </c>
      <c r="D57" s="111" t="str">
        <f ca="1">IF(OFFSET(PO!O$12,ROW(D57)-ROW(D$12),0)=0,"",OFFSET(PO!O$12,ROW(D57)-ROW(D$12),0))</f>
        <v>M3</v>
      </c>
      <c r="E57" s="140">
        <f ca="1">IF($A57&lt;&gt;"Serviço",0,ROUND(SUMIF($F$9:$P$9,"&lt;&gt;",$F57:$P57),15-13*PO!$X$3))</f>
        <v>24.18</v>
      </c>
      <c r="F57" s="361">
        <f ca="1">OFFSET(PO!$P$12,ROW($E57)-ROW(F$12),0)</f>
        <v>24.18</v>
      </c>
      <c r="G57" s="361"/>
      <c r="H57" s="361"/>
      <c r="I57" s="361"/>
      <c r="J57" s="361"/>
      <c r="K57" s="361"/>
      <c r="L57" s="361"/>
      <c r="M57" s="361"/>
      <c r="N57" s="361"/>
      <c r="O57" s="361"/>
      <c r="U57" s="182"/>
    </row>
    <row r="58" spans="1:21" s="1" customFormat="1" x14ac:dyDescent="0.25">
      <c r="A58" s="110" t="str">
        <f ca="1">OFFSET(PO!J$12,ROW(A58)-ROW($A$12),0)</f>
        <v>Nível 2</v>
      </c>
      <c r="B58" s="112" t="str">
        <f ca="1">IF($A58=0,"",OFFSET(PO!K$12,ROW(B58)-ROW(B$12),0))</f>
        <v>3.3.</v>
      </c>
      <c r="C58" s="109" t="str">
        <f ca="1">IF(OFFSET(PO!N$12,ROW(C58)-ROW(C$12),0)=0,"",OFFSET(PO!N$12,ROW(C58)-ROW(C$12),0))</f>
        <v>FUNDAÇÃO CASTELO D'ÁGUA</v>
      </c>
      <c r="D58" s="111" t="str">
        <f ca="1">IF(OFFSET(PO!O$12,ROW(D58)-ROW(D$12),0)=0,"",OFFSET(PO!O$12,ROW(D58)-ROW(D$12),0))</f>
        <v/>
      </c>
      <c r="E58" s="140">
        <f ca="1">IF($A58&lt;&gt;"Serviço",0,ROUND(SUMIF($F$9:$P$9,"&lt;&gt;",$F58:$P58),15-13*PO!$X$3))</f>
        <v>0</v>
      </c>
      <c r="F58" s="361">
        <f ca="1">OFFSET(PO!$P$12,ROW($E58)-ROW(F$12),0)</f>
        <v>0</v>
      </c>
      <c r="G58" s="361"/>
      <c r="H58" s="361"/>
      <c r="I58" s="361"/>
      <c r="J58" s="361"/>
      <c r="K58" s="361"/>
      <c r="L58" s="361"/>
      <c r="M58" s="361"/>
      <c r="N58" s="361"/>
      <c r="O58" s="361"/>
      <c r="U58" s="182"/>
    </row>
    <row r="59" spans="1:21" s="1" customFormat="1" ht="52.8" x14ac:dyDescent="0.25">
      <c r="A59" s="110" t="str">
        <f ca="1">OFFSET(PO!J$12,ROW(A59)-ROW($A$12),0)</f>
        <v>Serviço</v>
      </c>
      <c r="B59" s="112" t="str">
        <f ca="1">IF($A59=0,"",OFFSET(PO!K$12,ROW(B59)-ROW(B$12),0))</f>
        <v>3.3.0.1.</v>
      </c>
      <c r="C59" s="109" t="str">
        <f ca="1">IF(OFFSET(PO!N$12,ROW(C59)-ROW(C$12),0)=0,"",OFFSET(PO!N$12,ROW(C59)-ROW(C$12),0))</f>
        <v>ESTACA ESCAVADA MECANICAMENTE, SEM FLUIDO ESTABILIZANTE, COM 25CM DE DIÂMETRO, CONCRETO LANÇADO POR CAMINHÃO BETONEIRA (EXCLUSIVE MOBILIZAÇÃO E DESMOBILIZAÇÃO). AF_01/2020_PA</v>
      </c>
      <c r="D59" s="111" t="str">
        <f ca="1">IF(OFFSET(PO!O$12,ROW(D59)-ROW(D$12),0)=0,"",OFFSET(PO!O$12,ROW(D59)-ROW(D$12),0))</f>
        <v>M</v>
      </c>
      <c r="E59" s="140">
        <f ca="1">IF($A59&lt;&gt;"Serviço",0,ROUND(SUMIF($F$9:$P$9,"&lt;&gt;",$F59:$P59),15-13*PO!$X$3))</f>
        <v>35</v>
      </c>
      <c r="F59" s="361">
        <f ca="1">OFFSET(PO!$P$12,ROW($E59)-ROW(F$12),0)</f>
        <v>35</v>
      </c>
      <c r="G59" s="361"/>
      <c r="H59" s="361"/>
      <c r="I59" s="361"/>
      <c r="J59" s="361"/>
      <c r="K59" s="361"/>
      <c r="L59" s="361"/>
      <c r="M59" s="361"/>
      <c r="N59" s="361"/>
      <c r="O59" s="361"/>
      <c r="U59" s="182"/>
    </row>
    <row r="60" spans="1:21" s="1" customFormat="1" ht="26.4" x14ac:dyDescent="0.25">
      <c r="A60" s="110" t="str">
        <f ca="1">OFFSET(PO!J$12,ROW(A60)-ROW($A$12),0)</f>
        <v>Serviço</v>
      </c>
      <c r="B60" s="112" t="str">
        <f ca="1">IF($A60=0,"",OFFSET(PO!K$12,ROW(B60)-ROW(B$12),0))</f>
        <v>3.3.0.2.</v>
      </c>
      <c r="C60" s="109" t="str">
        <f ca="1">IF(OFFSET(PO!N$12,ROW(C60)-ROW(C$12),0)=0,"",OFFSET(PO!N$12,ROW(C60)-ROW(C$12),0))</f>
        <v>ARRASAMENTO MECANICO DE ESTACA DE CONCRETO ARMADO, DIAMETROS DE ATÉ 40 CM. AF_05/2021</v>
      </c>
      <c r="D60" s="111" t="str">
        <f ca="1">IF(OFFSET(PO!O$12,ROW(D60)-ROW(D$12),0)=0,"",OFFSET(PO!O$12,ROW(D60)-ROW(D$12),0))</f>
        <v>UN</v>
      </c>
      <c r="E60" s="140">
        <f ca="1">IF($A60&lt;&gt;"Serviço",0,ROUND(SUMIF($F$9:$P$9,"&lt;&gt;",$F60:$P60),15-13*PO!$X$3))</f>
        <v>5</v>
      </c>
      <c r="F60" s="361">
        <f ca="1">OFFSET(PO!$P$12,ROW($E60)-ROW(F$12),0)</f>
        <v>5</v>
      </c>
      <c r="G60" s="361"/>
      <c r="H60" s="361"/>
      <c r="I60" s="361"/>
      <c r="J60" s="361"/>
      <c r="K60" s="361"/>
      <c r="L60" s="361"/>
      <c r="M60" s="361"/>
      <c r="N60" s="361"/>
      <c r="O60" s="361"/>
      <c r="U60" s="182"/>
    </row>
    <row r="61" spans="1:21" s="1" customFormat="1" ht="26.4" x14ac:dyDescent="0.25">
      <c r="A61" s="110" t="str">
        <f ca="1">OFFSET(PO!J$12,ROW(A61)-ROW($A$12),0)</f>
        <v>Serviço</v>
      </c>
      <c r="B61" s="112" t="str">
        <f ca="1">IF($A61=0,"",OFFSET(PO!K$12,ROW(B61)-ROW(B$12),0))</f>
        <v>3.3.0.3.</v>
      </c>
      <c r="C61" s="109" t="str">
        <f ca="1">IF(OFFSET(PO!N$12,ROW(C61)-ROW(C$12),0)=0,"",OFFSET(PO!N$12,ROW(C61)-ROW(C$12),0))</f>
        <v>LASTRO DE CONCRETO MAGRO, APLICADO EM BLOCOS DE COROAMENTO OU SAPATAS, ESPESSURA DE 5 CM. AF_01/2024</v>
      </c>
      <c r="D61" s="111" t="str">
        <f ca="1">IF(OFFSET(PO!O$12,ROW(D61)-ROW(D$12),0)=0,"",OFFSET(PO!O$12,ROW(D61)-ROW(D$12),0))</f>
        <v>M2</v>
      </c>
      <c r="E61" s="140">
        <f ca="1">IF($A61&lt;&gt;"Serviço",0,ROUND(SUMIF($F$9:$P$9,"&lt;&gt;",$F61:$P61),15-13*PO!$X$3))</f>
        <v>4.84</v>
      </c>
      <c r="F61" s="361">
        <f ca="1">OFFSET(PO!$P$12,ROW($E61)-ROW(F$12),0)</f>
        <v>4.84</v>
      </c>
      <c r="G61" s="361"/>
      <c r="H61" s="361"/>
      <c r="I61" s="361"/>
      <c r="J61" s="361"/>
      <c r="K61" s="361"/>
      <c r="L61" s="361"/>
      <c r="M61" s="361"/>
      <c r="N61" s="361"/>
      <c r="O61" s="361"/>
      <c r="U61" s="182"/>
    </row>
    <row r="62" spans="1:21" s="1" customFormat="1" ht="39.6" x14ac:dyDescent="0.25">
      <c r="A62" s="110" t="str">
        <f ca="1">OFFSET(PO!J$12,ROW(A62)-ROW($A$12),0)</f>
        <v>Serviço</v>
      </c>
      <c r="B62" s="112" t="str">
        <f ca="1">IF($A62=0,"",OFFSET(PO!K$12,ROW(B62)-ROW(B$12),0))</f>
        <v>3.3.0.4.</v>
      </c>
      <c r="C62" s="109" t="str">
        <f ca="1">IF(OFFSET(PO!N$12,ROW(C62)-ROW(C$12),0)=0,"",OFFSET(PO!N$12,ROW(C62)-ROW(C$12),0))</f>
        <v>FABRICAÇÃO, MONTAGEM E DESMONTAGEM DE FÔRMA PARA BLOCO DE COROAMENTO, EM CHAPA DE MADEIRA COMPENSADA RESINADA, E=17 MM, 4 UTILIZAÇÕES. AF_01/2024</v>
      </c>
      <c r="D62" s="111" t="str">
        <f ca="1">IF(OFFSET(PO!O$12,ROW(D62)-ROW(D$12),0)=0,"",OFFSET(PO!O$12,ROW(D62)-ROW(D$12),0))</f>
        <v>M2</v>
      </c>
      <c r="E62" s="140">
        <f ca="1">IF($A62&lt;&gt;"Serviço",0,ROUND(SUMIF($F$9:$P$9,"&lt;&gt;",$F62:$P62),15-13*PO!$X$3))</f>
        <v>4.4000000000000004</v>
      </c>
      <c r="F62" s="361">
        <f ca="1">OFFSET(PO!$P$12,ROW($E62)-ROW(F$12),0)</f>
        <v>4.4000000000000004</v>
      </c>
      <c r="G62" s="361"/>
      <c r="H62" s="361"/>
      <c r="I62" s="361"/>
      <c r="J62" s="361"/>
      <c r="K62" s="361"/>
      <c r="L62" s="361"/>
      <c r="M62" s="361"/>
      <c r="N62" s="361"/>
      <c r="O62" s="361"/>
      <c r="U62" s="182"/>
    </row>
    <row r="63" spans="1:21" s="1" customFormat="1" ht="26.4" x14ac:dyDescent="0.25">
      <c r="A63" s="110" t="str">
        <f ca="1">OFFSET(PO!J$12,ROW(A63)-ROW($A$12),0)</f>
        <v>Serviço</v>
      </c>
      <c r="B63" s="112" t="str">
        <f ca="1">IF($A63=0,"",OFFSET(PO!K$12,ROW(B63)-ROW(B$12),0))</f>
        <v>3.3.0.5.</v>
      </c>
      <c r="C63" s="109" t="str">
        <f ca="1">IF(OFFSET(PO!N$12,ROW(C63)-ROW(C$12),0)=0,"",OFFSET(PO!N$12,ROW(C63)-ROW(C$12),0))</f>
        <v>ARMAÇÃO DE BLOCO UTILIZANDO AÇO CA-50 DE 10 MM - MONTAGEM. AF_01/2024</v>
      </c>
      <c r="D63" s="111" t="str">
        <f ca="1">IF(OFFSET(PO!O$12,ROW(D63)-ROW(D$12),0)=0,"",OFFSET(PO!O$12,ROW(D63)-ROW(D$12),0))</f>
        <v>KG</v>
      </c>
      <c r="E63" s="140">
        <f ca="1">IF($A63&lt;&gt;"Serviço",0,ROUND(SUMIF($F$9:$P$9,"&lt;&gt;",$F63:$P63),15-13*PO!$X$3))</f>
        <v>116.61</v>
      </c>
      <c r="F63" s="361">
        <f ca="1">OFFSET(PO!$P$12,ROW($E63)-ROW(F$12),0)</f>
        <v>116.61</v>
      </c>
      <c r="G63" s="361"/>
      <c r="H63" s="361"/>
      <c r="I63" s="361"/>
      <c r="J63" s="361"/>
      <c r="K63" s="361"/>
      <c r="L63" s="361"/>
      <c r="M63" s="361"/>
      <c r="N63" s="361"/>
      <c r="O63" s="361"/>
      <c r="U63" s="182"/>
    </row>
    <row r="64" spans="1:21" s="1" customFormat="1" ht="39.6" x14ac:dyDescent="0.25">
      <c r="A64" s="110" t="str">
        <f ca="1">OFFSET(PO!J$12,ROW(A64)-ROW($A$12),0)</f>
        <v>Serviço</v>
      </c>
      <c r="B64" s="112" t="str">
        <f ca="1">IF($A64=0,"",OFFSET(PO!K$12,ROW(B64)-ROW(B$12),0))</f>
        <v>3.3.0.6.</v>
      </c>
      <c r="C64" s="109" t="str">
        <f ca="1">IF(OFFSET(PO!N$12,ROW(C64)-ROW(C$12),0)=0,"",OFFSET(PO!N$12,ROW(C64)-ROW(C$12),0))</f>
        <v>ARMAÇÃO DE BLOCO, SAPATA ISOLADA, VIGA BALDRAME E SAPATA CORRIDA UTILIZANDO AÇO CA-50 DE 12,5 MM - MONTAGEM. AF_01/2024</v>
      </c>
      <c r="D64" s="111" t="str">
        <f ca="1">IF(OFFSET(PO!O$12,ROW(D64)-ROW(D$12),0)=0,"",OFFSET(PO!O$12,ROW(D64)-ROW(D$12),0))</f>
        <v>KG</v>
      </c>
      <c r="E64" s="140">
        <f ca="1">IF($A64&lt;&gt;"Serviço",0,ROUND(SUMIF($F$9:$P$9,"&lt;&gt;",$F64:$P64),15-13*PO!$X$3))</f>
        <v>83.78</v>
      </c>
      <c r="F64" s="361">
        <f ca="1">OFFSET(PO!$P$12,ROW($E64)-ROW(F$12),0)</f>
        <v>83.78</v>
      </c>
      <c r="G64" s="361"/>
      <c r="H64" s="361"/>
      <c r="I64" s="361"/>
      <c r="J64" s="361"/>
      <c r="K64" s="361"/>
      <c r="L64" s="361"/>
      <c r="M64" s="361"/>
      <c r="N64" s="361"/>
      <c r="O64" s="361"/>
      <c r="U64" s="182"/>
    </row>
    <row r="65" spans="1:21" s="1" customFormat="1" ht="26.4" x14ac:dyDescent="0.25">
      <c r="A65" s="110" t="str">
        <f ca="1">OFFSET(PO!J$12,ROW(A65)-ROW($A$12),0)</f>
        <v>Serviço</v>
      </c>
      <c r="B65" s="112" t="str">
        <f ca="1">IF($A65=0,"",OFFSET(PO!K$12,ROW(B65)-ROW(B$12),0))</f>
        <v>3.3.0.7.</v>
      </c>
      <c r="C65" s="109" t="str">
        <f ca="1">IF(OFFSET(PO!N$12,ROW(C65)-ROW(C$12),0)=0,"",OFFSET(PO!N$12,ROW(C65)-ROW(C$12),0))</f>
        <v>ARMAÇÃO DE BLOCO E SAPATA UTILIZANDO AÇO CA-50 DE 25 MM - MONTAGEM. AF_01/2024</v>
      </c>
      <c r="D65" s="111" t="str">
        <f ca="1">IF(OFFSET(PO!O$12,ROW(D65)-ROW(D$12),0)=0,"",OFFSET(PO!O$12,ROW(D65)-ROW(D$12),0))</f>
        <v>KG</v>
      </c>
      <c r="E65" s="140">
        <f ca="1">IF($A65&lt;&gt;"Serviço",0,ROUND(SUMIF($F$9:$P$9,"&lt;&gt;",$F65:$P65),15-13*PO!$X$3))</f>
        <v>13.87</v>
      </c>
      <c r="F65" s="361">
        <f ca="1">OFFSET(PO!$P$12,ROW($E65)-ROW(F$12),0)</f>
        <v>13.87</v>
      </c>
      <c r="G65" s="361"/>
      <c r="H65" s="361"/>
      <c r="I65" s="361"/>
      <c r="J65" s="361"/>
      <c r="K65" s="361"/>
      <c r="L65" s="361"/>
      <c r="M65" s="361"/>
      <c r="N65" s="361"/>
      <c r="O65" s="361"/>
      <c r="U65" s="182"/>
    </row>
    <row r="66" spans="1:21" s="1" customFormat="1" ht="26.4" x14ac:dyDescent="0.25">
      <c r="A66" s="110" t="str">
        <f ca="1">OFFSET(PO!J$12,ROW(A66)-ROW($A$12),0)</f>
        <v>Serviço</v>
      </c>
      <c r="B66" s="112" t="str">
        <f ca="1">IF($A66=0,"",OFFSET(PO!K$12,ROW(B66)-ROW(B$12),0))</f>
        <v>3.3.0.8.</v>
      </c>
      <c r="C66" s="109" t="str">
        <f ca="1">IF(OFFSET(PO!N$12,ROW(C66)-ROW(C$12),0)=0,"",OFFSET(PO!N$12,ROW(C66)-ROW(C$12),0))</f>
        <v>ARMAÇÃO DE BLOCO UTILIZANDO AÇO CA-60 DE 5 MM - MONTAGEM. AF_01/2024</v>
      </c>
      <c r="D66" s="111" t="str">
        <f ca="1">IF(OFFSET(PO!O$12,ROW(D66)-ROW(D$12),0)=0,"",OFFSET(PO!O$12,ROW(D66)-ROW(D$12),0))</f>
        <v>KG</v>
      </c>
      <c r="E66" s="140">
        <f ca="1">IF($A66&lt;&gt;"Serviço",0,ROUND(SUMIF($F$9:$P$9,"&lt;&gt;",$F66:$P66),15-13*PO!$X$3))</f>
        <v>13.08</v>
      </c>
      <c r="F66" s="361">
        <f ca="1">OFFSET(PO!$P$12,ROW($E66)-ROW(F$12),0)</f>
        <v>13.08</v>
      </c>
      <c r="G66" s="361"/>
      <c r="H66" s="361"/>
      <c r="I66" s="361"/>
      <c r="J66" s="361"/>
      <c r="K66" s="361"/>
      <c r="L66" s="361"/>
      <c r="M66" s="361"/>
      <c r="N66" s="361"/>
      <c r="O66" s="361"/>
      <c r="U66" s="182"/>
    </row>
    <row r="67" spans="1:21" s="1" customFormat="1" ht="39.6" x14ac:dyDescent="0.25">
      <c r="A67" s="110" t="str">
        <f ca="1">OFFSET(PO!J$12,ROW(A67)-ROW($A$12),0)</f>
        <v>Serviço</v>
      </c>
      <c r="B67" s="112" t="str">
        <f ca="1">IF($A67=0,"",OFFSET(PO!K$12,ROW(B67)-ROW(B$12),0))</f>
        <v>3.3.0.9.</v>
      </c>
      <c r="C67" s="109" t="str">
        <f ca="1">IF(OFFSET(PO!N$12,ROW(C67)-ROW(C$12),0)=0,"",OFFSET(PO!N$12,ROW(C67)-ROW(C$12),0))</f>
        <v>CONCRETAGEM DE BLOCO DE COROAMENTO OU VIGA BALDRAME, FCK 30 MPA, COM USO DE BOMBA - LANÇAMENTO, ADENSAMENTO E ACABAMENTO. AF_01/2024</v>
      </c>
      <c r="D67" s="111" t="str">
        <f ca="1">IF(OFFSET(PO!O$12,ROW(D67)-ROW(D$12),0)=0,"",OFFSET(PO!O$12,ROW(D67)-ROW(D$12),0))</f>
        <v>M3</v>
      </c>
      <c r="E67" s="140">
        <f ca="1">IF($A67&lt;&gt;"Serviço",0,ROUND(SUMIF($F$9:$P$9,"&lt;&gt;",$F67:$P67),15-13*PO!$X$3))</f>
        <v>2.42</v>
      </c>
      <c r="F67" s="361">
        <f ca="1">OFFSET(PO!$P$12,ROW($E67)-ROW(F$12),0)</f>
        <v>2.42</v>
      </c>
      <c r="G67" s="361"/>
      <c r="H67" s="361"/>
      <c r="I67" s="361"/>
      <c r="J67" s="361"/>
      <c r="K67" s="361"/>
      <c r="L67" s="361"/>
      <c r="M67" s="361"/>
      <c r="N67" s="361"/>
      <c r="O67" s="361"/>
      <c r="U67" s="182"/>
    </row>
    <row r="68" spans="1:21" s="1" customFormat="1" x14ac:dyDescent="0.25">
      <c r="A68" s="110" t="str">
        <f ca="1">OFFSET(PO!J$12,ROW(A68)-ROW($A$12),0)</f>
        <v>Nível 2</v>
      </c>
      <c r="B68" s="112" t="str">
        <f ca="1">IF($A68=0,"",OFFSET(PO!K$12,ROW(B68)-ROW(B$12),0))</f>
        <v>3.4.</v>
      </c>
      <c r="C68" s="109" t="str">
        <f ca="1">IF(OFFSET(PO!N$12,ROW(C68)-ROW(C$12),0)=0,"",OFFSET(PO!N$12,ROW(C68)-ROW(C$12),0))</f>
        <v>ABRIGO DO GÁS - BLOCOS</v>
      </c>
      <c r="D68" s="111" t="str">
        <f ca="1">IF(OFFSET(PO!O$12,ROW(D68)-ROW(D$12),0)=0,"",OFFSET(PO!O$12,ROW(D68)-ROW(D$12),0))</f>
        <v/>
      </c>
      <c r="E68" s="140">
        <f ca="1">IF($A68&lt;&gt;"Serviço",0,ROUND(SUMIF($F$9:$P$9,"&lt;&gt;",$F68:$P68),15-13*PO!$X$3))</f>
        <v>0</v>
      </c>
      <c r="F68" s="361">
        <f ca="1">OFFSET(PO!$P$12,ROW($E68)-ROW(F$12),0)</f>
        <v>0</v>
      </c>
      <c r="G68" s="361"/>
      <c r="H68" s="361"/>
      <c r="I68" s="361"/>
      <c r="J68" s="361"/>
      <c r="K68" s="361"/>
      <c r="L68" s="361"/>
      <c r="M68" s="361"/>
      <c r="N68" s="361"/>
      <c r="O68" s="361"/>
      <c r="U68" s="182"/>
    </row>
    <row r="69" spans="1:21" s="1" customFormat="1" ht="52.8" x14ac:dyDescent="0.25">
      <c r="A69" s="110" t="str">
        <f ca="1">OFFSET(PO!J$12,ROW(A69)-ROW($A$12),0)</f>
        <v>Serviço</v>
      </c>
      <c r="B69" s="112" t="str">
        <f ca="1">IF($A69=0,"",OFFSET(PO!K$12,ROW(B69)-ROW(B$12),0))</f>
        <v>3.4.0.1.</v>
      </c>
      <c r="C69" s="109" t="str">
        <f ca="1">IF(OFFSET(PO!N$12,ROW(C69)-ROW(C$12),0)=0,"",OFFSET(PO!N$12,ROW(C69)-ROW(C$12),0))</f>
        <v>ESTACA ESCAVADA MECANICAMENTE, SEM FLUIDO ESTABILIZANTE, COM 25CM DE DIÂMETRO, CONCRETO LANÇADO POR CAMINHÃO BETONEIRA (EXCLUSIVE MOBILIZAÇÃO E DESMOBILIZAÇÃO). AF_01/2020_PA</v>
      </c>
      <c r="D69" s="111" t="str">
        <f ca="1">IF(OFFSET(PO!O$12,ROW(D69)-ROW(D$12),0)=0,"",OFFSET(PO!O$12,ROW(D69)-ROW(D$12),0))</f>
        <v>M</v>
      </c>
      <c r="E69" s="140">
        <f ca="1">IF($A69&lt;&gt;"Serviço",0,ROUND(SUMIF($F$9:$P$9,"&lt;&gt;",$F69:$P69),15-13*PO!$X$3))</f>
        <v>17.5</v>
      </c>
      <c r="F69" s="361">
        <f ca="1">OFFSET(PO!$P$12,ROW($E69)-ROW(F$12),0)</f>
        <v>17.5</v>
      </c>
      <c r="G69" s="361"/>
      <c r="H69" s="361"/>
      <c r="I69" s="361"/>
      <c r="J69" s="361"/>
      <c r="K69" s="361"/>
      <c r="L69" s="361"/>
      <c r="M69" s="361"/>
      <c r="N69" s="361"/>
      <c r="O69" s="361"/>
      <c r="U69" s="182"/>
    </row>
    <row r="70" spans="1:21" s="1" customFormat="1" ht="26.4" x14ac:dyDescent="0.25">
      <c r="A70" s="110" t="str">
        <f ca="1">OFFSET(PO!J$12,ROW(A70)-ROW($A$12),0)</f>
        <v>Serviço</v>
      </c>
      <c r="B70" s="112" t="str">
        <f ca="1">IF($A70=0,"",OFFSET(PO!K$12,ROW(B70)-ROW(B$12),0))</f>
        <v>3.4.0.2.</v>
      </c>
      <c r="C70" s="109" t="str">
        <f ca="1">IF(OFFSET(PO!N$12,ROW(C70)-ROW(C$12),0)=0,"",OFFSET(PO!N$12,ROW(C70)-ROW(C$12),0))</f>
        <v>LASTRO DE CONCRETO MAGRO, APLICADO EM BLOCOS DE COROAMENTO OU SAPATAS, ESPESSURA DE 5 CM. AF_01/2024</v>
      </c>
      <c r="D70" s="111" t="str">
        <f ca="1">IF(OFFSET(PO!O$12,ROW(D70)-ROW(D$12),0)=0,"",OFFSET(PO!O$12,ROW(D70)-ROW(D$12),0))</f>
        <v>M2</v>
      </c>
      <c r="E70" s="140">
        <f ca="1">IF($A70&lt;&gt;"Serviço",0,ROUND(SUMIF($F$9:$P$9,"&lt;&gt;",$F70:$P70),15-13*PO!$X$3))</f>
        <v>1.25</v>
      </c>
      <c r="F70" s="361">
        <f ca="1">OFFSET(PO!$P$12,ROW($E70)-ROW(F$12),0)</f>
        <v>1.25</v>
      </c>
      <c r="G70" s="361"/>
      <c r="H70" s="361"/>
      <c r="I70" s="361"/>
      <c r="J70" s="361"/>
      <c r="K70" s="361"/>
      <c r="L70" s="361"/>
      <c r="M70" s="361"/>
      <c r="N70" s="361"/>
      <c r="O70" s="361"/>
      <c r="U70" s="182"/>
    </row>
    <row r="71" spans="1:21" s="1" customFormat="1" ht="39.6" x14ac:dyDescent="0.25">
      <c r="A71" s="110" t="str">
        <f ca="1">OFFSET(PO!J$12,ROW(A71)-ROW($A$12),0)</f>
        <v>Serviço</v>
      </c>
      <c r="B71" s="112" t="str">
        <f ca="1">IF($A71=0,"",OFFSET(PO!K$12,ROW(B71)-ROW(B$12),0))</f>
        <v>3.4.0.3.</v>
      </c>
      <c r="C71" s="109" t="str">
        <f ca="1">IF(OFFSET(PO!N$12,ROW(C71)-ROW(C$12),0)=0,"",OFFSET(PO!N$12,ROW(C71)-ROW(C$12),0))</f>
        <v>FABRICAÇÃO, MONTAGEM E DESMONTAGEM DE FÔRMA PARA BLOCO DE COROAMENTO, EM CHAPA DE MADEIRA COMPENSADA RESINADA, E=17 MM, 4 UTILIZAÇÕES. AF_01/2024</v>
      </c>
      <c r="D71" s="111" t="str">
        <f ca="1">IF(OFFSET(PO!O$12,ROW(D71)-ROW(D$12),0)=0,"",OFFSET(PO!O$12,ROW(D71)-ROW(D$12),0))</f>
        <v>M2</v>
      </c>
      <c r="E71" s="140">
        <f ca="1">IF($A71&lt;&gt;"Serviço",0,ROUND(SUMIF($F$9:$P$9,"&lt;&gt;",$F71:$P71),15-13*PO!$X$3))</f>
        <v>5</v>
      </c>
      <c r="F71" s="361">
        <f ca="1">OFFSET(PO!$P$12,ROW($E71)-ROW(F$12),0)</f>
        <v>5</v>
      </c>
      <c r="G71" s="361"/>
      <c r="H71" s="361"/>
      <c r="I71" s="361"/>
      <c r="J71" s="361"/>
      <c r="K71" s="361"/>
      <c r="L71" s="361"/>
      <c r="M71" s="361"/>
      <c r="N71" s="361"/>
      <c r="O71" s="361"/>
      <c r="U71" s="182"/>
    </row>
    <row r="72" spans="1:21" s="1" customFormat="1" ht="26.4" x14ac:dyDescent="0.25">
      <c r="A72" s="110" t="str">
        <f ca="1">OFFSET(PO!J$12,ROW(A72)-ROW($A$12),0)</f>
        <v>Serviço</v>
      </c>
      <c r="B72" s="112" t="str">
        <f ca="1">IF($A72=0,"",OFFSET(PO!K$12,ROW(B72)-ROW(B$12),0))</f>
        <v>3.4.0.4.</v>
      </c>
      <c r="C72" s="109" t="str">
        <f ca="1">IF(OFFSET(PO!N$12,ROW(C72)-ROW(C$12),0)=0,"",OFFSET(PO!N$12,ROW(C72)-ROW(C$12),0))</f>
        <v>ARMAÇÃO DE DESCIDA D'ÁGUA UTILIZANDO AÇO CA-60 DE 5 MM - MONTAGEM. AF_08/2022</v>
      </c>
      <c r="D72" s="111" t="str">
        <f ca="1">IF(OFFSET(PO!O$12,ROW(D72)-ROW(D$12),0)=0,"",OFFSET(PO!O$12,ROW(D72)-ROW(D$12),0))</f>
        <v>KG</v>
      </c>
      <c r="E72" s="140">
        <f ca="1">IF($A72&lt;&gt;"Serviço",0,ROUND(SUMIF($F$9:$P$9,"&lt;&gt;",$F72:$P72),15-13*PO!$X$3))</f>
        <v>10.19</v>
      </c>
      <c r="F72" s="361">
        <f ca="1">OFFSET(PO!$P$12,ROW($E72)-ROW(F$12),0)</f>
        <v>10.19</v>
      </c>
      <c r="G72" s="361"/>
      <c r="H72" s="361"/>
      <c r="I72" s="361"/>
      <c r="J72" s="361"/>
      <c r="K72" s="361"/>
      <c r="L72" s="361"/>
      <c r="M72" s="361"/>
      <c r="N72" s="361"/>
      <c r="O72" s="361"/>
      <c r="U72" s="182"/>
    </row>
    <row r="73" spans="1:21" s="1" customFormat="1" ht="39.6" x14ac:dyDescent="0.25">
      <c r="A73" s="110" t="str">
        <f ca="1">OFFSET(PO!J$12,ROW(A73)-ROW($A$12),0)</f>
        <v>Serviço</v>
      </c>
      <c r="B73" s="112" t="str">
        <f ca="1">IF($A73=0,"",OFFSET(PO!K$12,ROW(B73)-ROW(B$12),0))</f>
        <v>3.4.0.5.</v>
      </c>
      <c r="C73" s="109" t="str">
        <f ca="1">IF(OFFSET(PO!N$12,ROW(C73)-ROW(C$12),0)=0,"",OFFSET(PO!N$12,ROW(C73)-ROW(C$12),0))</f>
        <v>CONCRETAGEM DE BLOCO DE COROAMENTO OU VIGA BALDRAME, FCK 30 MPA, COM USO DE BOMBA - LANÇAMENTO, ADENSAMENTO E ACABAMENTO. AF_01/2024</v>
      </c>
      <c r="D73" s="111" t="str">
        <f ca="1">IF(OFFSET(PO!O$12,ROW(D73)-ROW(D$12),0)=0,"",OFFSET(PO!O$12,ROW(D73)-ROW(D$12),0))</f>
        <v>M3</v>
      </c>
      <c r="E73" s="140">
        <f ca="1">IF($A73&lt;&gt;"Serviço",0,ROUND(SUMIF($F$9:$P$9,"&lt;&gt;",$F73:$P73),15-13*PO!$X$3))</f>
        <v>0.63</v>
      </c>
      <c r="F73" s="361">
        <f ca="1">OFFSET(PO!$P$12,ROW($E73)-ROW(F$12),0)</f>
        <v>0.63</v>
      </c>
      <c r="G73" s="361"/>
      <c r="H73" s="361"/>
      <c r="I73" s="361"/>
      <c r="J73" s="361"/>
      <c r="K73" s="361"/>
      <c r="L73" s="361"/>
      <c r="M73" s="361"/>
      <c r="N73" s="361"/>
      <c r="O73" s="361"/>
      <c r="U73" s="182"/>
    </row>
    <row r="74" spans="1:21" s="1" customFormat="1" x14ac:dyDescent="0.25">
      <c r="A74" s="110" t="str">
        <f ca="1">OFFSET(PO!J$12,ROW(A74)-ROW($A$12),0)</f>
        <v>Nível 2</v>
      </c>
      <c r="B74" s="112" t="str">
        <f ca="1">IF($A74=0,"",OFFSET(PO!K$12,ROW(B74)-ROW(B$12),0))</f>
        <v>3.5.</v>
      </c>
      <c r="C74" s="109" t="str">
        <f ca="1">IF(OFFSET(PO!N$12,ROW(C74)-ROW(C$12),0)=0,"",OFFSET(PO!N$12,ROW(C74)-ROW(C$12),0))</f>
        <v>MURETA ABRIGO DE GÁS VIGAS BALDRAME</v>
      </c>
      <c r="D74" s="111" t="str">
        <f ca="1">IF(OFFSET(PO!O$12,ROW(D74)-ROW(D$12),0)=0,"",OFFSET(PO!O$12,ROW(D74)-ROW(D$12),0))</f>
        <v/>
      </c>
      <c r="E74" s="140">
        <f ca="1">IF($A74&lt;&gt;"Serviço",0,ROUND(SUMIF($F$9:$P$9,"&lt;&gt;",$F74:$P74),15-13*PO!$X$3))</f>
        <v>0</v>
      </c>
      <c r="F74" s="361">
        <f ca="1">OFFSET(PO!$P$12,ROW($E74)-ROW(F$12),0)</f>
        <v>0</v>
      </c>
      <c r="G74" s="361"/>
      <c r="H74" s="361"/>
      <c r="I74" s="361"/>
      <c r="J74" s="361"/>
      <c r="K74" s="361"/>
      <c r="L74" s="361"/>
      <c r="M74" s="361"/>
      <c r="N74" s="361"/>
      <c r="O74" s="361"/>
      <c r="U74" s="182"/>
    </row>
    <row r="75" spans="1:21" s="1" customFormat="1" ht="26.4" x14ac:dyDescent="0.25">
      <c r="A75" s="110" t="str">
        <f ca="1">OFFSET(PO!J$12,ROW(A75)-ROW($A$12),0)</f>
        <v>Serviço</v>
      </c>
      <c r="B75" s="112" t="str">
        <f ca="1">IF($A75=0,"",OFFSET(PO!K$12,ROW(B75)-ROW(B$12),0))</f>
        <v>3.5.0.1.</v>
      </c>
      <c r="C75" s="109" t="str">
        <f ca="1">IF(OFFSET(PO!N$12,ROW(C75)-ROW(C$12),0)=0,"",OFFSET(PO!N$12,ROW(C75)-ROW(C$12),0))</f>
        <v>LASTRO DE CONCRETO MAGRO, APLICADO EM BLOCOS DE COROAMENTO OU SAPATAS, ESPESSURA DE 5 CM. AF_01/2024</v>
      </c>
      <c r="D75" s="111" t="str">
        <f ca="1">IF(OFFSET(PO!O$12,ROW(D75)-ROW(D$12),0)=0,"",OFFSET(PO!O$12,ROW(D75)-ROW(D$12),0))</f>
        <v>M2</v>
      </c>
      <c r="E75" s="140">
        <f ca="1">IF($A75&lt;&gt;"Serviço",0,ROUND(SUMIF($F$9:$P$9,"&lt;&gt;",$F75:$P75),15-13*PO!$X$3))</f>
        <v>13.25</v>
      </c>
      <c r="F75" s="361">
        <f ca="1">OFFSET(PO!$P$12,ROW($E75)-ROW(F$12),0)</f>
        <v>13.25</v>
      </c>
      <c r="G75" s="361"/>
      <c r="H75" s="361"/>
      <c r="I75" s="361"/>
      <c r="J75" s="361"/>
      <c r="K75" s="361"/>
      <c r="L75" s="361"/>
      <c r="M75" s="361"/>
      <c r="N75" s="361"/>
      <c r="O75" s="361"/>
      <c r="U75" s="182"/>
    </row>
    <row r="76" spans="1:21" s="1" customFormat="1" ht="39.6" x14ac:dyDescent="0.25">
      <c r="A76" s="110" t="str">
        <f ca="1">OFFSET(PO!J$12,ROW(A76)-ROW($A$12),0)</f>
        <v>Serviço</v>
      </c>
      <c r="B76" s="112" t="str">
        <f ca="1">IF($A76=0,"",OFFSET(PO!K$12,ROW(B76)-ROW(B$12),0))</f>
        <v>3.5.0.2.</v>
      </c>
      <c r="C76" s="109" t="str">
        <f ca="1">IF(OFFSET(PO!N$12,ROW(C76)-ROW(C$12),0)=0,"",OFFSET(PO!N$12,ROW(C76)-ROW(C$12),0))</f>
        <v>FABRICAÇÃO, MONTAGEM E DESMONTAGEM DE FÔRMA PARA VIGA BALDRAME, EM CHAPA DE MADEIRA COMPENSADA RESINADA, E=17 MM, 4 UTILIZAÇÕES. AF_01/2024</v>
      </c>
      <c r="D76" s="111" t="str">
        <f ca="1">IF(OFFSET(PO!O$12,ROW(D76)-ROW(D$12),0)=0,"",OFFSET(PO!O$12,ROW(D76)-ROW(D$12),0))</f>
        <v>M2</v>
      </c>
      <c r="E76" s="140">
        <f ca="1">IF($A76&lt;&gt;"Serviço",0,ROUND(SUMIF($F$9:$P$9,"&lt;&gt;",$F76:$P76),15-13*PO!$X$3))</f>
        <v>44.97</v>
      </c>
      <c r="F76" s="361">
        <f ca="1">OFFSET(PO!$P$12,ROW($E76)-ROW(F$12),0)</f>
        <v>44.97</v>
      </c>
      <c r="G76" s="361"/>
      <c r="H76" s="361"/>
      <c r="I76" s="361"/>
      <c r="J76" s="361"/>
      <c r="K76" s="361"/>
      <c r="L76" s="361"/>
      <c r="M76" s="361"/>
      <c r="N76" s="361"/>
      <c r="O76" s="361"/>
      <c r="U76" s="182"/>
    </row>
    <row r="77" spans="1:21" s="1" customFormat="1" ht="39.6" x14ac:dyDescent="0.25">
      <c r="A77" s="110" t="str">
        <f ca="1">OFFSET(PO!J$12,ROW(A77)-ROW($A$12),0)</f>
        <v>Serviço</v>
      </c>
      <c r="B77" s="112" t="str">
        <f ca="1">IF($A77=0,"",OFFSET(PO!K$12,ROW(B77)-ROW(B$12),0))</f>
        <v>3.5.0.3.</v>
      </c>
      <c r="C77" s="109" t="str">
        <f ca="1">IF(OFFSET(PO!N$12,ROW(C77)-ROW(C$12),0)=0,"",OFFSET(PO!N$12,ROW(C77)-ROW(C$12),0))</f>
        <v>ARMAÇÃO DE SAPATA ISOLADA, VIGA BALDRAME E SAPATA CORRIDA UTILIZANDO AÇO CA-50 DE 8 MM - MONTAGEM. AF_01/2024</v>
      </c>
      <c r="D77" s="111" t="str">
        <f ca="1">IF(OFFSET(PO!O$12,ROW(D77)-ROW(D$12),0)=0,"",OFFSET(PO!O$12,ROW(D77)-ROW(D$12),0))</f>
        <v>KG</v>
      </c>
      <c r="E77" s="140">
        <f ca="1">IF($A77&lt;&gt;"Serviço",0,ROUND(SUMIF($F$9:$P$9,"&lt;&gt;",$F77:$P77),15-13*PO!$X$3))</f>
        <v>84.2</v>
      </c>
      <c r="F77" s="361">
        <f ca="1">OFFSET(PO!$P$12,ROW($E77)-ROW(F$12),0)</f>
        <v>84.2</v>
      </c>
      <c r="G77" s="361"/>
      <c r="H77" s="361"/>
      <c r="I77" s="361"/>
      <c r="J77" s="361"/>
      <c r="K77" s="361"/>
      <c r="L77" s="361"/>
      <c r="M77" s="361"/>
      <c r="N77" s="361"/>
      <c r="O77" s="361"/>
      <c r="U77" s="182"/>
    </row>
    <row r="78" spans="1:21" s="1" customFormat="1" ht="39.6" x14ac:dyDescent="0.25">
      <c r="A78" s="110" t="str">
        <f ca="1">OFFSET(PO!J$12,ROW(A78)-ROW($A$12),0)</f>
        <v>Serviço</v>
      </c>
      <c r="B78" s="112" t="str">
        <f ca="1">IF($A78=0,"",OFFSET(PO!K$12,ROW(B78)-ROW(B$12),0))</f>
        <v>3.5.0.4.</v>
      </c>
      <c r="C78" s="109" t="str">
        <f ca="1">IF(OFFSET(PO!N$12,ROW(C78)-ROW(C$12),0)=0,"",OFFSET(PO!N$12,ROW(C78)-ROW(C$12),0))</f>
        <v>CONCRETAGEM DE BLOCO DE COROAMENTO OU VIGA BALDRAME, FCK 30 MPA, COM USO DE BOMBA - LANÇAMENTO, ADENSAMENTO E ACABAMENTO. AF_01/2024</v>
      </c>
      <c r="D78" s="111" t="str">
        <f ca="1">IF(OFFSET(PO!O$12,ROW(D78)-ROW(D$12),0)=0,"",OFFSET(PO!O$12,ROW(D78)-ROW(D$12),0))</f>
        <v>M3</v>
      </c>
      <c r="E78" s="140">
        <f ca="1">IF($A78&lt;&gt;"Serviço",0,ROUND(SUMIF($F$9:$P$9,"&lt;&gt;",$F78:$P78),15-13*PO!$X$3))</f>
        <v>3.64</v>
      </c>
      <c r="F78" s="361">
        <f ca="1">OFFSET(PO!$P$12,ROW($E78)-ROW(F$12),0)</f>
        <v>3.64</v>
      </c>
      <c r="G78" s="361"/>
      <c r="H78" s="361"/>
      <c r="I78" s="361"/>
      <c r="J78" s="361"/>
      <c r="K78" s="361"/>
      <c r="L78" s="361"/>
      <c r="M78" s="361"/>
      <c r="N78" s="361"/>
      <c r="O78" s="361"/>
      <c r="U78" s="182"/>
    </row>
    <row r="79" spans="1:21" s="1" customFormat="1" x14ac:dyDescent="0.25">
      <c r="A79" s="110" t="str">
        <f ca="1">OFFSET(PO!J$12,ROW(A79)-ROW($A$12),0)</f>
        <v>Meta</v>
      </c>
      <c r="B79" s="112" t="str">
        <f ca="1">IF($A79=0,"",OFFSET(PO!K$12,ROW(B79)-ROW(B$12),0))</f>
        <v>4.</v>
      </c>
      <c r="C79" s="109" t="str">
        <f ca="1">IF(OFFSET(PO!N$12,ROW(C79)-ROW(C$12),0)=0,"",OFFSET(PO!N$12,ROW(C79)-ROW(C$12),0))</f>
        <v>SUPERESTRUTURA</v>
      </c>
      <c r="D79" s="111" t="str">
        <f ca="1">IF(OFFSET(PO!O$12,ROW(D79)-ROW(D$12),0)=0,"",OFFSET(PO!O$12,ROW(D79)-ROW(D$12),0))</f>
        <v/>
      </c>
      <c r="E79" s="140">
        <f ca="1">IF($A79&lt;&gt;"Serviço",0,ROUND(SUMIF($F$9:$P$9,"&lt;&gt;",$F79:$P79),15-13*PO!$X$3))</f>
        <v>0</v>
      </c>
      <c r="F79" s="361">
        <f ca="1">OFFSET(PO!$P$12,ROW($E79)-ROW(F$12),0)</f>
        <v>0</v>
      </c>
      <c r="G79" s="361"/>
      <c r="H79" s="361"/>
      <c r="I79" s="361"/>
      <c r="J79" s="361"/>
      <c r="K79" s="361"/>
      <c r="L79" s="361"/>
      <c r="M79" s="361"/>
      <c r="N79" s="361"/>
      <c r="O79" s="361"/>
      <c r="U79" s="182"/>
    </row>
    <row r="80" spans="1:21" s="1" customFormat="1" x14ac:dyDescent="0.25">
      <c r="A80" s="110" t="str">
        <f ca="1">OFFSET(PO!J$12,ROW(A80)-ROW($A$12),0)</f>
        <v>Nível 2</v>
      </c>
      <c r="B80" s="112" t="str">
        <f ca="1">IF($A80=0,"",OFFSET(PO!K$12,ROW(B80)-ROW(B$12),0))</f>
        <v>4.1.</v>
      </c>
      <c r="C80" s="109" t="str">
        <f ca="1">IF(OFFSET(PO!N$12,ROW(C80)-ROW(C$12),0)=0,"",OFFSET(PO!N$12,ROW(C80)-ROW(C$12),0))</f>
        <v>CONCRETO ARMADO - PILARES</v>
      </c>
      <c r="D80" s="111" t="str">
        <f ca="1">IF(OFFSET(PO!O$12,ROW(D80)-ROW(D$12),0)=0,"",OFFSET(PO!O$12,ROW(D80)-ROW(D$12),0))</f>
        <v/>
      </c>
      <c r="E80" s="140">
        <f ca="1">IF($A80&lt;&gt;"Serviço",0,ROUND(SUMIF($F$9:$P$9,"&lt;&gt;",$F80:$P80),15-13*PO!$X$3))</f>
        <v>0</v>
      </c>
      <c r="F80" s="361">
        <f ca="1">OFFSET(PO!$P$12,ROW($E80)-ROW(F$12),0)</f>
        <v>0</v>
      </c>
      <c r="G80" s="361"/>
      <c r="H80" s="361"/>
      <c r="I80" s="361"/>
      <c r="J80" s="361"/>
      <c r="K80" s="361"/>
      <c r="L80" s="361"/>
      <c r="M80" s="361"/>
      <c r="N80" s="361"/>
      <c r="O80" s="361"/>
      <c r="U80" s="182"/>
    </row>
    <row r="81" spans="1:21" s="1" customFormat="1" ht="52.8" x14ac:dyDescent="0.25">
      <c r="A81" s="110" t="str">
        <f ca="1">OFFSET(PO!J$12,ROW(A81)-ROW($A$12),0)</f>
        <v>Serviço</v>
      </c>
      <c r="B81" s="112" t="str">
        <f ca="1">IF($A81=0,"",OFFSET(PO!K$12,ROW(B81)-ROW(B$12),0))</f>
        <v>4.1.0.1.</v>
      </c>
      <c r="C81" s="109" t="str">
        <f ca="1">IF(OFFSET(PO!N$12,ROW(C81)-ROW(C$12),0)=0,"",OFFSET(PO!N$12,ROW(C81)-ROW(C$12),0))</f>
        <v>MONTAGEM E DESMONTAGEM DE FÔRMA DE PILARES RETANGULARES E ESTRUTURAS SIMILARES, PÉ-DIREITO SIMPLES, EM CHAPA DE MADEIRA COMPENSADA PLASTIFICADA, 18 UTILIZAÇÕES. AF_09/2020</v>
      </c>
      <c r="D81" s="111" t="str">
        <f ca="1">IF(OFFSET(PO!O$12,ROW(D81)-ROW(D$12),0)=0,"",OFFSET(PO!O$12,ROW(D81)-ROW(D$12),0))</f>
        <v>M2</v>
      </c>
      <c r="E81" s="140">
        <f ca="1">IF($A81&lt;&gt;"Serviço",0,ROUND(SUMIF($F$9:$P$9,"&lt;&gt;",$F81:$P81),15-13*PO!$X$3))</f>
        <v>333.34</v>
      </c>
      <c r="F81" s="361">
        <f ca="1">OFFSET(PO!$P$12,ROW($E81)-ROW(F$12),0)</f>
        <v>333.34</v>
      </c>
      <c r="G81" s="361"/>
      <c r="H81" s="361"/>
      <c r="I81" s="361"/>
      <c r="J81" s="361"/>
      <c r="K81" s="361"/>
      <c r="L81" s="361"/>
      <c r="M81" s="361"/>
      <c r="N81" s="361"/>
      <c r="O81" s="361"/>
      <c r="U81" s="182"/>
    </row>
    <row r="82" spans="1:21" s="1" customFormat="1" ht="39.6" x14ac:dyDescent="0.25">
      <c r="A82" s="110" t="str">
        <f ca="1">OFFSET(PO!J$12,ROW(A82)-ROW($A$12),0)</f>
        <v>Serviço</v>
      </c>
      <c r="B82" s="112" t="str">
        <f ca="1">IF($A82=0,"",OFFSET(PO!K$12,ROW(B82)-ROW(B$12),0))</f>
        <v>4.1.0.2.</v>
      </c>
      <c r="C82" s="109" t="str">
        <f ca="1">IF(OFFSET(PO!N$12,ROW(C82)-ROW(C$12),0)=0,"",OFFSET(PO!N$12,ROW(C82)-ROW(C$12),0))</f>
        <v>ARMAÇÃO DE PILAR OU VIGA DE ESTRUTURA CONVENCIONAL DE CONCRETO ARMADO UTILIZANDO AÇO CA-50 DE 10,0 MM - MONTAGEM. AF_06/2022</v>
      </c>
      <c r="D82" s="111" t="str">
        <f ca="1">IF(OFFSET(PO!O$12,ROW(D82)-ROW(D$12),0)=0,"",OFFSET(PO!O$12,ROW(D82)-ROW(D$12),0))</f>
        <v>KG</v>
      </c>
      <c r="E82" s="140">
        <f ca="1">IF($A82&lt;&gt;"Serviço",0,ROUND(SUMIF($F$9:$P$9,"&lt;&gt;",$F82:$P82),15-13*PO!$X$3))</f>
        <v>839.33</v>
      </c>
      <c r="F82" s="361">
        <f ca="1">OFFSET(PO!$P$12,ROW($E82)-ROW(F$12),0)</f>
        <v>839.33</v>
      </c>
      <c r="G82" s="361"/>
      <c r="H82" s="361"/>
      <c r="I82" s="361"/>
      <c r="J82" s="361"/>
      <c r="K82" s="361"/>
      <c r="L82" s="361"/>
      <c r="M82" s="361"/>
      <c r="N82" s="361"/>
      <c r="O82" s="361"/>
      <c r="U82" s="182"/>
    </row>
    <row r="83" spans="1:21" s="1" customFormat="1" ht="39.6" x14ac:dyDescent="0.25">
      <c r="A83" s="110" t="str">
        <f ca="1">OFFSET(PO!J$12,ROW(A83)-ROW($A$12),0)</f>
        <v>Serviço</v>
      </c>
      <c r="B83" s="112" t="str">
        <f ca="1">IF($A83=0,"",OFFSET(PO!K$12,ROW(B83)-ROW(B$12),0))</f>
        <v>4.1.0.3.</v>
      </c>
      <c r="C83" s="109" t="str">
        <f ca="1">IF(OFFSET(PO!N$12,ROW(C83)-ROW(C$12),0)=0,"",OFFSET(PO!N$12,ROW(C83)-ROW(C$12),0))</f>
        <v>ARMAÇÃO DE PILAR OU VIGA DE ESTRUTURA CONVENCIONAL DE CONCRETO ARMADO UTILIZANDO AÇO CA-50 DE 12,5 MM - MONTAGEM. AF_06/2022</v>
      </c>
      <c r="D83" s="111" t="str">
        <f ca="1">IF(OFFSET(PO!O$12,ROW(D83)-ROW(D$12),0)=0,"",OFFSET(PO!O$12,ROW(D83)-ROW(D$12),0))</f>
        <v>KG</v>
      </c>
      <c r="E83" s="140">
        <f ca="1">IF($A83&lt;&gt;"Serviço",0,ROUND(SUMIF($F$9:$P$9,"&lt;&gt;",$F83:$P83),15-13*PO!$X$3))</f>
        <v>312.88</v>
      </c>
      <c r="F83" s="361">
        <f ca="1">OFFSET(PO!$P$12,ROW($E83)-ROW(F$12),0)</f>
        <v>312.88</v>
      </c>
      <c r="G83" s="361"/>
      <c r="H83" s="361"/>
      <c r="I83" s="361"/>
      <c r="J83" s="361"/>
      <c r="K83" s="361"/>
      <c r="L83" s="361"/>
      <c r="M83" s="361"/>
      <c r="N83" s="361"/>
      <c r="O83" s="361"/>
      <c r="U83" s="182"/>
    </row>
    <row r="84" spans="1:21" s="1" customFormat="1" ht="39.6" x14ac:dyDescent="0.25">
      <c r="A84" s="110" t="str">
        <f ca="1">OFFSET(PO!J$12,ROW(A84)-ROW($A$12),0)</f>
        <v>Serviço</v>
      </c>
      <c r="B84" s="112" t="str">
        <f ca="1">IF($A84=0,"",OFFSET(PO!K$12,ROW(B84)-ROW(B$12),0))</f>
        <v>4.1.0.4.</v>
      </c>
      <c r="C84" s="109" t="str">
        <f ca="1">IF(OFFSET(PO!N$12,ROW(C84)-ROW(C$12),0)=0,"",OFFSET(PO!N$12,ROW(C84)-ROW(C$12),0))</f>
        <v>ARMAÇÃO DE PILAR OU VIGA DE ESTRUTURA CONVENCIONAL DE CONCRETO ARMADO UTILIZANDO AÇO CA-60 DE 5,0 MM - MONTAGEM. AF_06/2022</v>
      </c>
      <c r="D84" s="111" t="str">
        <f ca="1">IF(OFFSET(PO!O$12,ROW(D84)-ROW(D$12),0)=0,"",OFFSET(PO!O$12,ROW(D84)-ROW(D$12),0))</f>
        <v>KG</v>
      </c>
      <c r="E84" s="140">
        <f ca="1">IF($A84&lt;&gt;"Serviço",0,ROUND(SUMIF($F$9:$P$9,"&lt;&gt;",$F84:$P84),15-13*PO!$X$3))</f>
        <v>450.22</v>
      </c>
      <c r="F84" s="361">
        <f ca="1">OFFSET(PO!$P$12,ROW($E84)-ROW(F$12),0)</f>
        <v>450.22</v>
      </c>
      <c r="G84" s="361"/>
      <c r="H84" s="361"/>
      <c r="I84" s="361"/>
      <c r="J84" s="361"/>
      <c r="K84" s="361"/>
      <c r="L84" s="361"/>
      <c r="M84" s="361"/>
      <c r="N84" s="361"/>
      <c r="O84" s="361"/>
      <c r="U84" s="182"/>
    </row>
    <row r="85" spans="1:21" s="1" customFormat="1" ht="39.6" x14ac:dyDescent="0.25">
      <c r="A85" s="110" t="str">
        <f ca="1">OFFSET(PO!J$12,ROW(A85)-ROW($A$12),0)</f>
        <v>Serviço</v>
      </c>
      <c r="B85" s="112" t="str">
        <f ca="1">IF($A85=0,"",OFFSET(PO!K$12,ROW(B85)-ROW(B$12),0))</f>
        <v>4.1.0.5.</v>
      </c>
      <c r="C85" s="109" t="str">
        <f ca="1">IF(OFFSET(PO!N$12,ROW(C85)-ROW(C$12),0)=0,"",OFFSET(PO!N$12,ROW(C85)-ROW(C$12),0))</f>
        <v>CONCRETAGEM DE PILARES, FCK = 25 MPA, COM USO DE BOMBA - LANÇAMENTO, ADENSAMENTO E ACABAMENTO. AF_02/2022_PS</v>
      </c>
      <c r="D85" s="111" t="str">
        <f ca="1">IF(OFFSET(PO!O$12,ROW(D85)-ROW(D$12),0)=0,"",OFFSET(PO!O$12,ROW(D85)-ROW(D$12),0))</f>
        <v>M3</v>
      </c>
      <c r="E85" s="140">
        <f ca="1">IF($A85&lt;&gt;"Serviço",0,ROUND(SUMIF($F$9:$P$9,"&lt;&gt;",$F85:$P85),15-13*PO!$X$3))</f>
        <v>18.25</v>
      </c>
      <c r="F85" s="361">
        <f ca="1">OFFSET(PO!$P$12,ROW($E85)-ROW(F$12),0)</f>
        <v>18.25</v>
      </c>
      <c r="G85" s="361"/>
      <c r="H85" s="361"/>
      <c r="I85" s="361"/>
      <c r="J85" s="361"/>
      <c r="K85" s="361"/>
      <c r="L85" s="361"/>
      <c r="M85" s="361"/>
      <c r="N85" s="361"/>
      <c r="O85" s="361"/>
      <c r="U85" s="182"/>
    </row>
    <row r="86" spans="1:21" s="1" customFormat="1" x14ac:dyDescent="0.25">
      <c r="A86" s="110" t="str">
        <f ca="1">OFFSET(PO!J$12,ROW(A86)-ROW($A$12),0)</f>
        <v>Nível 2</v>
      </c>
      <c r="B86" s="112" t="str">
        <f ca="1">IF($A86=0,"",OFFSET(PO!K$12,ROW(B86)-ROW(B$12),0))</f>
        <v>4.2.</v>
      </c>
      <c r="C86" s="109" t="str">
        <f ca="1">IF(OFFSET(PO!N$12,ROW(C86)-ROW(C$12),0)=0,"",OFFSET(PO!N$12,ROW(C86)-ROW(C$12),0))</f>
        <v xml:space="preserve">CONCRETO ARMADO - VIGAS  </v>
      </c>
      <c r="D86" s="111" t="str">
        <f ca="1">IF(OFFSET(PO!O$12,ROW(D86)-ROW(D$12),0)=0,"",OFFSET(PO!O$12,ROW(D86)-ROW(D$12),0))</f>
        <v/>
      </c>
      <c r="E86" s="140">
        <f ca="1">IF($A86&lt;&gt;"Serviço",0,ROUND(SUMIF($F$9:$P$9,"&lt;&gt;",$F86:$P86),15-13*PO!$X$3))</f>
        <v>0</v>
      </c>
      <c r="F86" s="361">
        <f ca="1">OFFSET(PO!$P$12,ROW($E86)-ROW(F$12),0)</f>
        <v>0</v>
      </c>
      <c r="G86" s="361"/>
      <c r="H86" s="361"/>
      <c r="I86" s="361"/>
      <c r="J86" s="361"/>
      <c r="K86" s="361"/>
      <c r="L86" s="361"/>
      <c r="M86" s="361"/>
      <c r="N86" s="361"/>
      <c r="O86" s="361"/>
      <c r="U86" s="182"/>
    </row>
    <row r="87" spans="1:21" s="1" customFormat="1" ht="52.8" x14ac:dyDescent="0.25">
      <c r="A87" s="110" t="str">
        <f ca="1">OFFSET(PO!J$12,ROW(A87)-ROW($A$12),0)</f>
        <v>Serviço</v>
      </c>
      <c r="B87" s="112" t="str">
        <f ca="1">IF($A87=0,"",OFFSET(PO!K$12,ROW(B87)-ROW(B$12),0))</f>
        <v>4.2.0.1.</v>
      </c>
      <c r="C87" s="109" t="str">
        <f ca="1">IF(OFFSET(PO!N$12,ROW(C87)-ROW(C$12),0)=0,"",OFFSET(PO!N$12,ROW(C87)-ROW(C$12),0))</f>
        <v>MONTAGEM E DESMONTAGEM DE FÔRMA DE PILARES RETANGULARES E ESTRUTURAS SIMILARES, PÉ-DIREITO SIMPLES, EM CHAPA DE MADEIRA COMPENSADA PLASTIFICADA, 18 UTILIZAÇÕES. AF_09/2020</v>
      </c>
      <c r="D87" s="111" t="str">
        <f ca="1">IF(OFFSET(PO!O$12,ROW(D87)-ROW(D$12),0)=0,"",OFFSET(PO!O$12,ROW(D87)-ROW(D$12),0))</f>
        <v>M2</v>
      </c>
      <c r="E87" s="140">
        <f ca="1">IF($A87&lt;&gt;"Serviço",0,ROUND(SUMIF($F$9:$P$9,"&lt;&gt;",$F87:$P87),15-13*PO!$X$3))</f>
        <v>344.1</v>
      </c>
      <c r="F87" s="361">
        <f ca="1">OFFSET(PO!$P$12,ROW($E87)-ROW(F$12),0)</f>
        <v>344.1</v>
      </c>
      <c r="G87" s="361"/>
      <c r="H87" s="361"/>
      <c r="I87" s="361"/>
      <c r="J87" s="361"/>
      <c r="K87" s="361"/>
      <c r="L87" s="361"/>
      <c r="M87" s="361"/>
      <c r="N87" s="361"/>
      <c r="O87" s="361"/>
      <c r="U87" s="182"/>
    </row>
    <row r="88" spans="1:21" s="1" customFormat="1" ht="39.6" x14ac:dyDescent="0.25">
      <c r="A88" s="110" t="str">
        <f ca="1">OFFSET(PO!J$12,ROW(A88)-ROW($A$12),0)</f>
        <v>Serviço</v>
      </c>
      <c r="B88" s="112" t="str">
        <f ca="1">IF($A88=0,"",OFFSET(PO!K$12,ROW(B88)-ROW(B$12),0))</f>
        <v>4.2.0.2.</v>
      </c>
      <c r="C88" s="109" t="str">
        <f ca="1">IF(OFFSET(PO!N$12,ROW(C88)-ROW(C$12),0)=0,"",OFFSET(PO!N$12,ROW(C88)-ROW(C$12),0))</f>
        <v>ARMAÇÃO DE PILAR OU VIGA DE ESTRUTURA CONVENCIONAL DE CONCRETO ARMADO UTILIZANDO AÇO CA-50 DE 8,0 MM - MONTAGEM. AF_06/2022</v>
      </c>
      <c r="D88" s="111" t="str">
        <f ca="1">IF(OFFSET(PO!O$12,ROW(D88)-ROW(D$12),0)=0,"",OFFSET(PO!O$12,ROW(D88)-ROW(D$12),0))</f>
        <v>KG</v>
      </c>
      <c r="E88" s="140">
        <f ca="1">IF($A88&lt;&gt;"Serviço",0,ROUND(SUMIF($F$9:$P$9,"&lt;&gt;",$F88:$P88),15-13*PO!$X$3))</f>
        <v>675.91</v>
      </c>
      <c r="F88" s="361">
        <f ca="1">OFFSET(PO!$P$12,ROW($E88)-ROW(F$12),0)</f>
        <v>675.91</v>
      </c>
      <c r="G88" s="361"/>
      <c r="H88" s="361"/>
      <c r="I88" s="361"/>
      <c r="J88" s="361"/>
      <c r="K88" s="361"/>
      <c r="L88" s="361"/>
      <c r="M88" s="361"/>
      <c r="N88" s="361"/>
      <c r="O88" s="361"/>
      <c r="U88" s="182"/>
    </row>
    <row r="89" spans="1:21" s="1" customFormat="1" ht="39.6" x14ac:dyDescent="0.25">
      <c r="A89" s="110" t="str">
        <f ca="1">OFFSET(PO!J$12,ROW(A89)-ROW($A$12),0)</f>
        <v>Serviço</v>
      </c>
      <c r="B89" s="112" t="str">
        <f ca="1">IF($A89=0,"",OFFSET(PO!K$12,ROW(B89)-ROW(B$12),0))</f>
        <v>4.2.0.3.</v>
      </c>
      <c r="C89" s="109" t="str">
        <f ca="1">IF(OFFSET(PO!N$12,ROW(C89)-ROW(C$12),0)=0,"",OFFSET(PO!N$12,ROW(C89)-ROW(C$12),0))</f>
        <v>ARMAÇÃO DE PILAR OU VIGA DE ESTRUTURA CONVENCIONAL DE CONCRETO ARMADO UTILIZANDO AÇO CA-50 DE 10,0 MM - MONTAGEM. AF_06/2022</v>
      </c>
      <c r="D89" s="111" t="str">
        <f ca="1">IF(OFFSET(PO!O$12,ROW(D89)-ROW(D$12),0)=0,"",OFFSET(PO!O$12,ROW(D89)-ROW(D$12),0))</f>
        <v>KG</v>
      </c>
      <c r="E89" s="140">
        <f ca="1">IF($A89&lt;&gt;"Serviço",0,ROUND(SUMIF($F$9:$P$9,"&lt;&gt;",$F89:$P89),15-13*PO!$X$3))</f>
        <v>9.64</v>
      </c>
      <c r="F89" s="361">
        <f ca="1">OFFSET(PO!$P$12,ROW($E89)-ROW(F$12),0)</f>
        <v>9.64</v>
      </c>
      <c r="G89" s="361"/>
      <c r="H89" s="361"/>
      <c r="I89" s="361"/>
      <c r="J89" s="361"/>
      <c r="K89" s="361"/>
      <c r="L89" s="361"/>
      <c r="M89" s="361"/>
      <c r="N89" s="361"/>
      <c r="O89" s="361"/>
      <c r="U89" s="182"/>
    </row>
    <row r="90" spans="1:21" s="1" customFormat="1" ht="39.6" x14ac:dyDescent="0.25">
      <c r="A90" s="110" t="str">
        <f ca="1">OFFSET(PO!J$12,ROW(A90)-ROW($A$12),0)</f>
        <v>Serviço</v>
      </c>
      <c r="B90" s="112" t="str">
        <f ca="1">IF($A90=0,"",OFFSET(PO!K$12,ROW(B90)-ROW(B$12),0))</f>
        <v>4.2.0.4.</v>
      </c>
      <c r="C90" s="109" t="str">
        <f ca="1">IF(OFFSET(PO!N$12,ROW(C90)-ROW(C$12),0)=0,"",OFFSET(PO!N$12,ROW(C90)-ROW(C$12),0))</f>
        <v>ARMAÇÃO DE PILAR OU VIGA DE ESTRUTURA CONVENCIONAL DE CONCRETO ARMADO UTILIZANDO AÇO CA-60 DE 5,0 MM - MONTAGEM. AF_06/2022</v>
      </c>
      <c r="D90" s="111" t="str">
        <f ca="1">IF(OFFSET(PO!O$12,ROW(D90)-ROW(D$12),0)=0,"",OFFSET(PO!O$12,ROW(D90)-ROW(D$12),0))</f>
        <v>KG</v>
      </c>
      <c r="E90" s="140">
        <f ca="1">IF($A90&lt;&gt;"Serviço",0,ROUND(SUMIF($F$9:$P$9,"&lt;&gt;",$F90:$P90),15-13*PO!$X$3))</f>
        <v>365.31</v>
      </c>
      <c r="F90" s="361">
        <f ca="1">OFFSET(PO!$P$12,ROW($E90)-ROW(F$12),0)</f>
        <v>365.31</v>
      </c>
      <c r="G90" s="361"/>
      <c r="H90" s="361"/>
      <c r="I90" s="361"/>
      <c r="J90" s="361"/>
      <c r="K90" s="361"/>
      <c r="L90" s="361"/>
      <c r="M90" s="361"/>
      <c r="N90" s="361"/>
      <c r="O90" s="361"/>
      <c r="U90" s="182"/>
    </row>
    <row r="91" spans="1:21" s="1" customFormat="1" ht="39.6" x14ac:dyDescent="0.25">
      <c r="A91" s="110" t="str">
        <f ca="1">OFFSET(PO!J$12,ROW(A91)-ROW($A$12),0)</f>
        <v>Serviço</v>
      </c>
      <c r="B91" s="112" t="str">
        <f ca="1">IF($A91=0,"",OFFSET(PO!K$12,ROW(B91)-ROW(B$12),0))</f>
        <v>4.2.0.5.</v>
      </c>
      <c r="C91" s="109" t="str">
        <f ca="1">IF(OFFSET(PO!N$12,ROW(C91)-ROW(C$12),0)=0,"",OFFSET(PO!N$12,ROW(C91)-ROW(C$12),0))</f>
        <v>CONCRETAGEM DE VIGAS E LAJES, FCK=25 MPA, PARA LAJES MACIÇAS OU NERVURADAS COM USO DE BOMBA - LANÇAMENTO, ADENSAMENTO E ACABAMENTO. AF_02/2022_PS</v>
      </c>
      <c r="D91" s="111" t="str">
        <f ca="1">IF(OFFSET(PO!O$12,ROW(D91)-ROW(D$12),0)=0,"",OFFSET(PO!O$12,ROW(D91)-ROW(D$12),0))</f>
        <v>M3</v>
      </c>
      <c r="E91" s="140">
        <f ca="1">IF($A91&lt;&gt;"Serviço",0,ROUND(SUMIF($F$9:$P$9,"&lt;&gt;",$F91:$P91),15-13*PO!$X$3))</f>
        <v>24.55</v>
      </c>
      <c r="F91" s="361">
        <f ca="1">OFFSET(PO!$P$12,ROW($E91)-ROW(F$12),0)</f>
        <v>24.55</v>
      </c>
      <c r="G91" s="361"/>
      <c r="H91" s="361"/>
      <c r="I91" s="361"/>
      <c r="J91" s="361"/>
      <c r="K91" s="361"/>
      <c r="L91" s="361"/>
      <c r="M91" s="361"/>
      <c r="N91" s="361"/>
      <c r="O91" s="361"/>
      <c r="U91" s="182"/>
    </row>
    <row r="92" spans="1:21" s="1" customFormat="1" x14ac:dyDescent="0.25">
      <c r="A92" s="110" t="str">
        <f ca="1">OFFSET(PO!J$12,ROW(A92)-ROW($A$12),0)</f>
        <v>Nível 2</v>
      </c>
      <c r="B92" s="112" t="str">
        <f ca="1">IF($A92=0,"",OFFSET(PO!K$12,ROW(B92)-ROW(B$12),0))</f>
        <v>4.3.</v>
      </c>
      <c r="C92" s="109" t="str">
        <f ca="1">IF(OFFSET(PO!N$12,ROW(C92)-ROW(C$12),0)=0,"",OFFSET(PO!N$12,ROW(C92)-ROW(C$12),0))</f>
        <v>CONCRETO ARMADO PARA VERGAS</v>
      </c>
      <c r="D92" s="111" t="str">
        <f ca="1">IF(OFFSET(PO!O$12,ROW(D92)-ROW(D$12),0)=0,"",OFFSET(PO!O$12,ROW(D92)-ROW(D$12),0))</f>
        <v/>
      </c>
      <c r="E92" s="140">
        <f ca="1">IF($A92&lt;&gt;"Serviço",0,ROUND(SUMIF($F$9:$P$9,"&lt;&gt;",$F92:$P92),15-13*PO!$X$3))</f>
        <v>0</v>
      </c>
      <c r="F92" s="361">
        <f ca="1">OFFSET(PO!$P$12,ROW($E92)-ROW(F$12),0)</f>
        <v>0</v>
      </c>
      <c r="G92" s="361"/>
      <c r="H92" s="361"/>
      <c r="I92" s="361"/>
      <c r="J92" s="361"/>
      <c r="K92" s="361"/>
      <c r="L92" s="361"/>
      <c r="M92" s="361"/>
      <c r="N92" s="361"/>
      <c r="O92" s="361"/>
      <c r="U92" s="182"/>
    </row>
    <row r="93" spans="1:21" s="1" customFormat="1" ht="26.4" x14ac:dyDescent="0.25">
      <c r="A93" s="110" t="str">
        <f ca="1">OFFSET(PO!J$12,ROW(A93)-ROW($A$12),0)</f>
        <v>Serviço</v>
      </c>
      <c r="B93" s="112" t="str">
        <f ca="1">IF($A93=0,"",OFFSET(PO!K$12,ROW(B93)-ROW(B$12),0))</f>
        <v>4.3.0.1.</v>
      </c>
      <c r="C93" s="109" t="str">
        <f ca="1">IF(OFFSET(PO!N$12,ROW(C93)-ROW(C$12),0)=0,"",OFFSET(PO!N$12,ROW(C93)-ROW(C$12),0))</f>
        <v>VERGA PRÉ-MOLDADA COM ATÉ 1,5 M DE VÃO, ESPESSURA DE *20* CM. AF_03/2024</v>
      </c>
      <c r="D93" s="111" t="str">
        <f ca="1">IF(OFFSET(PO!O$12,ROW(D93)-ROW(D$12),0)=0,"",OFFSET(PO!O$12,ROW(D93)-ROW(D$12),0))</f>
        <v>M</v>
      </c>
      <c r="E93" s="140">
        <f ca="1">IF($A93&lt;&gt;"Serviço",0,ROUND(SUMIF($F$9:$P$9,"&lt;&gt;",$F93:$P93),15-13*PO!$X$3))</f>
        <v>124.12</v>
      </c>
      <c r="F93" s="361">
        <f ca="1">OFFSET(PO!$P$12,ROW($E93)-ROW(F$12),0)</f>
        <v>124.12</v>
      </c>
      <c r="G93" s="361"/>
      <c r="H93" s="361"/>
      <c r="I93" s="361"/>
      <c r="J93" s="361"/>
      <c r="K93" s="361"/>
      <c r="L93" s="361"/>
      <c r="M93" s="361"/>
      <c r="N93" s="361"/>
      <c r="O93" s="361"/>
      <c r="U93" s="182"/>
    </row>
    <row r="94" spans="1:21" s="1" customFormat="1" x14ac:dyDescent="0.25">
      <c r="A94" s="110" t="str">
        <f ca="1">OFFSET(PO!J$12,ROW(A94)-ROW($A$12),0)</f>
        <v>Nível 2</v>
      </c>
      <c r="B94" s="112" t="str">
        <f ca="1">IF($A94=0,"",OFFSET(PO!K$12,ROW(B94)-ROW(B$12),0))</f>
        <v>4.4.</v>
      </c>
      <c r="C94" s="109" t="str">
        <f ca="1">IF(OFFSET(PO!N$12,ROW(C94)-ROW(C$12),0)=0,"",OFFSET(PO!N$12,ROW(C94)-ROW(C$12),0))</f>
        <v>CONCRETO ARMADO - MURETA - PILARES</v>
      </c>
      <c r="D94" s="111" t="str">
        <f ca="1">IF(OFFSET(PO!O$12,ROW(D94)-ROW(D$12),0)=0,"",OFFSET(PO!O$12,ROW(D94)-ROW(D$12),0))</f>
        <v/>
      </c>
      <c r="E94" s="140">
        <f ca="1">IF($A94&lt;&gt;"Serviço",0,ROUND(SUMIF($F$9:$P$9,"&lt;&gt;",$F94:$P94),15-13*PO!$X$3))</f>
        <v>0</v>
      </c>
      <c r="F94" s="361">
        <f ca="1">OFFSET(PO!$P$12,ROW($E94)-ROW(F$12),0)</f>
        <v>0</v>
      </c>
      <c r="G94" s="361"/>
      <c r="H94" s="361"/>
      <c r="I94" s="361"/>
      <c r="J94" s="361"/>
      <c r="K94" s="361"/>
      <c r="L94" s="361"/>
      <c r="M94" s="361"/>
      <c r="N94" s="361"/>
      <c r="O94" s="361"/>
      <c r="U94" s="182"/>
    </row>
    <row r="95" spans="1:21" s="1" customFormat="1" ht="52.8" x14ac:dyDescent="0.25">
      <c r="A95" s="110" t="str">
        <f ca="1">OFFSET(PO!J$12,ROW(A95)-ROW($A$12),0)</f>
        <v>Serviço</v>
      </c>
      <c r="B95" s="112" t="str">
        <f ca="1">IF($A95=0,"",OFFSET(PO!K$12,ROW(B95)-ROW(B$12),0))</f>
        <v>4.4.0.1.</v>
      </c>
      <c r="C95" s="109" t="str">
        <f ca="1">IF(OFFSET(PO!N$12,ROW(C95)-ROW(C$12),0)=0,"",OFFSET(PO!N$12,ROW(C95)-ROW(C$12),0))</f>
        <v>MONTAGEM E DESMONTAGEM DE FÔRMA DE PILARES RETANGULARES E ESTRUTURAS SIMILARES, PÉ-DIREITO SIMPLES, EM CHAPA DE MADEIRA COMPENSADA PLASTIFICADA, 18 UTILIZAÇÕES. AF_09/2020</v>
      </c>
      <c r="D95" s="111" t="str">
        <f ca="1">IF(OFFSET(PO!O$12,ROW(D95)-ROW(D$12),0)=0,"",OFFSET(PO!O$12,ROW(D95)-ROW(D$12),0))</f>
        <v>M2</v>
      </c>
      <c r="E95" s="140">
        <f ca="1">IF($A95&lt;&gt;"Serviço",0,ROUND(SUMIF($F$9:$P$9,"&lt;&gt;",$F95:$P95),15-13*PO!$X$3))</f>
        <v>157.02000000000001</v>
      </c>
      <c r="F95" s="361">
        <f ca="1">OFFSET(PO!$P$12,ROW($E95)-ROW(F$12),0)</f>
        <v>157.02000000000001</v>
      </c>
      <c r="G95" s="361"/>
      <c r="H95" s="361"/>
      <c r="I95" s="361"/>
      <c r="J95" s="361"/>
      <c r="K95" s="361"/>
      <c r="L95" s="361"/>
      <c r="M95" s="361"/>
      <c r="N95" s="361"/>
      <c r="O95" s="361"/>
      <c r="U95" s="182"/>
    </row>
    <row r="96" spans="1:21" s="1" customFormat="1" ht="39.6" x14ac:dyDescent="0.25">
      <c r="A96" s="110" t="str">
        <f ca="1">OFFSET(PO!J$12,ROW(A96)-ROW($A$12),0)</f>
        <v>Serviço</v>
      </c>
      <c r="B96" s="112" t="str">
        <f ca="1">IF($A96=0,"",OFFSET(PO!K$12,ROW(B96)-ROW(B$12),0))</f>
        <v>4.4.0.2.</v>
      </c>
      <c r="C96" s="109" t="str">
        <f ca="1">IF(OFFSET(PO!N$12,ROW(C96)-ROW(C$12),0)=0,"",OFFSET(PO!N$12,ROW(C96)-ROW(C$12),0))</f>
        <v>ARMAÇÃO DE PILAR OU VIGA DE ESTRUTURA CONVENCIONAL DE CONCRETO ARMADO UTILIZANDO AÇO CA-50 DE 8,0 MM - MONTAGEM. AF_06/2022</v>
      </c>
      <c r="D96" s="111" t="str">
        <f ca="1">IF(OFFSET(PO!O$12,ROW(D96)-ROW(D$12),0)=0,"",OFFSET(PO!O$12,ROW(D96)-ROW(D$12),0))</f>
        <v>KG</v>
      </c>
      <c r="E96" s="140">
        <f ca="1">IF($A96&lt;&gt;"Serviço",0,ROUND(SUMIF($F$9:$P$9,"&lt;&gt;",$F96:$P96),15-13*PO!$X$3))</f>
        <v>383.14</v>
      </c>
      <c r="F96" s="361">
        <f ca="1">OFFSET(PO!$P$12,ROW($E96)-ROW(F$12),0)</f>
        <v>383.14</v>
      </c>
      <c r="G96" s="361"/>
      <c r="H96" s="361"/>
      <c r="I96" s="361"/>
      <c r="J96" s="361"/>
      <c r="K96" s="361"/>
      <c r="L96" s="361"/>
      <c r="M96" s="361"/>
      <c r="N96" s="361"/>
      <c r="O96" s="361"/>
      <c r="U96" s="182"/>
    </row>
    <row r="97" spans="1:21" s="1" customFormat="1" ht="39.6" x14ac:dyDescent="0.25">
      <c r="A97" s="110" t="str">
        <f ca="1">OFFSET(PO!J$12,ROW(A97)-ROW($A$12),0)</f>
        <v>Serviço</v>
      </c>
      <c r="B97" s="112" t="str">
        <f ca="1">IF($A97=0,"",OFFSET(PO!K$12,ROW(B97)-ROW(B$12),0))</f>
        <v>4.4.0.3.</v>
      </c>
      <c r="C97" s="109" t="str">
        <f ca="1">IF(OFFSET(PO!N$12,ROW(C97)-ROW(C$12),0)=0,"",OFFSET(PO!N$12,ROW(C97)-ROW(C$12),0))</f>
        <v>ARMAÇÃO DE PILAR OU VIGA DE ESTRUTURA CONVENCIONAL DE CONCRETO ARMADO UTILIZANDO AÇO CA-60 DE 5,0 MM - MONTAGEM. AF_06/2022</v>
      </c>
      <c r="D97" s="111" t="str">
        <f ca="1">IF(OFFSET(PO!O$12,ROW(D97)-ROW(D$12),0)=0,"",OFFSET(PO!O$12,ROW(D97)-ROW(D$12),0))</f>
        <v>KG</v>
      </c>
      <c r="E97" s="140">
        <f ca="1">IF($A97&lt;&gt;"Serviço",0,ROUND(SUMIF($F$9:$P$9,"&lt;&gt;",$F97:$P97),15-13*PO!$X$3))</f>
        <v>119.16</v>
      </c>
      <c r="F97" s="361">
        <f ca="1">OFFSET(PO!$P$12,ROW($E97)-ROW(F$12),0)</f>
        <v>119.16</v>
      </c>
      <c r="G97" s="361"/>
      <c r="H97" s="361"/>
      <c r="I97" s="361"/>
      <c r="J97" s="361"/>
      <c r="K97" s="361"/>
      <c r="L97" s="361"/>
      <c r="M97" s="361"/>
      <c r="N97" s="361"/>
      <c r="O97" s="361"/>
      <c r="U97" s="182"/>
    </row>
    <row r="98" spans="1:21" s="1" customFormat="1" ht="39.6" x14ac:dyDescent="0.25">
      <c r="A98" s="110" t="str">
        <f ca="1">OFFSET(PO!J$12,ROW(A98)-ROW($A$12),0)</f>
        <v>Serviço</v>
      </c>
      <c r="B98" s="112" t="str">
        <f ca="1">IF($A98=0,"",OFFSET(PO!K$12,ROW(B98)-ROW(B$12),0))</f>
        <v>4.4.0.4.</v>
      </c>
      <c r="C98" s="109" t="str">
        <f ca="1">IF(OFFSET(PO!N$12,ROW(C98)-ROW(C$12),0)=0,"",OFFSET(PO!N$12,ROW(C98)-ROW(C$12),0))</f>
        <v>CONCRETAGEM DE PILARES, FCK = 25 MPA, COM USO DE BOMBA - LANÇAMENTO, ADENSAMENTO E ACABAMENTO. AF_02/2022_PS</v>
      </c>
      <c r="D98" s="111" t="str">
        <f ca="1">IF(OFFSET(PO!O$12,ROW(D98)-ROW(D$12),0)=0,"",OFFSET(PO!O$12,ROW(D98)-ROW(D$12),0))</f>
        <v>M3</v>
      </c>
      <c r="E98" s="140">
        <f ca="1">IF($A98&lt;&gt;"Serviço",0,ROUND(SUMIF($F$9:$P$9,"&lt;&gt;",$F98:$P98),15-13*PO!$X$3))</f>
        <v>6.63</v>
      </c>
      <c r="F98" s="361">
        <f ca="1">OFFSET(PO!$P$12,ROW($E98)-ROW(F$12),0)</f>
        <v>6.63</v>
      </c>
      <c r="G98" s="361"/>
      <c r="H98" s="361"/>
      <c r="I98" s="361"/>
      <c r="J98" s="361"/>
      <c r="K98" s="361"/>
      <c r="L98" s="361"/>
      <c r="M98" s="361"/>
      <c r="N98" s="361"/>
      <c r="O98" s="361"/>
      <c r="U98" s="182"/>
    </row>
    <row r="99" spans="1:21" s="1" customFormat="1" x14ac:dyDescent="0.25">
      <c r="A99" s="110" t="str">
        <f ca="1">OFFSET(PO!J$12,ROW(A99)-ROW($A$12),0)</f>
        <v>Nível 2</v>
      </c>
      <c r="B99" s="112" t="str">
        <f ca="1">IF($A99=0,"",OFFSET(PO!K$12,ROW(B99)-ROW(B$12),0))</f>
        <v>4.5.</v>
      </c>
      <c r="C99" s="109" t="str">
        <f ca="1">IF(OFFSET(PO!N$12,ROW(C99)-ROW(C$12),0)=0,"",OFFSET(PO!N$12,ROW(C99)-ROW(C$12),0))</f>
        <v>CONCRETO ARMADO - CASA DE GÁS - PILARES VIGAS E LAGES</v>
      </c>
      <c r="D99" s="111" t="str">
        <f ca="1">IF(OFFSET(PO!O$12,ROW(D99)-ROW(D$12),0)=0,"",OFFSET(PO!O$12,ROW(D99)-ROW(D$12),0))</f>
        <v/>
      </c>
      <c r="E99" s="140">
        <f ca="1">IF($A99&lt;&gt;"Serviço",0,ROUND(SUMIF($F$9:$P$9,"&lt;&gt;",$F99:$P99),15-13*PO!$X$3))</f>
        <v>0</v>
      </c>
      <c r="F99" s="361">
        <f ca="1">OFFSET(PO!$P$12,ROW($E99)-ROW(F$12),0)</f>
        <v>0</v>
      </c>
      <c r="G99" s="361"/>
      <c r="H99" s="361"/>
      <c r="I99" s="361"/>
      <c r="J99" s="361"/>
      <c r="K99" s="361"/>
      <c r="L99" s="361"/>
      <c r="M99" s="361"/>
      <c r="N99" s="361"/>
      <c r="O99" s="361"/>
      <c r="U99" s="182"/>
    </row>
    <row r="100" spans="1:21" s="1" customFormat="1" ht="52.8" x14ac:dyDescent="0.25">
      <c r="A100" s="110" t="str">
        <f ca="1">OFFSET(PO!J$12,ROW(A100)-ROW($A$12),0)</f>
        <v>Serviço</v>
      </c>
      <c r="B100" s="112" t="str">
        <f ca="1">IF($A100=0,"",OFFSET(PO!K$12,ROW(B100)-ROW(B$12),0))</f>
        <v>4.5.0.1.</v>
      </c>
      <c r="C100" s="109" t="str">
        <f ca="1">IF(OFFSET(PO!N$12,ROW(C100)-ROW(C$12),0)=0,"",OFFSET(PO!N$12,ROW(C100)-ROW(C$12),0))</f>
        <v>MONTAGEM E DESMONTAGEM DE FÔRMA DE PILARES RETANGULARES E ESTRUTURAS SIMILARES, PÉ-DIREITO SIMPLES, EM CHAPA DE MADEIRA COMPENSADA PLASTIFICADA, 18 UTILIZAÇÕES. AF_09/2020</v>
      </c>
      <c r="D100" s="111" t="str">
        <f ca="1">IF(OFFSET(PO!O$12,ROW(D100)-ROW(D$12),0)=0,"",OFFSET(PO!O$12,ROW(D100)-ROW(D$12),0))</f>
        <v>M2</v>
      </c>
      <c r="E100" s="140">
        <f ca="1">IF($A100&lt;&gt;"Serviço",0,ROUND(SUMIF($F$9:$P$9,"&lt;&gt;",$F100:$P100),15-13*PO!$X$3))</f>
        <v>19.239999999999998</v>
      </c>
      <c r="F100" s="361">
        <f ca="1">OFFSET(PO!$P$12,ROW($E100)-ROW(F$12),0)</f>
        <v>19.239999999999998</v>
      </c>
      <c r="G100" s="361"/>
      <c r="H100" s="361"/>
      <c r="I100" s="361"/>
      <c r="J100" s="361"/>
      <c r="K100" s="361"/>
      <c r="L100" s="361"/>
      <c r="M100" s="361"/>
      <c r="N100" s="361"/>
      <c r="O100" s="361"/>
      <c r="U100" s="182"/>
    </row>
    <row r="101" spans="1:21" s="1" customFormat="1" ht="39.6" x14ac:dyDescent="0.25">
      <c r="A101" s="110" t="str">
        <f ca="1">OFFSET(PO!J$12,ROW(A101)-ROW($A$12),0)</f>
        <v>Serviço</v>
      </c>
      <c r="B101" s="112" t="str">
        <f ca="1">IF($A101=0,"",OFFSET(PO!K$12,ROW(B101)-ROW(B$12),0))</f>
        <v>4.5.0.2.</v>
      </c>
      <c r="C101" s="109" t="str">
        <f ca="1">IF(OFFSET(PO!N$12,ROW(C101)-ROW(C$12),0)=0,"",OFFSET(PO!N$12,ROW(C101)-ROW(C$12),0))</f>
        <v>ARMAÇÃO DE PILAR OU VIGA DE ESTRUTURA CONVENCIONAL DE CONCRETO ARMADO UTILIZANDO AÇO CA-50 DE 6,3 MM - MONTAGEM. AF_06/2022</v>
      </c>
      <c r="D101" s="111" t="str">
        <f ca="1">IF(OFFSET(PO!O$12,ROW(D101)-ROW(D$12),0)=0,"",OFFSET(PO!O$12,ROW(D101)-ROW(D$12),0))</f>
        <v>KG</v>
      </c>
      <c r="E101" s="140">
        <f ca="1">IF($A101&lt;&gt;"Serviço",0,ROUND(SUMIF($F$9:$P$9,"&lt;&gt;",$F101:$P101),15-13*PO!$X$3))</f>
        <v>15.26</v>
      </c>
      <c r="F101" s="361">
        <f ca="1">OFFSET(PO!$P$12,ROW($E101)-ROW(F$12),0)</f>
        <v>15.26</v>
      </c>
      <c r="G101" s="361"/>
      <c r="H101" s="361"/>
      <c r="I101" s="361"/>
      <c r="J101" s="361"/>
      <c r="K101" s="361"/>
      <c r="L101" s="361"/>
      <c r="M101" s="361"/>
      <c r="N101" s="361"/>
      <c r="O101" s="361"/>
      <c r="U101" s="182"/>
    </row>
    <row r="102" spans="1:21" s="1" customFormat="1" ht="39.6" x14ac:dyDescent="0.25">
      <c r="A102" s="110" t="str">
        <f ca="1">OFFSET(PO!J$12,ROW(A102)-ROW($A$12),0)</f>
        <v>Serviço</v>
      </c>
      <c r="B102" s="112" t="str">
        <f ca="1">IF($A102=0,"",OFFSET(PO!K$12,ROW(B102)-ROW(B$12),0))</f>
        <v>4.5.0.3.</v>
      </c>
      <c r="C102" s="109" t="str">
        <f ca="1">IF(OFFSET(PO!N$12,ROW(C102)-ROW(C$12),0)=0,"",OFFSET(PO!N$12,ROW(C102)-ROW(C$12),0))</f>
        <v>ARMAÇÃO DE PILAR OU VIGA DE ESTRUTURA CONVENCIONAL DE CONCRETO ARMADO UTILIZANDO AÇO CA-50 DE 8,0 MM - MONTAGEM. AF_06/2022</v>
      </c>
      <c r="D102" s="111" t="str">
        <f ca="1">IF(OFFSET(PO!O$12,ROW(D102)-ROW(D$12),0)=0,"",OFFSET(PO!O$12,ROW(D102)-ROW(D$12),0))</f>
        <v>KG</v>
      </c>
      <c r="E102" s="140">
        <f ca="1">IF($A102&lt;&gt;"Serviço",0,ROUND(SUMIF($F$9:$P$9,"&lt;&gt;",$F102:$P102),15-13*PO!$X$3))</f>
        <v>19.45</v>
      </c>
      <c r="F102" s="361">
        <f ca="1">OFFSET(PO!$P$12,ROW($E102)-ROW(F$12),0)</f>
        <v>19.45</v>
      </c>
      <c r="G102" s="361"/>
      <c r="H102" s="361"/>
      <c r="I102" s="361"/>
      <c r="J102" s="361"/>
      <c r="K102" s="361"/>
      <c r="L102" s="361"/>
      <c r="M102" s="361"/>
      <c r="N102" s="361"/>
      <c r="O102" s="361"/>
      <c r="U102" s="182"/>
    </row>
    <row r="103" spans="1:21" s="1" customFormat="1" ht="39.6" x14ac:dyDescent="0.25">
      <c r="A103" s="110" t="str">
        <f ca="1">OFFSET(PO!J$12,ROW(A103)-ROW($A$12),0)</f>
        <v>Serviço</v>
      </c>
      <c r="B103" s="112" t="str">
        <f ca="1">IF($A103=0,"",OFFSET(PO!K$12,ROW(B103)-ROW(B$12),0))</f>
        <v>4.5.0.4.</v>
      </c>
      <c r="C103" s="109" t="str">
        <f ca="1">IF(OFFSET(PO!N$12,ROW(C103)-ROW(C$12),0)=0,"",OFFSET(PO!N$12,ROW(C103)-ROW(C$12),0))</f>
        <v>ARMAÇÃO DE PILAR OU VIGA DE ESTRUTURA CONVENCIONAL DE CONCRETO ARMADO UTILIZANDO AÇO CA-50 DE 10,0 MM - MONTAGEM. AF_06/2022</v>
      </c>
      <c r="D103" s="111" t="str">
        <f ca="1">IF(OFFSET(PO!O$12,ROW(D103)-ROW(D$12),0)=0,"",OFFSET(PO!O$12,ROW(D103)-ROW(D$12),0))</f>
        <v>KG</v>
      </c>
      <c r="E103" s="140">
        <f ca="1">IF($A103&lt;&gt;"Serviço",0,ROUND(SUMIF($F$9:$P$9,"&lt;&gt;",$F103:$P103),15-13*PO!$X$3))</f>
        <v>28.01</v>
      </c>
      <c r="F103" s="361">
        <f ca="1">OFFSET(PO!$P$12,ROW($E103)-ROW(F$12),0)</f>
        <v>28.01</v>
      </c>
      <c r="G103" s="361"/>
      <c r="H103" s="361"/>
      <c r="I103" s="361"/>
      <c r="J103" s="361"/>
      <c r="K103" s="361"/>
      <c r="L103" s="361"/>
      <c r="M103" s="361"/>
      <c r="N103" s="361"/>
      <c r="O103" s="361"/>
      <c r="U103" s="182"/>
    </row>
    <row r="104" spans="1:21" s="1" customFormat="1" ht="39.6" x14ac:dyDescent="0.25">
      <c r="A104" s="110" t="str">
        <f ca="1">OFFSET(PO!J$12,ROW(A104)-ROW($A$12),0)</f>
        <v>Serviço</v>
      </c>
      <c r="B104" s="112" t="str">
        <f ca="1">IF($A104=0,"",OFFSET(PO!K$12,ROW(B104)-ROW(B$12),0))</f>
        <v>4.5.0.5.</v>
      </c>
      <c r="C104" s="109" t="str">
        <f ca="1">IF(OFFSET(PO!N$12,ROW(C104)-ROW(C$12),0)=0,"",OFFSET(PO!N$12,ROW(C104)-ROW(C$12),0))</f>
        <v>ARMAÇÃO DE PILAR OU VIGA DE ESTRUTURA CONVENCIONAL DE CONCRETO ARMADO UTILIZANDO AÇO CA-60 DE 5,0 MM - MONTAGEM. AF_06/2022</v>
      </c>
      <c r="D104" s="111" t="str">
        <f ca="1">IF(OFFSET(PO!O$12,ROW(D104)-ROW(D$12),0)=0,"",OFFSET(PO!O$12,ROW(D104)-ROW(D$12),0))</f>
        <v>KG</v>
      </c>
      <c r="E104" s="140">
        <f ca="1">IF($A104&lt;&gt;"Serviço",0,ROUND(SUMIF($F$9:$P$9,"&lt;&gt;",$F104:$P104),15-13*PO!$X$3))</f>
        <v>17.059999999999999</v>
      </c>
      <c r="F104" s="361">
        <f ca="1">OFFSET(PO!$P$12,ROW($E104)-ROW(F$12),0)</f>
        <v>17.059999999999999</v>
      </c>
      <c r="G104" s="361"/>
      <c r="H104" s="361"/>
      <c r="I104" s="361"/>
      <c r="J104" s="361"/>
      <c r="K104" s="361"/>
      <c r="L104" s="361"/>
      <c r="M104" s="361"/>
      <c r="N104" s="361"/>
      <c r="O104" s="361"/>
      <c r="U104" s="182"/>
    </row>
    <row r="105" spans="1:21" s="1" customFormat="1" ht="39.6" x14ac:dyDescent="0.25">
      <c r="A105" s="110" t="str">
        <f ca="1">OFFSET(PO!J$12,ROW(A105)-ROW($A$12),0)</f>
        <v>Serviço</v>
      </c>
      <c r="B105" s="112" t="str">
        <f ca="1">IF($A105=0,"",OFFSET(PO!K$12,ROW(B105)-ROW(B$12),0))</f>
        <v>4.5.0.6.</v>
      </c>
      <c r="C105" s="109" t="str">
        <f ca="1">IF(OFFSET(PO!N$12,ROW(C105)-ROW(C$12),0)=0,"",OFFSET(PO!N$12,ROW(C105)-ROW(C$12),0))</f>
        <v>CONCRETAGEM DE VIGAS E LAJES, FCK=25 MPA, PARA LAJES MACIÇAS OU NERVURADAS COM USO DE BOMBA - LANÇAMENTO, ADENSAMENTO E ACABAMENTO. AF_02/2022_PS</v>
      </c>
      <c r="D105" s="111" t="str">
        <f ca="1">IF(OFFSET(PO!O$12,ROW(D105)-ROW(D$12),0)=0,"",OFFSET(PO!O$12,ROW(D105)-ROW(D$12),0))</f>
        <v>M3</v>
      </c>
      <c r="E105" s="140">
        <f ca="1">IF($A105&lt;&gt;"Serviço",0,ROUND(SUMIF($F$9:$P$9,"&lt;&gt;",$F105:$P105),15-13*PO!$X$3))</f>
        <v>1.23</v>
      </c>
      <c r="F105" s="361">
        <f ca="1">OFFSET(PO!$P$12,ROW($E105)-ROW(F$12),0)</f>
        <v>1.23</v>
      </c>
      <c r="G105" s="361"/>
      <c r="H105" s="361"/>
      <c r="I105" s="361"/>
      <c r="J105" s="361"/>
      <c r="K105" s="361"/>
      <c r="L105" s="361"/>
      <c r="M105" s="361"/>
      <c r="N105" s="361"/>
      <c r="O105" s="361"/>
      <c r="U105" s="182"/>
    </row>
    <row r="106" spans="1:21" s="1" customFormat="1" x14ac:dyDescent="0.25">
      <c r="A106" s="110" t="str">
        <f ca="1">OFFSET(PO!J$12,ROW(A106)-ROW($A$12),0)</f>
        <v>Nível 2</v>
      </c>
      <c r="B106" s="112" t="str">
        <f ca="1">IF($A106=0,"",OFFSET(PO!K$12,ROW(B106)-ROW(B$12),0))</f>
        <v>4.6.</v>
      </c>
      <c r="C106" s="109" t="str">
        <f ca="1">IF(OFFSET(PO!N$12,ROW(C106)-ROW(C$12),0)=0,"",OFFSET(PO!N$12,ROW(C106)-ROW(C$12),0))</f>
        <v>ESTRUTURA METÁLICA</v>
      </c>
      <c r="D106" s="111" t="str">
        <f ca="1">IF(OFFSET(PO!O$12,ROW(D106)-ROW(D$12),0)=0,"",OFFSET(PO!O$12,ROW(D106)-ROW(D$12),0))</f>
        <v/>
      </c>
      <c r="E106" s="140">
        <f ca="1">IF($A106&lt;&gt;"Serviço",0,ROUND(SUMIF($F$9:$P$9,"&lt;&gt;",$F106:$P106),15-13*PO!$X$3))</f>
        <v>0</v>
      </c>
      <c r="F106" s="361">
        <f ca="1">OFFSET(PO!$P$12,ROW($E106)-ROW(F$12),0)</f>
        <v>0</v>
      </c>
      <c r="G106" s="361"/>
      <c r="H106" s="361"/>
      <c r="I106" s="361"/>
      <c r="J106" s="361"/>
      <c r="K106" s="361"/>
      <c r="L106" s="361"/>
      <c r="M106" s="361"/>
      <c r="N106" s="361"/>
      <c r="O106" s="361"/>
      <c r="U106" s="182"/>
    </row>
    <row r="107" spans="1:21" s="1" customFormat="1" ht="52.8" x14ac:dyDescent="0.25">
      <c r="A107" s="110" t="str">
        <f ca="1">OFFSET(PO!J$12,ROW(A107)-ROW($A$12),0)</f>
        <v>Serviço</v>
      </c>
      <c r="B107" s="112" t="str">
        <f ca="1">IF($A107=0,"",OFFSET(PO!K$12,ROW(B107)-ROW(B$12),0))</f>
        <v>4.6.0.1.</v>
      </c>
      <c r="C107" s="109" t="str">
        <f ca="1">IF(OFFSET(PO!N$12,ROW(C107)-ROW(C$12),0)=0,"",OFFSET(PO!N$12,ROW(C107)-ROW(C$12),0))</f>
        <v>ESTRUTURA TRELIÇADA DE COBERTURA, TIPO FINK, COM LIGAÇÕES SOLDADAS, INCLUSOS PERFIS METÁLICOS, CHAPAS METÁLICAS, MÃO DE OBRA E TRANSPORTE COM GUINDASTE - FORNECIMENTO E INSTALAÇÃO. AF_01/2020_PSA</v>
      </c>
      <c r="D107" s="111" t="str">
        <f ca="1">IF(OFFSET(PO!O$12,ROW(D107)-ROW(D$12),0)=0,"",OFFSET(PO!O$12,ROW(D107)-ROW(D$12),0))</f>
        <v>KG</v>
      </c>
      <c r="E107" s="140">
        <f ca="1">IF($A107&lt;&gt;"Serviço",0,ROUND(SUMIF($F$9:$P$9,"&lt;&gt;",$F107:$P107),15-13*PO!$X$3))</f>
        <v>9693.31</v>
      </c>
      <c r="F107" s="361">
        <f ca="1">OFFSET(PO!$P$12,ROW($E107)-ROW(F$12),0)</f>
        <v>9693.31</v>
      </c>
      <c r="G107" s="361"/>
      <c r="H107" s="361"/>
      <c r="I107" s="361"/>
      <c r="J107" s="361"/>
      <c r="K107" s="361"/>
      <c r="L107" s="361"/>
      <c r="M107" s="361"/>
      <c r="N107" s="361"/>
      <c r="O107" s="361"/>
      <c r="U107" s="182"/>
    </row>
    <row r="108" spans="1:21" s="1" customFormat="1" x14ac:dyDescent="0.25">
      <c r="A108" s="110" t="str">
        <f ca="1">OFFSET(PO!J$12,ROW(A108)-ROW($A$12),0)</f>
        <v>Nível 2</v>
      </c>
      <c r="B108" s="112" t="str">
        <f ca="1">IF($A108=0,"",OFFSET(PO!K$12,ROW(B108)-ROW(B$12),0))</f>
        <v>4.7.</v>
      </c>
      <c r="C108" s="109" t="str">
        <f ca="1">IF(OFFSET(PO!N$12,ROW(C108)-ROW(C$12),0)=0,"",OFFSET(PO!N$12,ROW(C108)-ROW(C$12),0))</f>
        <v>PISO DE CONCRETO</v>
      </c>
      <c r="D108" s="111" t="str">
        <f ca="1">IF(OFFSET(PO!O$12,ROW(D108)-ROW(D$12),0)=0,"",OFFSET(PO!O$12,ROW(D108)-ROW(D$12),0))</f>
        <v/>
      </c>
      <c r="E108" s="140">
        <f ca="1">IF($A108&lt;&gt;"Serviço",0,ROUND(SUMIF($F$9:$P$9,"&lt;&gt;",$F108:$P108),15-13*PO!$X$3))</f>
        <v>0</v>
      </c>
      <c r="F108" s="361">
        <f ca="1">OFFSET(PO!$P$12,ROW($E108)-ROW(F$12),0)</f>
        <v>0</v>
      </c>
      <c r="G108" s="361"/>
      <c r="H108" s="361"/>
      <c r="I108" s="361"/>
      <c r="J108" s="361"/>
      <c r="K108" s="361"/>
      <c r="L108" s="361"/>
      <c r="M108" s="361"/>
      <c r="N108" s="361"/>
      <c r="O108" s="361"/>
      <c r="U108" s="182"/>
    </row>
    <row r="109" spans="1:21" s="1" customFormat="1" x14ac:dyDescent="0.25">
      <c r="A109" s="110" t="str">
        <f ca="1">OFFSET(PO!J$12,ROW(A109)-ROW($A$12),0)</f>
        <v>Nível 3</v>
      </c>
      <c r="B109" s="112" t="str">
        <f ca="1">IF($A109=0,"",OFFSET(PO!K$12,ROW(B109)-ROW(B$12),0))</f>
        <v>4.7.1.</v>
      </c>
      <c r="C109" s="109" t="str">
        <f ca="1">IF(OFFSET(PO!N$12,ROW(C109)-ROW(C$12),0)=0,"",OFFSET(PO!N$12,ROW(C109)-ROW(C$12),0))</f>
        <v>PAVIMENTAÇÃO INTERNA</v>
      </c>
      <c r="D109" s="111" t="str">
        <f ca="1">IF(OFFSET(PO!O$12,ROW(D109)-ROW(D$12),0)=0,"",OFFSET(PO!O$12,ROW(D109)-ROW(D$12),0))</f>
        <v/>
      </c>
      <c r="E109" s="140">
        <f ca="1">IF($A109&lt;&gt;"Serviço",0,ROUND(SUMIF($F$9:$P$9,"&lt;&gt;",$F109:$P109),15-13*PO!$X$3))</f>
        <v>0</v>
      </c>
      <c r="F109" s="361">
        <f ca="1">OFFSET(PO!$P$12,ROW($E109)-ROW(F$12),0)</f>
        <v>0</v>
      </c>
      <c r="G109" s="361"/>
      <c r="H109" s="361"/>
      <c r="I109" s="361"/>
      <c r="J109" s="361"/>
      <c r="K109" s="361"/>
      <c r="L109" s="361"/>
      <c r="M109" s="361"/>
      <c r="N109" s="361"/>
      <c r="O109" s="361"/>
      <c r="U109" s="182"/>
    </row>
    <row r="110" spans="1:21" s="1" customFormat="1" ht="39.6" x14ac:dyDescent="0.25">
      <c r="A110" s="110" t="str">
        <f ca="1">OFFSET(PO!J$12,ROW(A110)-ROW($A$12),0)</f>
        <v>Serviço</v>
      </c>
      <c r="B110" s="112" t="str">
        <f ca="1">IF($A110=0,"",OFFSET(PO!K$12,ROW(B110)-ROW(B$12),0))</f>
        <v>4.7.1.1.</v>
      </c>
      <c r="C110" s="109" t="str">
        <f ca="1">IF(OFFSET(PO!N$12,ROW(C110)-ROW(C$12),0)=0,"",OFFSET(PO!N$12,ROW(C110)-ROW(C$12),0))</f>
        <v>COMPACTAÇÃO MECÂNICA DE SOLO PARA EXECUÇÃO DE RADIER, PISO DE CONCRETO OU LAJE SOBRE SOLO, COM COMPACTADOR DE SOLOS A PERCUSSÃO. AF_09/2021</v>
      </c>
      <c r="D110" s="111" t="str">
        <f ca="1">IF(OFFSET(PO!O$12,ROW(D110)-ROW(D$12),0)=0,"",OFFSET(PO!O$12,ROW(D110)-ROW(D$12),0))</f>
        <v>M2</v>
      </c>
      <c r="E110" s="140">
        <f ca="1">IF($A110&lt;&gt;"Serviço",0,ROUND(SUMIF($F$9:$P$9,"&lt;&gt;",$F110:$P110),15-13*PO!$X$3))</f>
        <v>783.72</v>
      </c>
      <c r="F110" s="361">
        <f ca="1">OFFSET(PO!$P$12,ROW($E110)-ROW(F$12),0)</f>
        <v>783.72</v>
      </c>
      <c r="G110" s="361"/>
      <c r="H110" s="361"/>
      <c r="I110" s="361"/>
      <c r="J110" s="361"/>
      <c r="K110" s="361"/>
      <c r="L110" s="361"/>
      <c r="M110" s="361"/>
      <c r="N110" s="361"/>
      <c r="O110" s="361"/>
      <c r="U110" s="182"/>
    </row>
    <row r="111" spans="1:21" s="1" customFormat="1" ht="26.4" x14ac:dyDescent="0.25">
      <c r="A111" s="110" t="str">
        <f ca="1">OFFSET(PO!J$12,ROW(A111)-ROW($A$12),0)</f>
        <v>Serviço</v>
      </c>
      <c r="B111" s="112" t="str">
        <f ca="1">IF($A111=0,"",OFFSET(PO!K$12,ROW(B111)-ROW(B$12),0))</f>
        <v>4.7.1.2.</v>
      </c>
      <c r="C111" s="109" t="str">
        <f ca="1">IF(OFFSET(PO!N$12,ROW(C111)-ROW(C$12),0)=0,"",OFFSET(PO!N$12,ROW(C111)-ROW(C$12),0))</f>
        <v>LASTRO COM MATERIAL GRANULAR, APLICADO EM PISOS OU LAJES SOBRE SOLO, ESPESSURA DE *5 CM*. AF_01/2024</v>
      </c>
      <c r="D111" s="111" t="str">
        <f ca="1">IF(OFFSET(PO!O$12,ROW(D111)-ROW(D$12),0)=0,"",OFFSET(PO!O$12,ROW(D111)-ROW(D$12),0))</f>
        <v>M3</v>
      </c>
      <c r="E111" s="140">
        <f ca="1">IF($A111&lt;&gt;"Serviço",0,ROUND(SUMIF($F$9:$P$9,"&lt;&gt;",$F111:$P111),15-13*PO!$X$3))</f>
        <v>39.19</v>
      </c>
      <c r="F111" s="361">
        <f ca="1">OFFSET(PO!$P$12,ROW($E111)-ROW(F$12),0)</f>
        <v>39.186000000000007</v>
      </c>
      <c r="G111" s="361"/>
      <c r="H111" s="361"/>
      <c r="I111" s="361"/>
      <c r="J111" s="361"/>
      <c r="K111" s="361"/>
      <c r="L111" s="361"/>
      <c r="M111" s="361"/>
      <c r="N111" s="361"/>
      <c r="O111" s="361"/>
      <c r="U111" s="182"/>
    </row>
    <row r="112" spans="1:21" s="1" customFormat="1" ht="39.6" x14ac:dyDescent="0.25">
      <c r="A112" s="110" t="str">
        <f ca="1">OFFSET(PO!J$12,ROW(A112)-ROW($A$12),0)</f>
        <v>Serviço</v>
      </c>
      <c r="B112" s="112" t="str">
        <f ca="1">IF($A112=0,"",OFFSET(PO!K$12,ROW(B112)-ROW(B$12),0))</f>
        <v>4.7.1.3.</v>
      </c>
      <c r="C112" s="109" t="str">
        <f ca="1">IF(OFFSET(PO!N$12,ROW(C112)-ROW(C$12),0)=0,"",OFFSET(PO!N$12,ROW(C112)-ROW(C$12),0))</f>
        <v>CAMADA SEPARADORA PARA EXECUÇÃO DE RADIER, PISO DE CONCRETO OU LAJE SOBRE SOLO, EM LONA PLÁSTICA. AF_09/2021</v>
      </c>
      <c r="D112" s="111" t="str">
        <f ca="1">IF(OFFSET(PO!O$12,ROW(D112)-ROW(D$12),0)=0,"",OFFSET(PO!O$12,ROW(D112)-ROW(D$12),0))</f>
        <v>M2</v>
      </c>
      <c r="E112" s="140">
        <f ca="1">IF($A112&lt;&gt;"Serviço",0,ROUND(SUMIF($F$9:$P$9,"&lt;&gt;",$F112:$P112),15-13*PO!$X$3))</f>
        <v>783.72</v>
      </c>
      <c r="F112" s="361">
        <f ca="1">OFFSET(PO!$P$12,ROW($E112)-ROW(F$12),0)</f>
        <v>783.72</v>
      </c>
      <c r="G112" s="361"/>
      <c r="H112" s="361"/>
      <c r="I112" s="361"/>
      <c r="J112" s="361"/>
      <c r="K112" s="361"/>
      <c r="L112" s="361"/>
      <c r="M112" s="361"/>
      <c r="N112" s="361"/>
      <c r="O112" s="361"/>
      <c r="U112" s="182"/>
    </row>
    <row r="113" spans="1:21" s="1" customFormat="1" ht="39.6" x14ac:dyDescent="0.25">
      <c r="A113" s="110" t="str">
        <f ca="1">OFFSET(PO!J$12,ROW(A113)-ROW($A$12),0)</f>
        <v>Serviço</v>
      </c>
      <c r="B113" s="112" t="str">
        <f ca="1">IF($A113=0,"",OFFSET(PO!K$12,ROW(B113)-ROW(B$12),0))</f>
        <v>4.7.1.4.</v>
      </c>
      <c r="C113" s="109" t="str">
        <f ca="1">IF(OFFSET(PO!N$12,ROW(C113)-ROW(C$12),0)=0,"",OFFSET(PO!N$12,ROW(C113)-ROW(C$12),0))</f>
        <v>EXECUÇÃO DE PASSEIO (CALÇADA) OU PISO DE CONCRETO COM CONCRETO MOLDADO IN LOCO, USINADO C20, ACABAMENTO CONVENCIONAL, NÃO ARMADO. AF_08/2022</v>
      </c>
      <c r="D113" s="111" t="str">
        <f ca="1">IF(OFFSET(PO!O$12,ROW(D113)-ROW(D$12),0)=0,"",OFFSET(PO!O$12,ROW(D113)-ROW(D$12),0))</f>
        <v>M3</v>
      </c>
      <c r="E113" s="140">
        <f ca="1">IF($A113&lt;&gt;"Serviço",0,ROUND(SUMIF($F$9:$P$9,"&lt;&gt;",$F113:$P113),15-13*PO!$X$3))</f>
        <v>54.86</v>
      </c>
      <c r="F113" s="361">
        <f ca="1">OFFSET(PO!$P$12,ROW($E113)-ROW(F$12),0)</f>
        <v>54.86</v>
      </c>
      <c r="G113" s="361"/>
      <c r="H113" s="361"/>
      <c r="I113" s="361"/>
      <c r="J113" s="361"/>
      <c r="K113" s="361"/>
      <c r="L113" s="361"/>
      <c r="M113" s="361"/>
      <c r="N113" s="361"/>
      <c r="O113" s="361"/>
      <c r="U113" s="182"/>
    </row>
    <row r="114" spans="1:21" s="1" customFormat="1" x14ac:dyDescent="0.25">
      <c r="A114" s="110" t="str">
        <f ca="1">OFFSET(PO!J$12,ROW(A114)-ROW($A$12),0)</f>
        <v>Nível 3</v>
      </c>
      <c r="B114" s="112" t="str">
        <f ca="1">IF($A114=0,"",OFFSET(PO!K$12,ROW(B114)-ROW(B$12),0))</f>
        <v>4.7.2.</v>
      </c>
      <c r="C114" s="109" t="str">
        <f ca="1">IF(OFFSET(PO!N$12,ROW(C114)-ROW(C$12),0)=0,"",OFFSET(PO!N$12,ROW(C114)-ROW(C$12),0))</f>
        <v>PAVIMENTAÇÃO EXTERNA</v>
      </c>
      <c r="D114" s="111" t="str">
        <f ca="1">IF(OFFSET(PO!O$12,ROW(D114)-ROW(D$12),0)=0,"",OFFSET(PO!O$12,ROW(D114)-ROW(D$12),0))</f>
        <v/>
      </c>
      <c r="E114" s="140">
        <f ca="1">IF($A114&lt;&gt;"Serviço",0,ROUND(SUMIF($F$9:$P$9,"&lt;&gt;",$F114:$P114),15-13*PO!$X$3))</f>
        <v>0</v>
      </c>
      <c r="F114" s="361">
        <f ca="1">OFFSET(PO!$P$12,ROW($E114)-ROW(F$12),0)</f>
        <v>0</v>
      </c>
      <c r="G114" s="361"/>
      <c r="H114" s="361"/>
      <c r="I114" s="361"/>
      <c r="J114" s="361"/>
      <c r="K114" s="361"/>
      <c r="L114" s="361"/>
      <c r="M114" s="361"/>
      <c r="N114" s="361"/>
      <c r="O114" s="361"/>
      <c r="U114" s="182"/>
    </row>
    <row r="115" spans="1:21" s="1" customFormat="1" ht="39.6" x14ac:dyDescent="0.25">
      <c r="A115" s="110" t="str">
        <f ca="1">OFFSET(PO!J$12,ROW(A115)-ROW($A$12),0)</f>
        <v>Serviço</v>
      </c>
      <c r="B115" s="112" t="str">
        <f ca="1">IF($A115=0,"",OFFSET(PO!K$12,ROW(B115)-ROW(B$12),0))</f>
        <v>4.7.2.1.</v>
      </c>
      <c r="C115" s="109" t="str">
        <f ca="1">IF(OFFSET(PO!N$12,ROW(C115)-ROW(C$12),0)=0,"",OFFSET(PO!N$12,ROW(C115)-ROW(C$12),0))</f>
        <v>COMPACTAÇÃO MECÂNICA DE SOLO PARA EXECUÇÃO DE RADIER, PISO DE CONCRETO OU LAJE SOBRE SOLO, COM COMPACTADOR DE SOLOS A PERCUSSÃO. AF_09/2021</v>
      </c>
      <c r="D115" s="111" t="str">
        <f ca="1">IF(OFFSET(PO!O$12,ROW(D115)-ROW(D$12),0)=0,"",OFFSET(PO!O$12,ROW(D115)-ROW(D$12),0))</f>
        <v>M2</v>
      </c>
      <c r="E115" s="140">
        <f ca="1">IF($A115&lt;&gt;"Serviço",0,ROUND(SUMIF($F$9:$P$9,"&lt;&gt;",$F115:$P115),15-13*PO!$X$3))</f>
        <v>254.8</v>
      </c>
      <c r="F115" s="361">
        <f ca="1">OFFSET(PO!$P$12,ROW($E115)-ROW(F$12),0)</f>
        <v>254.8</v>
      </c>
      <c r="G115" s="361"/>
      <c r="H115" s="361"/>
      <c r="I115" s="361"/>
      <c r="J115" s="361"/>
      <c r="K115" s="361"/>
      <c r="L115" s="361"/>
      <c r="M115" s="361"/>
      <c r="N115" s="361"/>
      <c r="O115" s="361"/>
      <c r="U115" s="182"/>
    </row>
    <row r="116" spans="1:21" s="1" customFormat="1" ht="26.4" x14ac:dyDescent="0.25">
      <c r="A116" s="110" t="str">
        <f ca="1">OFFSET(PO!J$12,ROW(A116)-ROW($A$12),0)</f>
        <v>Serviço</v>
      </c>
      <c r="B116" s="112" t="str">
        <f ca="1">IF($A116=0,"",OFFSET(PO!K$12,ROW(B116)-ROW(B$12),0))</f>
        <v>4.7.2.2.</v>
      </c>
      <c r="C116" s="109" t="str">
        <f ca="1">IF(OFFSET(PO!N$12,ROW(C116)-ROW(C$12),0)=0,"",OFFSET(PO!N$12,ROW(C116)-ROW(C$12),0))</f>
        <v>LASTRO COM MATERIAL GRANULAR, APLICADO EM PISOS OU LAJES SOBRE SOLO, ESPESSURA DE *5 CM*. AF_01/2024</v>
      </c>
      <c r="D116" s="111" t="str">
        <f ca="1">IF(OFFSET(PO!O$12,ROW(D116)-ROW(D$12),0)=0,"",OFFSET(PO!O$12,ROW(D116)-ROW(D$12),0))</f>
        <v>M3</v>
      </c>
      <c r="E116" s="140">
        <f ca="1">IF($A116&lt;&gt;"Serviço",0,ROUND(SUMIF($F$9:$P$9,"&lt;&gt;",$F116:$P116),15-13*PO!$X$3))</f>
        <v>12.74</v>
      </c>
      <c r="F116" s="361">
        <f ca="1">OFFSET(PO!$P$12,ROW($E116)-ROW(F$12),0)</f>
        <v>12.74</v>
      </c>
      <c r="G116" s="361"/>
      <c r="H116" s="361"/>
      <c r="I116" s="361"/>
      <c r="J116" s="361"/>
      <c r="K116" s="361"/>
      <c r="L116" s="361"/>
      <c r="M116" s="361"/>
      <c r="N116" s="361"/>
      <c r="O116" s="361"/>
      <c r="U116" s="182"/>
    </row>
    <row r="117" spans="1:21" s="1" customFormat="1" ht="39.6" x14ac:dyDescent="0.25">
      <c r="A117" s="110" t="str">
        <f ca="1">OFFSET(PO!J$12,ROW(A117)-ROW($A$12),0)</f>
        <v>Serviço</v>
      </c>
      <c r="B117" s="112" t="str">
        <f ca="1">IF($A117=0,"",OFFSET(PO!K$12,ROW(B117)-ROW(B$12),0))</f>
        <v>4.7.2.3.</v>
      </c>
      <c r="C117" s="109" t="str">
        <f ca="1">IF(OFFSET(PO!N$12,ROW(C117)-ROW(C$12),0)=0,"",OFFSET(PO!N$12,ROW(C117)-ROW(C$12),0))</f>
        <v>CAMADA SEPARADORA PARA EXECUÇÃO DE RADIER, PISO DE CONCRETO OU LAJE SOBRE SOLO, EM LONA PLÁSTICA. AF_09/2021</v>
      </c>
      <c r="D117" s="111" t="str">
        <f ca="1">IF(OFFSET(PO!O$12,ROW(D117)-ROW(D$12),0)=0,"",OFFSET(PO!O$12,ROW(D117)-ROW(D$12),0))</f>
        <v>M2</v>
      </c>
      <c r="E117" s="140">
        <f ca="1">IF($A117&lt;&gt;"Serviço",0,ROUND(SUMIF($F$9:$P$9,"&lt;&gt;",$F117:$P117),15-13*PO!$X$3))</f>
        <v>254.8</v>
      </c>
      <c r="F117" s="361">
        <f ca="1">OFFSET(PO!$P$12,ROW($E117)-ROW(F$12),0)</f>
        <v>254.8</v>
      </c>
      <c r="G117" s="361"/>
      <c r="H117" s="361"/>
      <c r="I117" s="361"/>
      <c r="J117" s="361"/>
      <c r="K117" s="361"/>
      <c r="L117" s="361"/>
      <c r="M117" s="361"/>
      <c r="N117" s="361"/>
      <c r="O117" s="361"/>
      <c r="U117" s="182"/>
    </row>
    <row r="118" spans="1:21" s="1" customFormat="1" ht="39.6" x14ac:dyDescent="0.25">
      <c r="A118" s="110" t="str">
        <f ca="1">OFFSET(PO!J$12,ROW(A118)-ROW($A$12),0)</f>
        <v>Serviço</v>
      </c>
      <c r="B118" s="112" t="str">
        <f ca="1">IF($A118=0,"",OFFSET(PO!K$12,ROW(B118)-ROW(B$12),0))</f>
        <v>4.7.2.4.</v>
      </c>
      <c r="C118" s="109" t="str">
        <f ca="1">IF(OFFSET(PO!N$12,ROW(C118)-ROW(C$12),0)=0,"",OFFSET(PO!N$12,ROW(C118)-ROW(C$12),0))</f>
        <v>EXECUÇÃO DE PASSEIO (CALÇADA) OU PISO DE CONCRETO COM CONCRETO MOLDADO IN LOCO, USINADO C20, ACABAMENTO CONVENCIONAL, NÃO ARMADO. AF_08/2022</v>
      </c>
      <c r="D118" s="111" t="str">
        <f ca="1">IF(OFFSET(PO!O$12,ROW(D118)-ROW(D$12),0)=0,"",OFFSET(PO!O$12,ROW(D118)-ROW(D$12),0))</f>
        <v>M3</v>
      </c>
      <c r="E118" s="140">
        <f ca="1">IF($A118&lt;&gt;"Serviço",0,ROUND(SUMIF($F$9:$P$9,"&lt;&gt;",$F118:$P118),15-13*PO!$X$3))</f>
        <v>17.84</v>
      </c>
      <c r="F118" s="361">
        <f ca="1">OFFSET(PO!$P$12,ROW($E118)-ROW(F$12),0)</f>
        <v>17.84</v>
      </c>
      <c r="G118" s="361"/>
      <c r="H118" s="361"/>
      <c r="I118" s="361"/>
      <c r="J118" s="361"/>
      <c r="K118" s="361"/>
      <c r="L118" s="361"/>
      <c r="M118" s="361"/>
      <c r="N118" s="361"/>
      <c r="O118" s="361"/>
      <c r="U118" s="182"/>
    </row>
    <row r="119" spans="1:21" s="1" customFormat="1" x14ac:dyDescent="0.25">
      <c r="A119" s="110" t="str">
        <f ca="1">OFFSET(PO!J$12,ROW(A119)-ROW($A$12),0)</f>
        <v>Meta</v>
      </c>
      <c r="B119" s="112" t="str">
        <f ca="1">IF($A119=0,"",OFFSET(PO!K$12,ROW(B119)-ROW(B$12),0))</f>
        <v>5.</v>
      </c>
      <c r="C119" s="109" t="str">
        <f ca="1">IF(OFFSET(PO!N$12,ROW(C119)-ROW(C$12),0)=0,"",OFFSET(PO!N$12,ROW(C119)-ROW(C$12),0))</f>
        <v>SISTEMA DE VEDAÇÃO VERTICAL</v>
      </c>
      <c r="D119" s="111" t="str">
        <f ca="1">IF(OFFSET(PO!O$12,ROW(D119)-ROW(D$12),0)=0,"",OFFSET(PO!O$12,ROW(D119)-ROW(D$12),0))</f>
        <v/>
      </c>
      <c r="E119" s="140">
        <f ca="1">IF($A119&lt;&gt;"Serviço",0,ROUND(SUMIF($F$9:$P$9,"&lt;&gt;",$F119:$P119),15-13*PO!$X$3))</f>
        <v>0</v>
      </c>
      <c r="F119" s="361">
        <f ca="1">OFFSET(PO!$P$12,ROW($E119)-ROW(F$12),0)</f>
        <v>0</v>
      </c>
      <c r="G119" s="361"/>
      <c r="H119" s="361"/>
      <c r="I119" s="361"/>
      <c r="J119" s="361"/>
      <c r="K119" s="361"/>
      <c r="L119" s="361"/>
      <c r="M119" s="361"/>
      <c r="N119" s="361"/>
      <c r="O119" s="361"/>
      <c r="U119" s="182"/>
    </row>
    <row r="120" spans="1:21" s="1" customFormat="1" x14ac:dyDescent="0.25">
      <c r="A120" s="110" t="str">
        <f ca="1">OFFSET(PO!J$12,ROW(A120)-ROW($A$12),0)</f>
        <v>Nível 2</v>
      </c>
      <c r="B120" s="112" t="str">
        <f ca="1">IF($A120=0,"",OFFSET(PO!K$12,ROW(B120)-ROW(B$12),0))</f>
        <v>5.1.</v>
      </c>
      <c r="C120" s="109" t="str">
        <f ca="1">IF(OFFSET(PO!N$12,ROW(C120)-ROW(C$12),0)=0,"",OFFSET(PO!N$12,ROW(C120)-ROW(C$12),0))</f>
        <v>ELEMENTOS VAZADOS</v>
      </c>
      <c r="D120" s="111" t="str">
        <f ca="1">IF(OFFSET(PO!O$12,ROW(D120)-ROW(D$12),0)=0,"",OFFSET(PO!O$12,ROW(D120)-ROW(D$12),0))</f>
        <v/>
      </c>
      <c r="E120" s="140">
        <f ca="1">IF($A120&lt;&gt;"Serviço",0,ROUND(SUMIF($F$9:$P$9,"&lt;&gt;",$F120:$P120),15-13*PO!$X$3))</f>
        <v>0</v>
      </c>
      <c r="F120" s="361">
        <f ca="1">OFFSET(PO!$P$12,ROW($E120)-ROW(F$12),0)</f>
        <v>0</v>
      </c>
      <c r="G120" s="361"/>
      <c r="H120" s="361"/>
      <c r="I120" s="361"/>
      <c r="J120" s="361"/>
      <c r="K120" s="361"/>
      <c r="L120" s="361"/>
      <c r="M120" s="361"/>
      <c r="N120" s="361"/>
      <c r="O120" s="361"/>
      <c r="U120" s="182"/>
    </row>
    <row r="121" spans="1:21" s="1" customFormat="1" ht="39.6" x14ac:dyDescent="0.25">
      <c r="A121" s="110" t="str">
        <f ca="1">OFFSET(PO!J$12,ROW(A121)-ROW($A$12),0)</f>
        <v>Serviço</v>
      </c>
      <c r="B121" s="112" t="str">
        <f ca="1">IF($A121=0,"",OFFSET(PO!K$12,ROW(B121)-ROW(B$12),0))</f>
        <v>5.1.0.1.</v>
      </c>
      <c r="C121" s="109" t="str">
        <f ca="1">IF(OFFSET(PO!N$12,ROW(C121)-ROW(C$12),0)=0,"",OFFSET(PO!N$12,ROW(C121)-ROW(C$12),0))</f>
        <v>ALVENARIA DE VEDAÇÃO COM ELEMENTO VAZADO DE CONCRETO (COBOGÓ) DE 7X50X50CM E ARGAMASSA DE ASSENTAMENTO COM PREPARO EM BETONEIRA. AF_05/2020</v>
      </c>
      <c r="D121" s="111" t="str">
        <f ca="1">IF(OFFSET(PO!O$12,ROW(D121)-ROW(D$12),0)=0,"",OFFSET(PO!O$12,ROW(D121)-ROW(D$12),0))</f>
        <v>M2</v>
      </c>
      <c r="E121" s="140">
        <f ca="1">IF($A121&lt;&gt;"Serviço",0,ROUND(SUMIF($F$9:$P$9,"&lt;&gt;",$F121:$P121),15-13*PO!$X$3))</f>
        <v>6.1</v>
      </c>
      <c r="F121" s="361">
        <f ca="1">OFFSET(PO!$P$12,ROW($E121)-ROW(F$12),0)</f>
        <v>6.1</v>
      </c>
      <c r="G121" s="361"/>
      <c r="H121" s="361"/>
      <c r="I121" s="361"/>
      <c r="J121" s="361"/>
      <c r="K121" s="361"/>
      <c r="L121" s="361"/>
      <c r="M121" s="361"/>
      <c r="N121" s="361"/>
      <c r="O121" s="361"/>
      <c r="U121" s="182"/>
    </row>
    <row r="122" spans="1:21" s="1" customFormat="1" x14ac:dyDescent="0.25">
      <c r="A122" s="110" t="str">
        <f ca="1">OFFSET(PO!J$12,ROW(A122)-ROW($A$12),0)</f>
        <v>Nível 2</v>
      </c>
      <c r="B122" s="112" t="str">
        <f ca="1">IF($A122=0,"",OFFSET(PO!K$12,ROW(B122)-ROW(B$12),0))</f>
        <v>5.2.</v>
      </c>
      <c r="C122" s="109" t="str">
        <f ca="1">IF(OFFSET(PO!N$12,ROW(C122)-ROW(C$12),0)=0,"",OFFSET(PO!N$12,ROW(C122)-ROW(C$12),0))</f>
        <v xml:space="preserve">ALVENARIA DE VEDAÇÃO </v>
      </c>
      <c r="D122" s="111" t="str">
        <f ca="1">IF(OFFSET(PO!O$12,ROW(D122)-ROW(D$12),0)=0,"",OFFSET(PO!O$12,ROW(D122)-ROW(D$12),0))</f>
        <v/>
      </c>
      <c r="E122" s="140">
        <f ca="1">IF($A122&lt;&gt;"Serviço",0,ROUND(SUMIF($F$9:$P$9,"&lt;&gt;",$F122:$P122),15-13*PO!$X$3))</f>
        <v>0</v>
      </c>
      <c r="F122" s="361">
        <f ca="1">OFFSET(PO!$P$12,ROW($E122)-ROW(F$12),0)</f>
        <v>0</v>
      </c>
      <c r="G122" s="361"/>
      <c r="H122" s="361"/>
      <c r="I122" s="361"/>
      <c r="J122" s="361"/>
      <c r="K122" s="361"/>
      <c r="L122" s="361"/>
      <c r="M122" s="361"/>
      <c r="N122" s="361"/>
      <c r="O122" s="361"/>
      <c r="U122" s="182"/>
    </row>
    <row r="123" spans="1:21" s="1" customFormat="1" ht="39.6" x14ac:dyDescent="0.25">
      <c r="A123" s="110" t="str">
        <f ca="1">OFFSET(PO!J$12,ROW(A123)-ROW($A$12),0)</f>
        <v>Serviço</v>
      </c>
      <c r="B123" s="112" t="str">
        <f ca="1">IF($A123=0,"",OFFSET(PO!K$12,ROW(B123)-ROW(B$12),0))</f>
        <v>5.2.0.1.</v>
      </c>
      <c r="C123" s="109" t="str">
        <f ca="1">IF(OFFSET(PO!N$12,ROW(C123)-ROW(C$12),0)=0,"",OFFSET(PO!N$12,ROW(C123)-ROW(C$12),0))</f>
        <v>ALVENARIA DE VEDAÇÃO DE BLOCOS CERÂMICOS FURADOS NA VERTICAL DE 9X19X39 CM (ESPESSURA 9 CM) E ARGAMASSA DE ASSENTAMENTO COM PREPARO EM BETONEIRA. AF_12/2021</v>
      </c>
      <c r="D123" s="111" t="str">
        <f ca="1">IF(OFFSET(PO!O$12,ROW(D123)-ROW(D$12),0)=0,"",OFFSET(PO!O$12,ROW(D123)-ROW(D$12),0))</f>
        <v>M2</v>
      </c>
      <c r="E123" s="140">
        <f ca="1">IF($A123&lt;&gt;"Serviço",0,ROUND(SUMIF($F$9:$P$9,"&lt;&gt;",$F123:$P123),15-13*PO!$X$3))</f>
        <v>572.77</v>
      </c>
      <c r="F123" s="361">
        <f ca="1">OFFSET(PO!$P$12,ROW($E123)-ROW(F$12),0)</f>
        <v>572.77</v>
      </c>
      <c r="G123" s="361"/>
      <c r="H123" s="361"/>
      <c r="I123" s="361"/>
      <c r="J123" s="361"/>
      <c r="K123" s="361"/>
      <c r="L123" s="361"/>
      <c r="M123" s="361"/>
      <c r="N123" s="361"/>
      <c r="O123" s="361"/>
      <c r="U123" s="182"/>
    </row>
    <row r="124" spans="1:21" s="1" customFormat="1" ht="39.6" x14ac:dyDescent="0.25">
      <c r="A124" s="110" t="str">
        <f ca="1">OFFSET(PO!J$12,ROW(A124)-ROW($A$12),0)</f>
        <v>Serviço</v>
      </c>
      <c r="B124" s="112" t="str">
        <f ca="1">IF($A124=0,"",OFFSET(PO!K$12,ROW(B124)-ROW(B$12),0))</f>
        <v>5.2.0.2.</v>
      </c>
      <c r="C124" s="109" t="str">
        <f ca="1">IF(OFFSET(PO!N$12,ROW(C124)-ROW(C$12),0)=0,"",OFFSET(PO!N$12,ROW(C124)-ROW(C$12),0))</f>
        <v>ALVENARIA DE VEDAÇÃO DE BLOCOS CERÂMICOS FURADOS NA HORIZONTAL DE 9X19X19 CM (ESPESSURA 9 CM) E ARGAMASSA DE ASSENTAMENTO COM PREPARO EM BETONEIRA. AF_12/2021</v>
      </c>
      <c r="D124" s="111" t="str">
        <f ca="1">IF(OFFSET(PO!O$12,ROW(D124)-ROW(D$12),0)=0,"",OFFSET(PO!O$12,ROW(D124)-ROW(D$12),0))</f>
        <v>M2</v>
      </c>
      <c r="E124" s="140">
        <f ca="1">IF($A124&lt;&gt;"Serviço",0,ROUND(SUMIF($F$9:$P$9,"&lt;&gt;",$F124:$P124),15-13*PO!$X$3))</f>
        <v>1038</v>
      </c>
      <c r="F124" s="361">
        <f ca="1">OFFSET(PO!$P$12,ROW($E124)-ROW(F$12),0)</f>
        <v>1038</v>
      </c>
      <c r="G124" s="361"/>
      <c r="H124" s="361"/>
      <c r="I124" s="361"/>
      <c r="J124" s="361"/>
      <c r="K124" s="361"/>
      <c r="L124" s="361"/>
      <c r="M124" s="361"/>
      <c r="N124" s="361"/>
      <c r="O124" s="361"/>
      <c r="U124" s="182"/>
    </row>
    <row r="125" spans="1:21" s="1" customFormat="1" ht="39.6" x14ac:dyDescent="0.25">
      <c r="A125" s="110" t="str">
        <f ca="1">OFFSET(PO!J$12,ROW(A125)-ROW($A$12),0)</f>
        <v>Serviço</v>
      </c>
      <c r="B125" s="112" t="str">
        <f ca="1">IF($A125=0,"",OFFSET(PO!K$12,ROW(B125)-ROW(B$12),0))</f>
        <v>5.2.0.3.</v>
      </c>
      <c r="C125" s="109" t="str">
        <f ca="1">IF(OFFSET(PO!N$12,ROW(C125)-ROW(C$12),0)=0,"",OFFSET(PO!N$12,ROW(C125)-ROW(C$12),0))</f>
        <v>ALVENARIA DE VEDAÇÃO DE BLOCOS CERÂMICOS FURADOS NA VERTICAL DE 14X19X39 CM (ESPESSURA 14 CM) E ARGAMASSA DE ASSENTAMENTO COM PREPARO EM BETONEIRA. AF_12/2021</v>
      </c>
      <c r="D125" s="111" t="str">
        <f ca="1">IF(OFFSET(PO!O$12,ROW(D125)-ROW(D$12),0)=0,"",OFFSET(PO!O$12,ROW(D125)-ROW(D$12),0))</f>
        <v>M2</v>
      </c>
      <c r="E125" s="140">
        <f ca="1">IF($A125&lt;&gt;"Serviço",0,ROUND(SUMIF($F$9:$P$9,"&lt;&gt;",$F125:$P125),15-13*PO!$X$3))</f>
        <v>564.11</v>
      </c>
      <c r="F125" s="361">
        <f ca="1">OFFSET(PO!$P$12,ROW($E125)-ROW(F$12),0)</f>
        <v>564.11</v>
      </c>
      <c r="G125" s="361"/>
      <c r="H125" s="361"/>
      <c r="I125" s="361"/>
      <c r="J125" s="361"/>
      <c r="K125" s="361"/>
      <c r="L125" s="361"/>
      <c r="M125" s="361"/>
      <c r="N125" s="361"/>
      <c r="O125" s="361"/>
      <c r="U125" s="182"/>
    </row>
    <row r="126" spans="1:21" s="1" customFormat="1" ht="39.6" x14ac:dyDescent="0.25">
      <c r="A126" s="110" t="str">
        <f ca="1">OFFSET(PO!J$12,ROW(A126)-ROW($A$12),0)</f>
        <v>Serviço</v>
      </c>
      <c r="B126" s="112" t="str">
        <f ca="1">IF($A126=0,"",OFFSET(PO!K$12,ROW(B126)-ROW(B$12),0))</f>
        <v>5.2.0.4.</v>
      </c>
      <c r="C126" s="109" t="str">
        <f ca="1">IF(OFFSET(PO!N$12,ROW(C126)-ROW(C$12),0)=0,"",OFFSET(PO!N$12,ROW(C126)-ROW(C$12),0))</f>
        <v>ALVENARIA DE VEDAÇÃO DE BLOCOS CERÂMICOS MACIÇOS DE 5X10X20CM (ESPESSURA 10CM) E ARGAMASSA DE ASSENTAMENTO COM PREPARO EM BETONEIRA. AF_05/2020</v>
      </c>
      <c r="D126" s="111" t="str">
        <f ca="1">IF(OFFSET(PO!O$12,ROW(D126)-ROW(D$12),0)=0,"",OFFSET(PO!O$12,ROW(D126)-ROW(D$12),0))</f>
        <v>M2</v>
      </c>
      <c r="E126" s="140">
        <f ca="1">IF($A126&lt;&gt;"Serviço",0,ROUND(SUMIF($F$9:$P$9,"&lt;&gt;",$F126:$P126),15-13*PO!$X$3))</f>
        <v>9.7200000000000006</v>
      </c>
      <c r="F126" s="361">
        <f ca="1">OFFSET(PO!$P$12,ROW($E126)-ROW(F$12),0)</f>
        <v>9.7200000000000006</v>
      </c>
      <c r="G126" s="361"/>
      <c r="H126" s="361"/>
      <c r="I126" s="361"/>
      <c r="J126" s="361"/>
      <c r="K126" s="361"/>
      <c r="L126" s="361"/>
      <c r="M126" s="361"/>
      <c r="N126" s="361"/>
      <c r="O126" s="361"/>
      <c r="U126" s="182"/>
    </row>
    <row r="127" spans="1:21" s="1" customFormat="1" ht="26.4" x14ac:dyDescent="0.25">
      <c r="A127" s="110" t="str">
        <f ca="1">OFFSET(PO!J$12,ROW(A127)-ROW($A$12),0)</f>
        <v>Serviço</v>
      </c>
      <c r="B127" s="112" t="str">
        <f ca="1">IF($A127=0,"",OFFSET(PO!K$12,ROW(B127)-ROW(B$12),0))</f>
        <v>5.2.0.5.</v>
      </c>
      <c r="C127" s="109" t="str">
        <f ca="1">IF(OFFSET(PO!N$12,ROW(C127)-ROW(C$12),0)=0,"",OFFSET(PO!N$12,ROW(C127)-ROW(C$12),0))</f>
        <v>FIXAÇÃO (ENCUNHAMENTO) DE ALVENARIA DE VEDAÇÃO COM ARGAMASSA APLICADA COM BISNAGA. AF_03/2024</v>
      </c>
      <c r="D127" s="111" t="str">
        <f ca="1">IF(OFFSET(PO!O$12,ROW(D127)-ROW(D$12),0)=0,"",OFFSET(PO!O$12,ROW(D127)-ROW(D$12),0))</f>
        <v>M</v>
      </c>
      <c r="E127" s="140">
        <f ca="1">IF($A127&lt;&gt;"Serviço",0,ROUND(SUMIF($F$9:$P$9,"&lt;&gt;",$F127:$P127),15-13*PO!$X$3))</f>
        <v>311.8</v>
      </c>
      <c r="F127" s="361">
        <f ca="1">OFFSET(PO!$P$12,ROW($E127)-ROW(F$12),0)</f>
        <v>311.8</v>
      </c>
      <c r="G127" s="361"/>
      <c r="H127" s="361"/>
      <c r="I127" s="361"/>
      <c r="J127" s="361"/>
      <c r="K127" s="361"/>
      <c r="L127" s="361"/>
      <c r="M127" s="361"/>
      <c r="N127" s="361"/>
      <c r="O127" s="361"/>
      <c r="U127" s="182"/>
    </row>
    <row r="128" spans="1:21" s="1" customFormat="1" x14ac:dyDescent="0.25">
      <c r="A128" s="110" t="str">
        <f ca="1">OFFSET(PO!J$12,ROW(A128)-ROW($A$12),0)</f>
        <v>Nível 2</v>
      </c>
      <c r="B128" s="112" t="str">
        <f ca="1">IF($A128=0,"",OFFSET(PO!K$12,ROW(B128)-ROW(B$12),0))</f>
        <v>5.3.</v>
      </c>
      <c r="C128" s="109" t="str">
        <f ca="1">IF(OFFSET(PO!N$12,ROW(C128)-ROW(C$12),0)=0,"",OFFSET(PO!N$12,ROW(C128)-ROW(C$12),0))</f>
        <v>ALVENARIA DA MURETA</v>
      </c>
      <c r="D128" s="111" t="str">
        <f ca="1">IF(OFFSET(PO!O$12,ROW(D128)-ROW(D$12),0)=0,"",OFFSET(PO!O$12,ROW(D128)-ROW(D$12),0))</f>
        <v/>
      </c>
      <c r="E128" s="140">
        <f ca="1">IF($A128&lt;&gt;"Serviço",0,ROUND(SUMIF($F$9:$P$9,"&lt;&gt;",$F128:$P128),15-13*PO!$X$3))</f>
        <v>0</v>
      </c>
      <c r="F128" s="361">
        <f ca="1">OFFSET(PO!$P$12,ROW($E128)-ROW(F$12),0)</f>
        <v>0</v>
      </c>
      <c r="G128" s="361"/>
      <c r="H128" s="361"/>
      <c r="I128" s="361"/>
      <c r="J128" s="361"/>
      <c r="K128" s="361"/>
      <c r="L128" s="361"/>
      <c r="M128" s="361"/>
      <c r="N128" s="361"/>
      <c r="O128" s="361"/>
      <c r="U128" s="182"/>
    </row>
    <row r="129" spans="1:21" s="1" customFormat="1" ht="39.6" x14ac:dyDescent="0.25">
      <c r="A129" s="110" t="str">
        <f ca="1">OFFSET(PO!J$12,ROW(A129)-ROW($A$12),0)</f>
        <v>Serviço</v>
      </c>
      <c r="B129" s="112" t="str">
        <f ca="1">IF($A129=0,"",OFFSET(PO!K$12,ROW(B129)-ROW(B$12),0))</f>
        <v>5.3.0.1.</v>
      </c>
      <c r="C129" s="109" t="str">
        <f ca="1">IF(OFFSET(PO!N$12,ROW(C129)-ROW(C$12),0)=0,"",OFFSET(PO!N$12,ROW(C129)-ROW(C$12),0))</f>
        <v>ALVENARIA DE VEDAÇÃO DE BLOCOS CERÂMICOS FURADOS NA VERTICAL DE 14X19X39 CM (ESPESSURA 14 CM) E ARGAMASSA DE ASSENTAMENTO COM PREPARO EM BETONEIRA. AF_12/2021</v>
      </c>
      <c r="D129" s="111" t="str">
        <f ca="1">IF(OFFSET(PO!O$12,ROW(D129)-ROW(D$12),0)=0,"",OFFSET(PO!O$12,ROW(D129)-ROW(D$12),0))</f>
        <v>M2</v>
      </c>
      <c r="E129" s="140">
        <f ca="1">IF($A129&lt;&gt;"Serviço",0,ROUND(SUMIF($F$9:$P$9,"&lt;&gt;",$F129:$P129),15-13*PO!$X$3))</f>
        <v>110.64</v>
      </c>
      <c r="F129" s="361">
        <f ca="1">OFFSET(PO!$P$12,ROW($E129)-ROW(F$12),0)</f>
        <v>110.64</v>
      </c>
      <c r="G129" s="361"/>
      <c r="H129" s="361"/>
      <c r="I129" s="361"/>
      <c r="J129" s="361"/>
      <c r="K129" s="361"/>
      <c r="L129" s="361"/>
      <c r="M129" s="361"/>
      <c r="N129" s="361"/>
      <c r="O129" s="361"/>
      <c r="U129" s="182"/>
    </row>
    <row r="130" spans="1:21" s="1" customFormat="1" x14ac:dyDescent="0.25">
      <c r="A130" s="110" t="str">
        <f ca="1">OFFSET(PO!J$12,ROW(A130)-ROW($A$12),0)</f>
        <v>Nível 2</v>
      </c>
      <c r="B130" s="112" t="str">
        <f ca="1">IF($A130=0,"",OFFSET(PO!K$12,ROW(B130)-ROW(B$12),0))</f>
        <v>5.4.</v>
      </c>
      <c r="C130" s="109" t="str">
        <f ca="1">IF(OFFSET(PO!N$12,ROW(C130)-ROW(C$12),0)=0,"",OFFSET(PO!N$12,ROW(C130)-ROW(C$12),0))</f>
        <v>DIVISÓRIAS</v>
      </c>
      <c r="D130" s="111" t="str">
        <f ca="1">IF(OFFSET(PO!O$12,ROW(D130)-ROW(D$12),0)=0,"",OFFSET(PO!O$12,ROW(D130)-ROW(D$12),0))</f>
        <v/>
      </c>
      <c r="E130" s="140">
        <f ca="1">IF($A130&lt;&gt;"Serviço",0,ROUND(SUMIF($F$9:$P$9,"&lt;&gt;",$F130:$P130),15-13*PO!$X$3))</f>
        <v>0</v>
      </c>
      <c r="F130" s="361">
        <f ca="1">OFFSET(PO!$P$12,ROW($E130)-ROW(F$12),0)</f>
        <v>0</v>
      </c>
      <c r="G130" s="361"/>
      <c r="H130" s="361"/>
      <c r="I130" s="361"/>
      <c r="J130" s="361"/>
      <c r="K130" s="361"/>
      <c r="L130" s="361"/>
      <c r="M130" s="361"/>
      <c r="N130" s="361"/>
      <c r="O130" s="361"/>
      <c r="U130" s="182"/>
    </row>
    <row r="131" spans="1:21" s="1" customFormat="1" ht="39.6" x14ac:dyDescent="0.25">
      <c r="A131" s="110" t="str">
        <f ca="1">OFFSET(PO!J$12,ROW(A131)-ROW($A$12),0)</f>
        <v>Serviço</v>
      </c>
      <c r="B131" s="112" t="str">
        <f ca="1">IF($A131=0,"",OFFSET(PO!K$12,ROW(B131)-ROW(B$12),0))</f>
        <v>5.4.0.1.</v>
      </c>
      <c r="C131" s="109" t="str">
        <f ca="1">IF(OFFSET(PO!N$12,ROW(C131)-ROW(C$12),0)=0,"",OFFSET(PO!N$12,ROW(C131)-ROW(C$12),0))</f>
        <v>DIVISORIA SANITÁRIA, TIPO CABINE, EM GRANITO CINZA POLIDO, ESP = 3CM, ASSENTADO COM ARGAMASSA COLANTE AC III-E, EXCLUSIVE FERRAGENS. AF_01/2021</v>
      </c>
      <c r="D131" s="111" t="str">
        <f ca="1">IF(OFFSET(PO!O$12,ROW(D131)-ROW(D$12),0)=0,"",OFFSET(PO!O$12,ROW(D131)-ROW(D$12),0))</f>
        <v>M2</v>
      </c>
      <c r="E131" s="140">
        <f ca="1">IF($A131&lt;&gt;"Serviço",0,ROUND(SUMIF($F$9:$P$9,"&lt;&gt;",$F131:$P131),15-13*PO!$X$3))</f>
        <v>8.06</v>
      </c>
      <c r="F131" s="361">
        <f ca="1">OFFSET(PO!$P$12,ROW($E131)-ROW(F$12),0)</f>
        <v>8.06</v>
      </c>
      <c r="G131" s="361"/>
      <c r="H131" s="361"/>
      <c r="I131" s="361"/>
      <c r="J131" s="361"/>
      <c r="K131" s="361"/>
      <c r="L131" s="361"/>
      <c r="M131" s="361"/>
      <c r="N131" s="361"/>
      <c r="O131" s="361"/>
      <c r="U131" s="182"/>
    </row>
    <row r="132" spans="1:21" s="1" customFormat="1" ht="26.4" x14ac:dyDescent="0.25">
      <c r="A132" s="110" t="str">
        <f ca="1">OFFSET(PO!J$12,ROW(A132)-ROW($A$12),0)</f>
        <v>Serviço</v>
      </c>
      <c r="B132" s="112" t="str">
        <f ca="1">IF($A132=0,"",OFFSET(PO!K$12,ROW(B132)-ROW(B$12),0))</f>
        <v>5.4.0.2.</v>
      </c>
      <c r="C132" s="109" t="str">
        <f ca="1">IF(OFFSET(PO!N$12,ROW(C132)-ROW(C$12),0)=0,"",OFFSET(PO!N$12,ROW(C132)-ROW(C$12),0))</f>
        <v>ISTALAÇÃO DE BOX DE VIDRO TEMPERADO, E=10 MM, ENCAIXADO EM PERFIL U</v>
      </c>
      <c r="D132" s="111" t="str">
        <f ca="1">IF(OFFSET(PO!O$12,ROW(D132)-ROW(D$12),0)=0,"",OFFSET(PO!O$12,ROW(D132)-ROW(D$12),0))</f>
        <v>M2</v>
      </c>
      <c r="E132" s="140">
        <f ca="1">IF($A132&lt;&gt;"Serviço",0,ROUND(SUMIF($F$9:$P$9,"&lt;&gt;",$F132:$P132),15-13*PO!$X$3))</f>
        <v>7.2</v>
      </c>
      <c r="F132" s="361">
        <f ca="1">OFFSET(PO!$P$12,ROW($E132)-ROW(F$12),0)</f>
        <v>7.2</v>
      </c>
      <c r="G132" s="361"/>
      <c r="H132" s="361"/>
      <c r="I132" s="361"/>
      <c r="J132" s="361"/>
      <c r="K132" s="361"/>
      <c r="L132" s="361"/>
      <c r="M132" s="361"/>
      <c r="N132" s="361"/>
      <c r="O132" s="361"/>
      <c r="U132" s="182"/>
    </row>
    <row r="133" spans="1:21" s="1" customFormat="1" ht="39.6" x14ac:dyDescent="0.25">
      <c r="A133" s="110" t="str">
        <f ca="1">OFFSET(PO!J$12,ROW(A133)-ROW($A$12),0)</f>
        <v>Serviço</v>
      </c>
      <c r="B133" s="112" t="str">
        <f ca="1">IF($A133=0,"",OFFSET(PO!K$12,ROW(B133)-ROW(B$12),0))</f>
        <v>5.4.0.3.</v>
      </c>
      <c r="C133" s="109" t="str">
        <f ca="1">IF(OFFSET(PO!N$12,ROW(C133)-ROW(C$12),0)=0,"",OFFSET(PO!N$12,ROW(C133)-ROW(C$12),0))</f>
        <v>PAREDE COM SISTEMA EM CHAPAS DE GESSO PARA DRYWALL, USO INTERNO, COM UMA FACE SIMPLES E ESTRUTURA METÁLICA COM GUIAS SIMPLES, SEM VÃOS. AF_07/2023_PS</v>
      </c>
      <c r="D133" s="111" t="str">
        <f ca="1">IF(OFFSET(PO!O$12,ROW(D133)-ROW(D$12),0)=0,"",OFFSET(PO!O$12,ROW(D133)-ROW(D$12),0))</f>
        <v>M2</v>
      </c>
      <c r="E133" s="140">
        <f ca="1">IF($A133&lt;&gt;"Serviço",0,ROUND(SUMIF($F$9:$P$9,"&lt;&gt;",$F133:$P133),15-13*PO!$X$3))</f>
        <v>3.6</v>
      </c>
      <c r="F133" s="361">
        <f ca="1">OFFSET(PO!$P$12,ROW($E133)-ROW(F$12),0)</f>
        <v>3.6</v>
      </c>
      <c r="G133" s="361"/>
      <c r="H133" s="361"/>
      <c r="I133" s="361"/>
      <c r="J133" s="361"/>
      <c r="K133" s="361"/>
      <c r="L133" s="361"/>
      <c r="M133" s="361"/>
      <c r="N133" s="361"/>
      <c r="O133" s="361"/>
      <c r="U133" s="182"/>
    </row>
    <row r="134" spans="1:21" s="1" customFormat="1" x14ac:dyDescent="0.25">
      <c r="A134" s="110" t="str">
        <f ca="1">OFFSET(PO!J$12,ROW(A134)-ROW($A$12),0)</f>
        <v>Meta</v>
      </c>
      <c r="B134" s="112" t="str">
        <f ca="1">IF($A134=0,"",OFFSET(PO!K$12,ROW(B134)-ROW(B$12),0))</f>
        <v>6.</v>
      </c>
      <c r="C134" s="109" t="str">
        <f ca="1">IF(OFFSET(PO!N$12,ROW(C134)-ROW(C$12),0)=0,"",OFFSET(PO!N$12,ROW(C134)-ROW(C$12),0))</f>
        <v>ESQUADRIAS</v>
      </c>
      <c r="D134" s="111" t="str">
        <f ca="1">IF(OFFSET(PO!O$12,ROW(D134)-ROW(D$12),0)=0,"",OFFSET(PO!O$12,ROW(D134)-ROW(D$12),0))</f>
        <v/>
      </c>
      <c r="E134" s="140">
        <f ca="1">IF($A134&lt;&gt;"Serviço",0,ROUND(SUMIF($F$9:$P$9,"&lt;&gt;",$F134:$P134),15-13*PO!$X$3))</f>
        <v>0</v>
      </c>
      <c r="F134" s="361">
        <f ca="1">OFFSET(PO!$P$12,ROW($E134)-ROW(F$12),0)</f>
        <v>0</v>
      </c>
      <c r="G134" s="361"/>
      <c r="H134" s="361"/>
      <c r="I134" s="361"/>
      <c r="J134" s="361"/>
      <c r="K134" s="361"/>
      <c r="L134" s="361"/>
      <c r="M134" s="361"/>
      <c r="N134" s="361"/>
      <c r="O134" s="361"/>
      <c r="U134" s="182"/>
    </row>
    <row r="135" spans="1:21" s="1" customFormat="1" x14ac:dyDescent="0.25">
      <c r="A135" s="110" t="str">
        <f ca="1">OFFSET(PO!J$12,ROW(A135)-ROW($A$12),0)</f>
        <v>Nível 2</v>
      </c>
      <c r="B135" s="112" t="str">
        <f ca="1">IF($A135=0,"",OFFSET(PO!K$12,ROW(B135)-ROW(B$12),0))</f>
        <v>6.1.</v>
      </c>
      <c r="C135" s="109" t="str">
        <f ca="1">IF(OFFSET(PO!N$12,ROW(C135)-ROW(C$12),0)=0,"",OFFSET(PO!N$12,ROW(C135)-ROW(C$12),0))</f>
        <v>PORTAS DE MADEIRA</v>
      </c>
      <c r="D135" s="111" t="str">
        <f ca="1">IF(OFFSET(PO!O$12,ROW(D135)-ROW(D$12),0)=0,"",OFFSET(PO!O$12,ROW(D135)-ROW(D$12),0))</f>
        <v/>
      </c>
      <c r="E135" s="140">
        <f ca="1">IF($A135&lt;&gt;"Serviço",0,ROUND(SUMIF($F$9:$P$9,"&lt;&gt;",$F135:$P135),15-13*PO!$X$3))</f>
        <v>0</v>
      </c>
      <c r="F135" s="361">
        <f ca="1">OFFSET(PO!$P$12,ROW($E135)-ROW(F$12),0)</f>
        <v>0</v>
      </c>
      <c r="G135" s="361"/>
      <c r="H135" s="361"/>
      <c r="I135" s="361"/>
      <c r="J135" s="361"/>
      <c r="K135" s="361"/>
      <c r="L135" s="361"/>
      <c r="M135" s="361"/>
      <c r="N135" s="361"/>
      <c r="O135" s="361"/>
      <c r="U135" s="182"/>
    </row>
    <row r="136" spans="1:21" s="1" customFormat="1" ht="66" x14ac:dyDescent="0.25">
      <c r="A136" s="110" t="str">
        <f ca="1">OFFSET(PO!J$12,ROW(A136)-ROW($A$12),0)</f>
        <v>Serviço</v>
      </c>
      <c r="B136" s="112" t="str">
        <f ca="1">IF($A136=0,"",OFFSET(PO!K$12,ROW(B136)-ROW(B$12),0))</f>
        <v>6.1.0.1.</v>
      </c>
      <c r="C136" s="109" t="str">
        <f ca="1">IF(OFFSET(PO!N$12,ROW(C136)-ROW(C$12),0)=0,"",OFFSET(PO!N$12,ROW(C136)-ROW(C$12),0))</f>
        <v>FNDE 433 PM1 - KIT DE PORTA DE MADEIRA PARA PINTURA, SEMI-OCA (LEVE OU MÉDIA), PADRÃO MÉDIO, 70X210CM, ESPESSURA DE 3,5CM, ITENS INCLUSOS: DOBRADIÇAS, MONTAGEM E INSTALAÇÃO DO BATENTE, FECHADURA COM EXECUÇÃO DO FURO - FORNECIMENTO E INSTALAÇÃO (UN)</v>
      </c>
      <c r="D136" s="111" t="str">
        <f ca="1">IF(OFFSET(PO!O$12,ROW(D136)-ROW(D$12),0)=0,"",OFFSET(PO!O$12,ROW(D136)-ROW(D$12),0))</f>
        <v>UN</v>
      </c>
      <c r="E136" s="140">
        <f ca="1">IF($A136&lt;&gt;"Serviço",0,ROUND(SUMIF($F$9:$P$9,"&lt;&gt;",$F136:$P136),15-13*PO!$X$3))</f>
        <v>6</v>
      </c>
      <c r="F136" s="361">
        <f ca="1">OFFSET(PO!$P$12,ROW($E136)-ROW(F$12),0)</f>
        <v>6</v>
      </c>
      <c r="G136" s="361"/>
      <c r="H136" s="361"/>
      <c r="I136" s="361"/>
      <c r="J136" s="361"/>
      <c r="K136" s="361"/>
      <c r="L136" s="361"/>
      <c r="M136" s="361"/>
      <c r="N136" s="361"/>
      <c r="O136" s="361"/>
      <c r="U136" s="182"/>
    </row>
    <row r="137" spans="1:21" s="1" customFormat="1" ht="66" x14ac:dyDescent="0.25">
      <c r="A137" s="110" t="str">
        <f ca="1">OFFSET(PO!J$12,ROW(A137)-ROW($A$12),0)</f>
        <v>Serviço</v>
      </c>
      <c r="B137" s="112" t="str">
        <f ca="1">IF($A137=0,"",OFFSET(PO!K$12,ROW(B137)-ROW(B$12),0))</f>
        <v>6.1.0.2.</v>
      </c>
      <c r="C137" s="109" t="str">
        <f ca="1">IF(OFFSET(PO!N$12,ROW(C137)-ROW(C$12),0)=0,"",OFFSET(PO!N$12,ROW(C137)-ROW(C$12),0))</f>
        <v>PM 2 - KIT DE PORTA DE MADEIRA COM VENEZIANA, 80X210CM (ESPESSURA DE 3CM), PADRÃO MÉDIO, ITENS INCLUSOS: DOBRADIÇAS, MONTAGEM E INSTALAÇÃO DE BATENTE, FECHADURA COM EXECUÇÃO DO FURO - FORNECIMENTO E INSTALAÇÃO (UN)</v>
      </c>
      <c r="D137" s="111" t="str">
        <f ca="1">IF(OFFSET(PO!O$12,ROW(D137)-ROW(D$12),0)=0,"",OFFSET(PO!O$12,ROW(D137)-ROW(D$12),0))</f>
        <v>UN</v>
      </c>
      <c r="E137" s="140">
        <f ca="1">IF($A137&lt;&gt;"Serviço",0,ROUND(SUMIF($F$9:$P$9,"&lt;&gt;",$F137:$P137),15-13*PO!$X$3))</f>
        <v>3</v>
      </c>
      <c r="F137" s="361">
        <f ca="1">OFFSET(PO!$P$12,ROW($E137)-ROW(F$12),0)</f>
        <v>3</v>
      </c>
      <c r="G137" s="361"/>
      <c r="H137" s="361"/>
      <c r="I137" s="361"/>
      <c r="J137" s="361"/>
      <c r="K137" s="361"/>
      <c r="L137" s="361"/>
      <c r="M137" s="361"/>
      <c r="N137" s="361"/>
      <c r="O137" s="361"/>
      <c r="U137" s="182"/>
    </row>
    <row r="138" spans="1:21" s="1" customFormat="1" ht="66" x14ac:dyDescent="0.25">
      <c r="A138" s="110" t="str">
        <f ca="1">OFFSET(PO!J$12,ROW(A138)-ROW($A$12),0)</f>
        <v>Serviço</v>
      </c>
      <c r="B138" s="112" t="str">
        <f ca="1">IF($A138=0,"",OFFSET(PO!K$12,ROW(B138)-ROW(B$12),0))</f>
        <v>6.1.0.3.</v>
      </c>
      <c r="C138" s="109" t="str">
        <f ca="1">IF(OFFSET(PO!N$12,ROW(C138)-ROW(C$12),0)=0,"",OFFSET(PO!N$12,ROW(C138)-ROW(C$12),0))</f>
        <v>PM3 - KIT DE PORTA DE MADEIRA FRISADA, SEMI-OCA (LEVE OU MÉDIA), PADRÃO MÉDIO, 80X210CM, ESPESSURA DE 3,5CM, ITENS INCLUSOS: DOBRADIÇAS, MONTAGEM E INSTALAÇÃO DE BATENTE, FECHADURA COM EXECUÇÃO DO FURO - FORNECIMENTO E INSTALAÇÃO. AF_12/2019 (UN)</v>
      </c>
      <c r="D138" s="111" t="str">
        <f ca="1">IF(OFFSET(PO!O$12,ROW(D138)-ROW(D$12),0)=0,"",OFFSET(PO!O$12,ROW(D138)-ROW(D$12),0))</f>
        <v>UN</v>
      </c>
      <c r="E138" s="140">
        <f ca="1">IF($A138&lt;&gt;"Serviço",0,ROUND(SUMIF($F$9:$P$9,"&lt;&gt;",$F138:$P138),15-13*PO!$X$3))</f>
        <v>6</v>
      </c>
      <c r="F138" s="361">
        <f ca="1">OFFSET(PO!$P$12,ROW($E138)-ROW(F$12),0)</f>
        <v>6</v>
      </c>
      <c r="G138" s="361"/>
      <c r="H138" s="361"/>
      <c r="I138" s="361"/>
      <c r="J138" s="361"/>
      <c r="K138" s="361"/>
      <c r="L138" s="361"/>
      <c r="M138" s="361"/>
      <c r="N138" s="361"/>
      <c r="O138" s="361"/>
      <c r="U138" s="182"/>
    </row>
    <row r="139" spans="1:21" s="1" customFormat="1" ht="66" x14ac:dyDescent="0.25">
      <c r="A139" s="110" t="str">
        <f ca="1">OFFSET(PO!J$12,ROW(A139)-ROW($A$12),0)</f>
        <v>Serviço</v>
      </c>
      <c r="B139" s="112" t="str">
        <f ca="1">IF($A139=0,"",OFFSET(PO!K$12,ROW(B139)-ROW(B$12),0))</f>
        <v>6.1.0.4.</v>
      </c>
      <c r="C139" s="109" t="str">
        <f ca="1">IF(OFFSET(PO!N$12,ROW(C139)-ROW(C$12),0)=0,"",OFFSET(PO!N$12,ROW(C139)-ROW(C$12),0))</f>
        <v>PM4 - KIT DE PORTA DE MADEIRA FRISADA, SEMI-OCA (LEVE OU MÉDIA), PADRÃO MÉDIO, 80X210CM, ESPESSURA DE 3,5CM, ITENS INCLUSOS: DOBRADIÇAS, MONTAGEM E INSTALAÇÃO DE BATENTE, FECHADURA COM EXECUÇÃO DO FURO - FORNECIMENTO E INSTALAÇÃO. AF_12/2019 (UN)</v>
      </c>
      <c r="D139" s="111" t="str">
        <f ca="1">IF(OFFSET(PO!O$12,ROW(D139)-ROW(D$12),0)=0,"",OFFSET(PO!O$12,ROW(D139)-ROW(D$12),0))</f>
        <v>UN</v>
      </c>
      <c r="E139" s="140">
        <f ca="1">IF($A139&lt;&gt;"Serviço",0,ROUND(SUMIF($F$9:$P$9,"&lt;&gt;",$F139:$P139),15-13*PO!$X$3))</f>
        <v>3</v>
      </c>
      <c r="F139" s="361">
        <f ca="1">OFFSET(PO!$P$12,ROW($E139)-ROW(F$12),0)</f>
        <v>3</v>
      </c>
      <c r="G139" s="361"/>
      <c r="H139" s="361"/>
      <c r="I139" s="361"/>
      <c r="J139" s="361"/>
      <c r="K139" s="361"/>
      <c r="L139" s="361"/>
      <c r="M139" s="361"/>
      <c r="N139" s="361"/>
      <c r="O139" s="361"/>
      <c r="U139" s="182"/>
    </row>
    <row r="140" spans="1:21" s="1" customFormat="1" ht="66" x14ac:dyDescent="0.25">
      <c r="A140" s="110" t="str">
        <f ca="1">OFFSET(PO!J$12,ROW(A140)-ROW($A$12),0)</f>
        <v>Serviço</v>
      </c>
      <c r="B140" s="112" t="str">
        <f ca="1">IF($A140=0,"",OFFSET(PO!K$12,ROW(B140)-ROW(B$12),0))</f>
        <v>6.1.0.5.</v>
      </c>
      <c r="C140" s="109" t="str">
        <f ca="1">IF(OFFSET(PO!N$12,ROW(C140)-ROW(C$12),0)=0,"",OFFSET(PO!N$12,ROW(C140)-ROW(C$12),0))</f>
        <v>PM5 - KIT DE PORTA DE MADEIRA COM VISOR DE VIDRO, 80X210CM (ESPESSURA DE 3CM), PADRÃO POPULAR, ITENS INCLUSOS: DOBRADIÇAS, MONTAGEM E INSTALAÇÃO DE BATENTE, FECHADURA COM EXECUÇÃO DO FURO - FORNECIMENTO E INSTALAÇÃO. AF_12/2019 (UN)</v>
      </c>
      <c r="D140" s="111" t="str">
        <f ca="1">IF(OFFSET(PO!O$12,ROW(D140)-ROW(D$12),0)=0,"",OFFSET(PO!O$12,ROW(D140)-ROW(D$12),0))</f>
        <v>UN</v>
      </c>
      <c r="E140" s="140">
        <f ca="1">IF($A140&lt;&gt;"Serviço",0,ROUND(SUMIF($F$9:$P$9,"&lt;&gt;",$F140:$P140),15-13*PO!$X$3))</f>
        <v>5</v>
      </c>
      <c r="F140" s="361">
        <f ca="1">OFFSET(PO!$P$12,ROW($E140)-ROW(F$12),0)</f>
        <v>5</v>
      </c>
      <c r="G140" s="361"/>
      <c r="H140" s="361"/>
      <c r="I140" s="361"/>
      <c r="J140" s="361"/>
      <c r="K140" s="361"/>
      <c r="L140" s="361"/>
      <c r="M140" s="361"/>
      <c r="N140" s="361"/>
      <c r="O140" s="361"/>
      <c r="U140" s="182"/>
    </row>
    <row r="141" spans="1:21" s="1" customFormat="1" ht="26.4" x14ac:dyDescent="0.25">
      <c r="A141" s="110" t="str">
        <f ca="1">OFFSET(PO!J$12,ROW(A141)-ROW($A$12),0)</f>
        <v>Serviço</v>
      </c>
      <c r="B141" s="112" t="str">
        <f ca="1">IF($A141=0,"",OFFSET(PO!K$12,ROW(B141)-ROW(B$12),0))</f>
        <v>6.1.0.6.</v>
      </c>
      <c r="C141" s="109" t="str">
        <f ca="1">IF(OFFSET(PO!N$12,ROW(C141)-ROW(C$12),0)=0,"",OFFSET(PO!N$12,ROW(C141)-ROW(C$12),0))</f>
        <v>PM6 -PORTA EM COMPENSADO DE MADEIRA E=2cm REVESTIDA COM LAMINADO MELAMÍNICO COM VARIAÇÃO DE CORES (UN)</v>
      </c>
      <c r="D141" s="111" t="str">
        <f ca="1">IF(OFFSET(PO!O$12,ROW(D141)-ROW(D$12),0)=0,"",OFFSET(PO!O$12,ROW(D141)-ROW(D$12),0))</f>
        <v>UN</v>
      </c>
      <c r="E141" s="140">
        <f ca="1">IF($A141&lt;&gt;"Serviço",0,ROUND(SUMIF($F$9:$P$9,"&lt;&gt;",$F141:$P141),15-13*PO!$X$3))</f>
        <v>4</v>
      </c>
      <c r="F141" s="361">
        <f ca="1">OFFSET(PO!$P$12,ROW($E141)-ROW(F$12),0)</f>
        <v>4</v>
      </c>
      <c r="G141" s="361"/>
      <c r="H141" s="361"/>
      <c r="I141" s="361"/>
      <c r="J141" s="361"/>
      <c r="K141" s="361"/>
      <c r="L141" s="361"/>
      <c r="M141" s="361"/>
      <c r="N141" s="361"/>
      <c r="O141" s="361"/>
      <c r="U141" s="182"/>
    </row>
    <row r="142" spans="1:21" s="1" customFormat="1" ht="26.4" x14ac:dyDescent="0.25">
      <c r="A142" s="110" t="str">
        <f ca="1">OFFSET(PO!J$12,ROW(A142)-ROW($A$12),0)</f>
        <v>Serviço</v>
      </c>
      <c r="B142" s="112" t="str">
        <f ca="1">IF($A142=0,"",OFFSET(PO!K$12,ROW(B142)-ROW(B$12),0))</f>
        <v>6.1.0.7.</v>
      </c>
      <c r="C142" s="109" t="str">
        <f ca="1">IF(OFFSET(PO!N$12,ROW(C142)-ROW(C$12),0)=0,"",OFFSET(PO!N$12,ROW(C142)-ROW(C$12),0))</f>
        <v xml:space="preserve"> INSTALAÇÃO DE VIDRO LISO INCOLOR ESQUADRIA PM5 , E = 6 MM, EM ESQUADRIA DE MADEIRA, FIXADO COM BAGUETE (M2)</v>
      </c>
      <c r="D142" s="111" t="str">
        <f ca="1">IF(OFFSET(PO!O$12,ROW(D142)-ROW(D$12),0)=0,"",OFFSET(PO!O$12,ROW(D142)-ROW(D$12),0))</f>
        <v>M2</v>
      </c>
      <c r="E142" s="140">
        <f ca="1">IF($A142&lt;&gt;"Serviço",0,ROUND(SUMIF($F$9:$P$9,"&lt;&gt;",$F142:$P142),15-13*PO!$X$3))</f>
        <v>1.8</v>
      </c>
      <c r="F142" s="361">
        <f ca="1">OFFSET(PO!$P$12,ROW($E142)-ROW(F$12),0)</f>
        <v>1.8</v>
      </c>
      <c r="G142" s="361"/>
      <c r="H142" s="361"/>
      <c r="I142" s="361"/>
      <c r="J142" s="361"/>
      <c r="K142" s="361"/>
      <c r="L142" s="361"/>
      <c r="M142" s="361"/>
      <c r="N142" s="361"/>
      <c r="O142" s="361"/>
      <c r="U142" s="182"/>
    </row>
    <row r="143" spans="1:21" s="1" customFormat="1" x14ac:dyDescent="0.25">
      <c r="A143" s="110" t="str">
        <f ca="1">OFFSET(PO!J$12,ROW(A143)-ROW($A$12),0)</f>
        <v>Nível 2</v>
      </c>
      <c r="B143" s="112" t="str">
        <f ca="1">IF($A143=0,"",OFFSET(PO!K$12,ROW(B143)-ROW(B$12),0))</f>
        <v>6.2.</v>
      </c>
      <c r="C143" s="109" t="str">
        <f ca="1">IF(OFFSET(PO!N$12,ROW(C143)-ROW(C$12),0)=0,"",OFFSET(PO!N$12,ROW(C143)-ROW(C$12),0))</f>
        <v>FERRAGENS E ACESSÓRIOS</v>
      </c>
      <c r="D143" s="111" t="str">
        <f ca="1">IF(OFFSET(PO!O$12,ROW(D143)-ROW(D$12),0)=0,"",OFFSET(PO!O$12,ROW(D143)-ROW(D$12),0))</f>
        <v/>
      </c>
      <c r="E143" s="140">
        <f ca="1">IF($A143&lt;&gt;"Serviço",0,ROUND(SUMIF($F$9:$P$9,"&lt;&gt;",$F143:$P143),15-13*PO!$X$3))</f>
        <v>0</v>
      </c>
      <c r="F143" s="361">
        <f ca="1">OFFSET(PO!$P$12,ROW($E143)-ROW(F$12),0)</f>
        <v>0</v>
      </c>
      <c r="G143" s="361"/>
      <c r="H143" s="361"/>
      <c r="I143" s="361"/>
      <c r="J143" s="361"/>
      <c r="K143" s="361"/>
      <c r="L143" s="361"/>
      <c r="M143" s="361"/>
      <c r="N143" s="361"/>
      <c r="O143" s="361"/>
      <c r="U143" s="182"/>
    </row>
    <row r="144" spans="1:21" s="1" customFormat="1" ht="26.4" x14ac:dyDescent="0.25">
      <c r="A144" s="110" t="str">
        <f ca="1">OFFSET(PO!J$12,ROW(A144)-ROW($A$12),0)</f>
        <v>Serviço</v>
      </c>
      <c r="B144" s="112" t="str">
        <f ca="1">IF($A144=0,"",OFFSET(PO!K$12,ROW(B144)-ROW(B$12),0))</f>
        <v>6.2.0.1.</v>
      </c>
      <c r="C144" s="109" t="str">
        <f ca="1">IF(OFFSET(PO!N$12,ROW(C144)-ROW(C$12),0)=0,"",OFFSET(PO!N$12,ROW(C144)-ROW(C$12),0))</f>
        <v>TARJETA TIPO LIVRE/OCUPADO PARA PORTA DE BANHEIRO. AF_12/2019</v>
      </c>
      <c r="D144" s="111" t="str">
        <f ca="1">IF(OFFSET(PO!O$12,ROW(D144)-ROW(D$12),0)=0,"",OFFSET(PO!O$12,ROW(D144)-ROW(D$12),0))</f>
        <v>UN</v>
      </c>
      <c r="E144" s="140">
        <f ca="1">IF($A144&lt;&gt;"Serviço",0,ROUND(SUMIF($F$9:$P$9,"&lt;&gt;",$F144:$P144),15-13*PO!$X$3))</f>
        <v>4</v>
      </c>
      <c r="F144" s="361">
        <f ca="1">OFFSET(PO!$P$12,ROW($E144)-ROW(F$12),0)</f>
        <v>4</v>
      </c>
      <c r="G144" s="361"/>
      <c r="H144" s="361"/>
      <c r="I144" s="361"/>
      <c r="J144" s="361"/>
      <c r="K144" s="361"/>
      <c r="L144" s="361"/>
      <c r="M144" s="361"/>
      <c r="N144" s="361"/>
      <c r="O144" s="361"/>
      <c r="U144" s="182"/>
    </row>
    <row r="145" spans="1:21" s="1" customFormat="1" ht="39.6" x14ac:dyDescent="0.25">
      <c r="A145" s="110" t="str">
        <f ca="1">OFFSET(PO!J$12,ROW(A145)-ROW($A$12),0)</f>
        <v>Serviço</v>
      </c>
      <c r="B145" s="112" t="str">
        <f ca="1">IF($A145=0,"",OFFSET(PO!K$12,ROW(B145)-ROW(B$12),0))</f>
        <v>6.2.0.2.</v>
      </c>
      <c r="C145" s="109" t="str">
        <f ca="1">IF(OFFSET(PO!N$12,ROW(C145)-ROW(C$12),0)=0,"",OFFSET(PO!N$12,ROW(C145)-ROW(C$12),0))</f>
        <v>BARRA DE APOIO RETA, EM ACO INOX POLIDO, COMPRIMENTO 60CM, FIXADA NA PAREDE - FORNECIMENTO E INSTALAÇÃO. AF_01/2020</v>
      </c>
      <c r="D145" s="111" t="str">
        <f ca="1">IF(OFFSET(PO!O$12,ROW(D145)-ROW(D$12),0)=0,"",OFFSET(PO!O$12,ROW(D145)-ROW(D$12),0))</f>
        <v>UN</v>
      </c>
      <c r="E145" s="140">
        <f ca="1">IF($A145&lt;&gt;"Serviço",0,ROUND(SUMIF($F$9:$P$9,"&lt;&gt;",$F145:$P145),15-13*PO!$X$3))</f>
        <v>8</v>
      </c>
      <c r="F145" s="361">
        <f ca="1">OFFSET(PO!$P$12,ROW($E145)-ROW(F$12),0)</f>
        <v>8</v>
      </c>
      <c r="G145" s="361"/>
      <c r="H145" s="361"/>
      <c r="I145" s="361"/>
      <c r="J145" s="361"/>
      <c r="K145" s="361"/>
      <c r="L145" s="361"/>
      <c r="M145" s="361"/>
      <c r="N145" s="361"/>
      <c r="O145" s="361"/>
      <c r="U145" s="182"/>
    </row>
    <row r="146" spans="1:21" s="1" customFormat="1" ht="26.4" x14ac:dyDescent="0.25">
      <c r="A146" s="110" t="str">
        <f ca="1">OFFSET(PO!J$12,ROW(A146)-ROW($A$12),0)</f>
        <v>Serviço</v>
      </c>
      <c r="B146" s="112" t="str">
        <f ca="1">IF($A146=0,"",OFFSET(PO!K$12,ROW(B146)-ROW(B$12),0))</f>
        <v>6.2.0.3.</v>
      </c>
      <c r="C146" s="109" t="str">
        <f ca="1">IF(OFFSET(PO!N$12,ROW(C146)-ROW(C$12),0)=0,"",OFFSET(PO!N$12,ROW(C146)-ROW(C$12),0))</f>
        <v>CHAPA METÁLICA (ALUMÍNIO) 0,90 M X 0,40 M, ESPESSURA 1 MM PARA AS PORTAS (M²)</v>
      </c>
      <c r="D146" s="111" t="str">
        <f ca="1">IF(OFFSET(PO!O$12,ROW(D146)-ROW(D$12),0)=0,"",OFFSET(PO!O$12,ROW(D146)-ROW(D$12),0))</f>
        <v>M2</v>
      </c>
      <c r="E146" s="140">
        <f ca="1">IF($A146&lt;&gt;"Serviço",0,ROUND(SUMIF($F$9:$P$9,"&lt;&gt;",$F146:$P146),15-13*PO!$X$3))</f>
        <v>12.8</v>
      </c>
      <c r="F146" s="361">
        <f ca="1">OFFSET(PO!$P$12,ROW($E146)-ROW(F$12),0)</f>
        <v>12.8</v>
      </c>
      <c r="G146" s="361"/>
      <c r="H146" s="361"/>
      <c r="I146" s="361"/>
      <c r="J146" s="361"/>
      <c r="K146" s="361"/>
      <c r="L146" s="361"/>
      <c r="M146" s="361"/>
      <c r="N146" s="361"/>
      <c r="O146" s="361"/>
      <c r="U146" s="182"/>
    </row>
    <row r="147" spans="1:21" s="1" customFormat="1" x14ac:dyDescent="0.25">
      <c r="A147" s="110" t="str">
        <f ca="1">OFFSET(PO!J$12,ROW(A147)-ROW($A$12),0)</f>
        <v>Nível 2</v>
      </c>
      <c r="B147" s="112" t="str">
        <f ca="1">IF($A147=0,"",OFFSET(PO!K$12,ROW(B147)-ROW(B$12),0))</f>
        <v>6.3.</v>
      </c>
      <c r="C147" s="109" t="str">
        <f ca="1">IF(OFFSET(PO!N$12,ROW(C147)-ROW(C$12),0)=0,"",OFFSET(PO!N$12,ROW(C147)-ROW(C$12),0))</f>
        <v>PORTA EM ALUMÍNIO</v>
      </c>
      <c r="D147" s="111" t="str">
        <f ca="1">IF(OFFSET(PO!O$12,ROW(D147)-ROW(D$12),0)=0,"",OFFSET(PO!O$12,ROW(D147)-ROW(D$12),0))</f>
        <v/>
      </c>
      <c r="E147" s="140">
        <f ca="1">IF($A147&lt;&gt;"Serviço",0,ROUND(SUMIF($F$9:$P$9,"&lt;&gt;",$F147:$P147),15-13*PO!$X$3))</f>
        <v>0</v>
      </c>
      <c r="F147" s="361">
        <f ca="1">OFFSET(PO!$P$12,ROW($E147)-ROW(F$12),0)</f>
        <v>0</v>
      </c>
      <c r="G147" s="361"/>
      <c r="H147" s="361"/>
      <c r="I147" s="361"/>
      <c r="J147" s="361"/>
      <c r="K147" s="361"/>
      <c r="L147" s="361"/>
      <c r="M147" s="361"/>
      <c r="N147" s="361"/>
      <c r="O147" s="361"/>
      <c r="U147" s="182"/>
    </row>
    <row r="148" spans="1:21" s="1" customFormat="1" ht="52.8" x14ac:dyDescent="0.25">
      <c r="A148" s="110" t="str">
        <f ca="1">OFFSET(PO!J$12,ROW(A148)-ROW($A$12),0)</f>
        <v>Serviço</v>
      </c>
      <c r="B148" s="112" t="str">
        <f ca="1">IF($A148=0,"",OFFSET(PO!K$12,ROW(B148)-ROW(B$12),0))</f>
        <v>6.3.0.1.</v>
      </c>
      <c r="C148" s="109" t="str">
        <f ca="1">IF(OFFSET(PO!N$12,ROW(C148)-ROW(C$12),0)=0,"",OFFSET(PO!N$12,ROW(C148)-ROW(C$12),0))</f>
        <v>PORTA DE ABRIR - PA1 - 100 X 210 CM EM CHAPA DE ALUMÍNIO, COM VENEZIANA E VIDRO MINIBOREAL 6 MM, INCLUSO FECHADURA E PUXADOR - CONFORME PROJETO DE ESQUADRIAS</v>
      </c>
      <c r="D148" s="111" t="str">
        <f ca="1">IF(OFFSET(PO!O$12,ROW(D148)-ROW(D$12),0)=0,"",OFFSET(PO!O$12,ROW(D148)-ROW(D$12),0))</f>
        <v>UN</v>
      </c>
      <c r="E148" s="140">
        <f ca="1">IF($A148&lt;&gt;"Serviço",0,ROUND(SUMIF($F$9:$P$9,"&lt;&gt;",$F148:$P148),15-13*PO!$X$3))</f>
        <v>1</v>
      </c>
      <c r="F148" s="361">
        <f ca="1">OFFSET(PO!$P$12,ROW($E148)-ROW(F$12),0)</f>
        <v>1</v>
      </c>
      <c r="G148" s="361"/>
      <c r="H148" s="361"/>
      <c r="I148" s="361"/>
      <c r="J148" s="361"/>
      <c r="K148" s="361"/>
      <c r="L148" s="361"/>
      <c r="M148" s="361"/>
      <c r="N148" s="361"/>
      <c r="O148" s="361"/>
      <c r="U148" s="182"/>
    </row>
    <row r="149" spans="1:21" s="1" customFormat="1" ht="52.8" x14ac:dyDescent="0.25">
      <c r="A149" s="110" t="str">
        <f ca="1">OFFSET(PO!J$12,ROW(A149)-ROW($A$12),0)</f>
        <v>Serviço</v>
      </c>
      <c r="B149" s="112" t="str">
        <f ca="1">IF($A149=0,"",OFFSET(PO!K$12,ROW(B149)-ROW(B$12),0))</f>
        <v>6.3.0.2.</v>
      </c>
      <c r="C149" s="109" t="str">
        <f ca="1">IF(OFFSET(PO!N$12,ROW(C149)-ROW(C$12),0)=0,"",OFFSET(PO!N$12,ROW(C149)-ROW(C$12),0))</f>
        <v>PORTA DE ABRIR - PA2 - 80 X 210 CM EM CHAPA DE ALUMÍNIO, TIPO VENEZIANA COM GUARNIÇÃO, FIXAÇÃO COM PARAFUSOS - FORNECIMENTO E INSTALAÇÃO - CONFORME PROJETO DE ESQUADRIAS</v>
      </c>
      <c r="D149" s="111" t="str">
        <f ca="1">IF(OFFSET(PO!O$12,ROW(D149)-ROW(D$12),0)=0,"",OFFSET(PO!O$12,ROW(D149)-ROW(D$12),0))</f>
        <v>M2</v>
      </c>
      <c r="E149" s="140">
        <f ca="1">IF($A149&lt;&gt;"Serviço",0,ROUND(SUMIF($F$9:$P$9,"&lt;&gt;",$F149:$P149),15-13*PO!$X$3))</f>
        <v>1.68</v>
      </c>
      <c r="F149" s="361">
        <f ca="1">OFFSET(PO!$P$12,ROW($E149)-ROW(F$12),0)</f>
        <v>1.68</v>
      </c>
      <c r="G149" s="361"/>
      <c r="H149" s="361"/>
      <c r="I149" s="361"/>
      <c r="J149" s="361"/>
      <c r="K149" s="361"/>
      <c r="L149" s="361"/>
      <c r="M149" s="361"/>
      <c r="N149" s="361"/>
      <c r="O149" s="361"/>
      <c r="U149" s="182"/>
    </row>
    <row r="150" spans="1:21" s="1" customFormat="1" ht="52.8" x14ac:dyDescent="0.25">
      <c r="A150" s="110" t="str">
        <f ca="1">OFFSET(PO!J$12,ROW(A150)-ROW($A$12),0)</f>
        <v>Serviço</v>
      </c>
      <c r="B150" s="112" t="str">
        <f ca="1">IF($A150=0,"",OFFSET(PO!K$12,ROW(B150)-ROW(B$12),0))</f>
        <v>6.3.0.3.</v>
      </c>
      <c r="C150" s="109" t="str">
        <f ca="1">IF(OFFSET(PO!N$12,ROW(C150)-ROW(C$12),0)=0,"",OFFSET(PO!N$12,ROW(C150)-ROW(C$12),0))</f>
        <v>PORTA DE ABRIR 2 FOLHAS - PA3 - 160 X 210 CM EM CHAPA DE ALUMÍNIO, TIPO VENEZIANA COM GUARNIÇÃO, FIXAÇÃO COM PARAFUSOS - FORNECIMENTO E INSTALAÇÃO - CONFORME PROJETO DE ESQUADRIAS</v>
      </c>
      <c r="D150" s="111" t="str">
        <f ca="1">IF(OFFSET(PO!O$12,ROW(D150)-ROW(D$12),0)=0,"",OFFSET(PO!O$12,ROW(D150)-ROW(D$12),0))</f>
        <v>M2</v>
      </c>
      <c r="E150" s="140">
        <f ca="1">IF($A150&lt;&gt;"Serviço",0,ROUND(SUMIF($F$9:$P$9,"&lt;&gt;",$F150:$P150),15-13*PO!$X$3))</f>
        <v>3.36</v>
      </c>
      <c r="F150" s="361">
        <f ca="1">OFFSET(PO!$P$12,ROW($E150)-ROW(F$12),0)</f>
        <v>3.36</v>
      </c>
      <c r="G150" s="361"/>
      <c r="H150" s="361"/>
      <c r="I150" s="361"/>
      <c r="J150" s="361"/>
      <c r="K150" s="361"/>
      <c r="L150" s="361"/>
      <c r="M150" s="361"/>
      <c r="N150" s="361"/>
      <c r="O150" s="361"/>
      <c r="U150" s="182"/>
    </row>
    <row r="151" spans="1:21" s="1" customFormat="1" ht="52.8" x14ac:dyDescent="0.25">
      <c r="A151" s="110" t="str">
        <f ca="1">OFFSET(PO!J$12,ROW(A151)-ROW($A$12),0)</f>
        <v>Serviço</v>
      </c>
      <c r="B151" s="112" t="str">
        <f ca="1">IF($A151=0,"",OFFSET(PO!K$12,ROW(B151)-ROW(B$12),0))</f>
        <v>6.3.0.4.</v>
      </c>
      <c r="C151" s="109" t="str">
        <f ca="1">IF(OFFSET(PO!N$12,ROW(C151)-ROW(C$12),0)=0,"",OFFSET(PO!N$12,ROW(C151)-ROW(C$12),0))</f>
        <v>PORTA DE CORRER - PA4- 450 X 210 CM, DE ALUMÍNIO, COM DUAS FOLHAS FIXAS E DUAS FOLHAS DE CORRER PARA VIDRO, INCLUSO VIDRO LISO INCOLOR 8 MM, FECHADURA E PUXADOR, SEM ALIZAR - CONFORME PROJETO DE ESQUADRIAS</v>
      </c>
      <c r="D151" s="111" t="str">
        <f ca="1">IF(OFFSET(PO!O$12,ROW(D151)-ROW(D$12),0)=0,"",OFFSET(PO!O$12,ROW(D151)-ROW(D$12),0))</f>
        <v>M2</v>
      </c>
      <c r="E151" s="140">
        <f ca="1">IF($A151&lt;&gt;"Serviço",0,ROUND(SUMIF($F$9:$P$9,"&lt;&gt;",$F151:$P151),15-13*PO!$X$3))</f>
        <v>83.48</v>
      </c>
      <c r="F151" s="361">
        <f ca="1">OFFSET(PO!$P$12,ROW($E151)-ROW(F$12),0)</f>
        <v>83.48</v>
      </c>
      <c r="G151" s="361"/>
      <c r="H151" s="361"/>
      <c r="I151" s="361"/>
      <c r="J151" s="361"/>
      <c r="K151" s="361"/>
      <c r="L151" s="361"/>
      <c r="M151" s="361"/>
      <c r="N151" s="361"/>
      <c r="O151" s="361"/>
      <c r="U151" s="182"/>
    </row>
    <row r="152" spans="1:21" s="1" customFormat="1" ht="52.8" x14ac:dyDescent="0.25">
      <c r="A152" s="110" t="str">
        <f ca="1">OFFSET(PO!J$12,ROW(A152)-ROW($A$12),0)</f>
        <v>Serviço</v>
      </c>
      <c r="B152" s="112" t="str">
        <f ca="1">IF($A152=0,"",OFFSET(PO!K$12,ROW(B152)-ROW(B$12),0))</f>
        <v>6.3.0.5.</v>
      </c>
      <c r="C152" s="109" t="str">
        <f ca="1">IF(OFFSET(PO!N$12,ROW(C152)-ROW(C$12),0)=0,"",OFFSET(PO!N$12,ROW(C152)-ROW(C$12),0))</f>
        <v>PORTA DE ABRIR  - PA5 - 120 X 170 CM EM CHAPA DE ALUMÍNIO, TIPO VENEZIANA COM GUARNIÇÃO, FIXAÇÃO COM PARAFUSOS - FORNECIMENTO E INSTALAÇÃO - CONFORME PROJETO DE ESQUADRIAS</v>
      </c>
      <c r="D152" s="111" t="str">
        <f ca="1">IF(OFFSET(PO!O$12,ROW(D152)-ROW(D$12),0)=0,"",OFFSET(PO!O$12,ROW(D152)-ROW(D$12),0))</f>
        <v>M2</v>
      </c>
      <c r="E152" s="140">
        <f ca="1">IF($A152&lt;&gt;"Serviço",0,ROUND(SUMIF($F$9:$P$9,"&lt;&gt;",$F152:$P152),15-13*PO!$X$3))</f>
        <v>2.04</v>
      </c>
      <c r="F152" s="361">
        <f ca="1">OFFSET(PO!$P$12,ROW($E152)-ROW(F$12),0)</f>
        <v>2.04</v>
      </c>
      <c r="G152" s="361"/>
      <c r="H152" s="361"/>
      <c r="I152" s="361"/>
      <c r="J152" s="361"/>
      <c r="K152" s="361"/>
      <c r="L152" s="361"/>
      <c r="M152" s="361"/>
      <c r="N152" s="361"/>
      <c r="O152" s="361"/>
      <c r="U152" s="182"/>
    </row>
    <row r="153" spans="1:21" s="1" customFormat="1" x14ac:dyDescent="0.25">
      <c r="A153" s="110" t="str">
        <f ca="1">OFFSET(PO!J$12,ROW(A153)-ROW($A$12),0)</f>
        <v>Nível 2</v>
      </c>
      <c r="B153" s="112" t="str">
        <f ca="1">IF($A153=0,"",OFFSET(PO!K$12,ROW(B153)-ROW(B$12),0))</f>
        <v>6.4.</v>
      </c>
      <c r="C153" s="109" t="str">
        <f ca="1">IF(OFFSET(PO!N$12,ROW(C153)-ROW(C$12),0)=0,"",OFFSET(PO!N$12,ROW(C153)-ROW(C$12),0))</f>
        <v>JANELA EM ALUMÍNIO</v>
      </c>
      <c r="D153" s="111" t="str">
        <f ca="1">IF(OFFSET(PO!O$12,ROW(D153)-ROW(D$12),0)=0,"",OFFSET(PO!O$12,ROW(D153)-ROW(D$12),0))</f>
        <v/>
      </c>
      <c r="E153" s="140">
        <f ca="1">IF($A153&lt;&gt;"Serviço",0,ROUND(SUMIF($F$9:$P$9,"&lt;&gt;",$F153:$P153),15-13*PO!$X$3))</f>
        <v>0</v>
      </c>
      <c r="F153" s="361">
        <f ca="1">OFFSET(PO!$P$12,ROW($E153)-ROW(F$12),0)</f>
        <v>0</v>
      </c>
      <c r="G153" s="361"/>
      <c r="H153" s="361"/>
      <c r="I153" s="361"/>
      <c r="J153" s="361"/>
      <c r="K153" s="361"/>
      <c r="L153" s="361"/>
      <c r="M153" s="361"/>
      <c r="N153" s="361"/>
      <c r="O153" s="361"/>
      <c r="U153" s="182"/>
    </row>
    <row r="154" spans="1:21" s="1" customFormat="1" ht="52.8" x14ac:dyDescent="0.25">
      <c r="A154" s="110" t="str">
        <f ca="1">OFFSET(PO!J$12,ROW(A154)-ROW($A$12),0)</f>
        <v>Serviço</v>
      </c>
      <c r="B154" s="112" t="str">
        <f ca="1">IF($A154=0,"",OFFSET(PO!K$12,ROW(B154)-ROW(B$12),0))</f>
        <v>6.4.0.1.</v>
      </c>
      <c r="C154" s="109" t="str">
        <f ca="1">IF(OFFSET(PO!N$12,ROW(C154)-ROW(C$12),0)=0,"",OFFSET(PO!N$12,ROW(C154)-ROW(C$12),0))</f>
        <v>JANELA DE ALUMÍNIO - JA-1 - 70 X 125 CM, TIPO GUILHOTINA COMPLETA, COM VIDROS, BATENTE E FERRAGENS. EXCLUSIVE ALIZAR, ACABAMENTO E CONTRAMARCO, CONFORME PROJETO DE ESQUADRIAS</v>
      </c>
      <c r="D154" s="111" t="str">
        <f ca="1">IF(OFFSET(PO!O$12,ROW(D154)-ROW(D$12),0)=0,"",OFFSET(PO!O$12,ROW(D154)-ROW(D$12),0))</f>
        <v>M2</v>
      </c>
      <c r="E154" s="140">
        <f ca="1">IF($A154&lt;&gt;"Serviço",0,ROUND(SUMIF($F$9:$P$9,"&lt;&gt;",$F154:$P154),15-13*PO!$X$3))</f>
        <v>0.88</v>
      </c>
      <c r="F154" s="361">
        <f ca="1">OFFSET(PO!$P$12,ROW($E154)-ROW(F$12),0)</f>
        <v>0.88</v>
      </c>
      <c r="G154" s="361"/>
      <c r="H154" s="361"/>
      <c r="I154" s="361"/>
      <c r="J154" s="361"/>
      <c r="K154" s="361"/>
      <c r="L154" s="361"/>
      <c r="M154" s="361"/>
      <c r="N154" s="361"/>
      <c r="O154" s="361"/>
      <c r="U154" s="182"/>
    </row>
    <row r="155" spans="1:21" s="1" customFormat="1" ht="52.8" x14ac:dyDescent="0.25">
      <c r="A155" s="110" t="str">
        <f ca="1">OFFSET(PO!J$12,ROW(A155)-ROW($A$12),0)</f>
        <v>Serviço</v>
      </c>
      <c r="B155" s="112" t="str">
        <f ca="1">IF($A155=0,"",OFFSET(PO!K$12,ROW(B155)-ROW(B$12),0))</f>
        <v>6.4.0.2.</v>
      </c>
      <c r="C155" s="109" t="str">
        <f ca="1">IF(OFFSET(PO!N$12,ROW(C155)-ROW(C$12),0)=0,"",OFFSET(PO!N$12,ROW(C155)-ROW(C$12),0))</f>
        <v>JANELA DE ALUMÍNIO - JA-2 - 110 X 195 CM, TIPO GUILHOTINACOMPLETA, COM VIDROS, BATENTE E FERRAGENS. EXCLUSIVE ALIZAR, ACABAMENTO E CONTRAMARCO, CONFORME PROJETO DE ESQUADRIAS</v>
      </c>
      <c r="D155" s="111" t="str">
        <f ca="1">IF(OFFSET(PO!O$12,ROW(D155)-ROW(D$12),0)=0,"",OFFSET(PO!O$12,ROW(D155)-ROW(D$12),0))</f>
        <v>M2</v>
      </c>
      <c r="E155" s="140">
        <f ca="1">IF($A155&lt;&gt;"Serviço",0,ROUND(SUMIF($F$9:$P$9,"&lt;&gt;",$F155:$P155),15-13*PO!$X$3))</f>
        <v>2.15</v>
      </c>
      <c r="F155" s="361">
        <f ca="1">OFFSET(PO!$P$12,ROW($E155)-ROW(F$12),0)</f>
        <v>2.15</v>
      </c>
      <c r="G155" s="361"/>
      <c r="H155" s="361"/>
      <c r="I155" s="361"/>
      <c r="J155" s="361"/>
      <c r="K155" s="361"/>
      <c r="L155" s="361"/>
      <c r="M155" s="361"/>
      <c r="N155" s="361"/>
      <c r="O155" s="361"/>
      <c r="U155" s="182"/>
    </row>
    <row r="156" spans="1:21" s="1" customFormat="1" ht="52.8" x14ac:dyDescent="0.25">
      <c r="A156" s="110" t="str">
        <f ca="1">OFFSET(PO!J$12,ROW(A156)-ROW($A$12),0)</f>
        <v>Serviço</v>
      </c>
      <c r="B156" s="112" t="str">
        <f ca="1">IF($A156=0,"",OFFSET(PO!K$12,ROW(B156)-ROW(B$12),0))</f>
        <v>6.4.0.3.</v>
      </c>
      <c r="C156" s="109" t="str">
        <f ca="1">IF(OFFSET(PO!N$12,ROW(C156)-ROW(C$12),0)=0,"",OFFSET(PO!N$12,ROW(C156)-ROW(C$12),0))</f>
        <v>JANELA DE ALUMÍNIO JA-3 - 140 X 115, TIPO FIXA, PARA VIDRO, COM VIDRO, BATENTE E FERRAGENS. EXCLUSIVE ACABAMENTO, ALIZAR E CONTRAMARCO, CONFORME PROJETO DE ESQUADRIAS</v>
      </c>
      <c r="D156" s="111" t="str">
        <f ca="1">IF(OFFSET(PO!O$12,ROW(D156)-ROW(D$12),0)=0,"",OFFSET(PO!O$12,ROW(D156)-ROW(D$12),0))</f>
        <v>M2</v>
      </c>
      <c r="E156" s="140">
        <f ca="1">IF($A156&lt;&gt;"Serviço",0,ROUND(SUMIF($F$9:$P$9,"&lt;&gt;",$F156:$P156),15-13*PO!$X$3))</f>
        <v>1.61</v>
      </c>
      <c r="F156" s="361">
        <f ca="1">OFFSET(PO!$P$12,ROW($E156)-ROW(F$12),0)</f>
        <v>1.61</v>
      </c>
      <c r="G156" s="361"/>
      <c r="H156" s="361"/>
      <c r="I156" s="361"/>
      <c r="J156" s="361"/>
      <c r="K156" s="361"/>
      <c r="L156" s="361"/>
      <c r="M156" s="361"/>
      <c r="N156" s="361"/>
      <c r="O156" s="361"/>
      <c r="U156" s="182"/>
    </row>
    <row r="157" spans="1:21" s="1" customFormat="1" ht="52.8" x14ac:dyDescent="0.25">
      <c r="A157" s="110" t="str">
        <f ca="1">OFFSET(PO!J$12,ROW(A157)-ROW($A$12),0)</f>
        <v>Serviço</v>
      </c>
      <c r="B157" s="112" t="str">
        <f ca="1">IF($A157=0,"",OFFSET(PO!K$12,ROW(B157)-ROW(B$12),0))</f>
        <v>6.4.0.4.</v>
      </c>
      <c r="C157" s="109" t="str">
        <f ca="1">IF(OFFSET(PO!N$12,ROW(C157)-ROW(C$12),0)=0,"",OFFSET(PO!N$12,ROW(C157)-ROW(C$12),0))</f>
        <v>JANELA DE ALUMÍNIO - JA-4 - 140 X 195 CM, TIPO GUILHOTINA COMPLETA, COM VIDROS, BATENTE E FERRAGENS. EXCLUSIVE ALIZAR, ACABAMENTO E CONTRAMARCO, CONFORME PROJETO DE ESQUADRIAS</v>
      </c>
      <c r="D157" s="111" t="str">
        <f ca="1">IF(OFFSET(PO!O$12,ROW(D157)-ROW(D$12),0)=0,"",OFFSET(PO!O$12,ROW(D157)-ROW(D$12),0))</f>
        <v>M2</v>
      </c>
      <c r="E157" s="140">
        <f ca="1">IF($A157&lt;&gt;"Serviço",0,ROUND(SUMIF($F$9:$P$9,"&lt;&gt;",$F157:$P157),15-13*PO!$X$3))</f>
        <v>2.73</v>
      </c>
      <c r="F157" s="361">
        <f ca="1">OFFSET(PO!$P$12,ROW($E157)-ROW(F$12),0)</f>
        <v>2.73</v>
      </c>
      <c r="G157" s="361"/>
      <c r="H157" s="361"/>
      <c r="I157" s="361"/>
      <c r="J157" s="361"/>
      <c r="K157" s="361"/>
      <c r="L157" s="361"/>
      <c r="M157" s="361"/>
      <c r="N157" s="361"/>
      <c r="O157" s="361"/>
      <c r="U157" s="182"/>
    </row>
    <row r="158" spans="1:21" s="1" customFormat="1" ht="52.8" x14ac:dyDescent="0.25">
      <c r="A158" s="110" t="str">
        <f ca="1">OFFSET(PO!J$12,ROW(A158)-ROW($A$12),0)</f>
        <v>Serviço</v>
      </c>
      <c r="B158" s="112" t="str">
        <f ca="1">IF($A158=0,"",OFFSET(PO!K$12,ROW(B158)-ROW(B$12),0))</f>
        <v>6.4.0.5.</v>
      </c>
      <c r="C158" s="109" t="str">
        <f ca="1">IF(OFFSET(PO!N$12,ROW(C158)-ROW(C$12),0)=0,"",OFFSET(PO!N$12,ROW(C158)-ROW(C$12),0))</f>
        <v>JANELA DE ALUMÍNIO JA-5 - 200 X 105 CM, TIPO FIXA, PARA VIDRO, COM VIDRO, BATENTE E FERRAGENS. EXCLUSIVE ACABAMENTO, ALIZAR E CONTRAMARCO, CONFORME PROJETO DE ESQUADRIAS</v>
      </c>
      <c r="D158" s="111" t="str">
        <f ca="1">IF(OFFSET(PO!O$12,ROW(D158)-ROW(D$12),0)=0,"",OFFSET(PO!O$12,ROW(D158)-ROW(D$12),0))</f>
        <v>M2</v>
      </c>
      <c r="E158" s="140">
        <f ca="1">IF($A158&lt;&gt;"Serviço",0,ROUND(SUMIF($F$9:$P$9,"&lt;&gt;",$F158:$P158),15-13*PO!$X$3))</f>
        <v>2.16</v>
      </c>
      <c r="F158" s="361">
        <f ca="1">OFFSET(PO!$P$12,ROW($E158)-ROW(F$12),0)</f>
        <v>2.16</v>
      </c>
      <c r="G158" s="361"/>
      <c r="H158" s="361"/>
      <c r="I158" s="361"/>
      <c r="J158" s="361"/>
      <c r="K158" s="361"/>
      <c r="L158" s="361"/>
      <c r="M158" s="361"/>
      <c r="N158" s="361"/>
      <c r="O158" s="361"/>
      <c r="U158" s="182"/>
    </row>
    <row r="159" spans="1:21" s="1" customFormat="1" ht="52.8" x14ac:dyDescent="0.25">
      <c r="A159" s="110" t="str">
        <f ca="1">OFFSET(PO!J$12,ROW(A159)-ROW($A$12),0)</f>
        <v>Serviço</v>
      </c>
      <c r="B159" s="112" t="str">
        <f ca="1">IF($A159=0,"",OFFSET(PO!K$12,ROW(B159)-ROW(B$12),0))</f>
        <v>6.4.0.6.</v>
      </c>
      <c r="C159" s="109" t="str">
        <f ca="1">IF(OFFSET(PO!N$12,ROW(C159)-ROW(C$12),0)=0,"",OFFSET(PO!N$12,ROW(C159)-ROW(C$12),0))</f>
        <v>JANELA DE ALUMÍNIO - JA-6 - 210 X 50 CM, TIPO MAXIM-AR, COM VIDROS, BATENTE E FERRAGENS. EXCLUSIVE ALIZAR, ACABAMENTO E CONTRAMARCO, CONFORME PROJETO DE ESQUADRIAS</v>
      </c>
      <c r="D159" s="111" t="str">
        <f ca="1">IF(OFFSET(PO!O$12,ROW(D159)-ROW(D$12),0)=0,"",OFFSET(PO!O$12,ROW(D159)-ROW(D$12),0))</f>
        <v>M2</v>
      </c>
      <c r="E159" s="140">
        <f ca="1">IF($A159&lt;&gt;"Serviço",0,ROUND(SUMIF($F$9:$P$9,"&lt;&gt;",$F159:$P159),15-13*PO!$X$3))</f>
        <v>1.05</v>
      </c>
      <c r="F159" s="361">
        <f ca="1">OFFSET(PO!$P$12,ROW($E159)-ROW(F$12),0)</f>
        <v>1.05</v>
      </c>
      <c r="G159" s="361"/>
      <c r="H159" s="361"/>
      <c r="I159" s="361"/>
      <c r="J159" s="361"/>
      <c r="K159" s="361"/>
      <c r="L159" s="361"/>
      <c r="M159" s="361"/>
      <c r="N159" s="361"/>
      <c r="O159" s="361"/>
      <c r="U159" s="182"/>
    </row>
    <row r="160" spans="1:21" s="1" customFormat="1" ht="52.8" x14ac:dyDescent="0.25">
      <c r="A160" s="110" t="str">
        <f ca="1">OFFSET(PO!J$12,ROW(A160)-ROW($A$12),0)</f>
        <v>Serviço</v>
      </c>
      <c r="B160" s="112" t="str">
        <f ca="1">IF($A160=0,"",OFFSET(PO!K$12,ROW(B160)-ROW(B$12),0))</f>
        <v>6.4.0.7.</v>
      </c>
      <c r="C160" s="109" t="str">
        <f ca="1">IF(OFFSET(PO!N$12,ROW(C160)-ROW(C$12),0)=0,"",OFFSET(PO!N$12,ROW(C160)-ROW(C$12),0))</f>
        <v>JANELA DE ALUMÍNIO - JA-7 - 210 X 75 CM, TIPO MAXIM-AR, COM VIDROS, BATENTE E FERRAGENS. EXCLUSIVE ALIZAR, ACABAMENTO E CONTRAMARCO, CONFORME PROJETO DE ESQUADRIAS</v>
      </c>
      <c r="D160" s="111" t="str">
        <f ca="1">IF(OFFSET(PO!O$12,ROW(D160)-ROW(D$12),0)=0,"",OFFSET(PO!O$12,ROW(D160)-ROW(D$12),0))</f>
        <v>M2</v>
      </c>
      <c r="E160" s="140">
        <f ca="1">IF($A160&lt;&gt;"Serviço",0,ROUND(SUMIF($F$9:$P$9,"&lt;&gt;",$F160:$P160),15-13*PO!$X$3))</f>
        <v>12.6</v>
      </c>
      <c r="F160" s="361">
        <f ca="1">OFFSET(PO!$P$12,ROW($E160)-ROW(F$12),0)</f>
        <v>12.6</v>
      </c>
      <c r="G160" s="361"/>
      <c r="H160" s="361"/>
      <c r="I160" s="361"/>
      <c r="J160" s="361"/>
      <c r="K160" s="361"/>
      <c r="L160" s="361"/>
      <c r="M160" s="361"/>
      <c r="N160" s="361"/>
      <c r="O160" s="361"/>
      <c r="U160" s="182"/>
    </row>
    <row r="161" spans="1:21" s="1" customFormat="1" ht="52.8" x14ac:dyDescent="0.25">
      <c r="A161" s="110" t="str">
        <f ca="1">OFFSET(PO!J$12,ROW(A161)-ROW($A$12),0)</f>
        <v>Serviço</v>
      </c>
      <c r="B161" s="112" t="str">
        <f ca="1">IF($A161=0,"",OFFSET(PO!K$12,ROW(B161)-ROW(B$12),0))</f>
        <v>6.4.0.8.</v>
      </c>
      <c r="C161" s="109" t="str">
        <f ca="1">IF(OFFSET(PO!N$12,ROW(C161)-ROW(C$12),0)=0,"",OFFSET(PO!N$12,ROW(C161)-ROW(C$12),0))</f>
        <v>JANELA DE ALUMÍNIO - JA-8 - 210 X 100 CM, TIPO MAXIM-AR, COM VIDROS, BATENTE E FERRAGENS. EXCLUSIVE ALIZAR, ACABAMENTO E CONTRAMARCO, CONFORME PROJETO DE ESQUADRIAS</v>
      </c>
      <c r="D161" s="111" t="str">
        <f ca="1">IF(OFFSET(PO!O$12,ROW(D161)-ROW(D$12),0)=0,"",OFFSET(PO!O$12,ROW(D161)-ROW(D$12),0))</f>
        <v>M2</v>
      </c>
      <c r="E161" s="140">
        <f ca="1">IF($A161&lt;&gt;"Serviço",0,ROUND(SUMIF($F$9:$P$9,"&lt;&gt;",$F161:$P161),15-13*PO!$X$3))</f>
        <v>8.4</v>
      </c>
      <c r="F161" s="361">
        <f ca="1">OFFSET(PO!$P$12,ROW($E161)-ROW(F$12),0)</f>
        <v>8.4</v>
      </c>
      <c r="G161" s="361"/>
      <c r="H161" s="361"/>
      <c r="I161" s="361"/>
      <c r="J161" s="361"/>
      <c r="K161" s="361"/>
      <c r="L161" s="361"/>
      <c r="M161" s="361"/>
      <c r="N161" s="361"/>
      <c r="O161" s="361"/>
      <c r="U161" s="182"/>
    </row>
    <row r="162" spans="1:21" s="1" customFormat="1" ht="52.8" x14ac:dyDescent="0.25">
      <c r="A162" s="110" t="str">
        <f ca="1">OFFSET(PO!J$12,ROW(A162)-ROW($A$12),0)</f>
        <v>Serviço</v>
      </c>
      <c r="B162" s="112" t="str">
        <f ca="1">IF($A162=0,"",OFFSET(PO!K$12,ROW(B162)-ROW(B$12),0))</f>
        <v>6.4.0.9.</v>
      </c>
      <c r="C162" s="109" t="str">
        <f ca="1">IF(OFFSET(PO!N$12,ROW(C162)-ROW(C$12),0)=0,"",OFFSET(PO!N$12,ROW(C162)-ROW(C$12),0))</f>
        <v>JANELA DE ALUMÍNIO - JA-9 - 210 X 150 CM, TIPO MAXIM-AR, COM VIDROS, BATENTE E FERRAGENS. EXCLUSIVE ALIZAR, ACABAMENTO E CONTRAMARCO, CONFORME PROJETO DE ESQUADRIAS</v>
      </c>
      <c r="D162" s="111" t="str">
        <f ca="1">IF(OFFSET(PO!O$12,ROW(D162)-ROW(D$12),0)=0,"",OFFSET(PO!O$12,ROW(D162)-ROW(D$12),0))</f>
        <v>M2</v>
      </c>
      <c r="E162" s="140">
        <f ca="1">IF($A162&lt;&gt;"Serviço",0,ROUND(SUMIF($F$9:$P$9,"&lt;&gt;",$F162:$P162),15-13*PO!$X$3))</f>
        <v>6.3</v>
      </c>
      <c r="F162" s="361">
        <f ca="1">OFFSET(PO!$P$12,ROW($E162)-ROW(F$12),0)</f>
        <v>6.3</v>
      </c>
      <c r="G162" s="361"/>
      <c r="H162" s="361"/>
      <c r="I162" s="361"/>
      <c r="J162" s="361"/>
      <c r="K162" s="361"/>
      <c r="L162" s="361"/>
      <c r="M162" s="361"/>
      <c r="N162" s="361"/>
      <c r="O162" s="361"/>
      <c r="U162" s="182"/>
    </row>
    <row r="163" spans="1:21" s="1" customFormat="1" ht="52.8" x14ac:dyDescent="0.25">
      <c r="A163" s="110" t="str">
        <f ca="1">OFFSET(PO!J$12,ROW(A163)-ROW($A$12),0)</f>
        <v>Serviço</v>
      </c>
      <c r="B163" s="112" t="str">
        <f ca="1">IF($A163=0,"",OFFSET(PO!K$12,ROW(B163)-ROW(B$12),0))</f>
        <v>6.4.0.10.</v>
      </c>
      <c r="C163" s="109" t="str">
        <f ca="1">IF(OFFSET(PO!N$12,ROW(C163)-ROW(C$12),0)=0,"",OFFSET(PO!N$12,ROW(C163)-ROW(C$12),0))</f>
        <v>JANELA DE ALUMÍNIO - JA-10 - 70 X 75 CM, TIPO MAXIM-AR, COM VIDROS, BATENTE E FERRAGENS. EXCLUSIVE ALIZAR, ACABAMENTO E CONTRAMARCO, CONFORME PROJETO DE ESQUADRIAS</v>
      </c>
      <c r="D163" s="111" t="str">
        <f ca="1">IF(OFFSET(PO!O$12,ROW(D163)-ROW(D$12),0)=0,"",OFFSET(PO!O$12,ROW(D163)-ROW(D$12),0))</f>
        <v>M2</v>
      </c>
      <c r="E163" s="140">
        <f ca="1">IF($A163&lt;&gt;"Serviço",0,ROUND(SUMIF($F$9:$P$9,"&lt;&gt;",$F163:$P163),15-13*PO!$X$3))</f>
        <v>1.05</v>
      </c>
      <c r="F163" s="361">
        <f ca="1">OFFSET(PO!$P$12,ROW($E163)-ROW(F$12),0)</f>
        <v>1.05</v>
      </c>
      <c r="G163" s="361"/>
      <c r="H163" s="361"/>
      <c r="I163" s="361"/>
      <c r="J163" s="361"/>
      <c r="K163" s="361"/>
      <c r="L163" s="361"/>
      <c r="M163" s="361"/>
      <c r="N163" s="361"/>
      <c r="O163" s="361"/>
      <c r="U163" s="182"/>
    </row>
    <row r="164" spans="1:21" s="1" customFormat="1" ht="52.8" x14ac:dyDescent="0.25">
      <c r="A164" s="110" t="str">
        <f ca="1">OFFSET(PO!J$12,ROW(A164)-ROW($A$12),0)</f>
        <v>Serviço</v>
      </c>
      <c r="B164" s="112" t="str">
        <f ca="1">IF($A164=0,"",OFFSET(PO!K$12,ROW(B164)-ROW(B$12),0))</f>
        <v>6.4.0.11.</v>
      </c>
      <c r="C164" s="109" t="str">
        <f ca="1">IF(OFFSET(PO!N$12,ROW(C164)-ROW(C$12),0)=0,"",OFFSET(PO!N$12,ROW(C164)-ROW(C$12),0))</f>
        <v>JANELA DE ALUMÍNIO - JA-11 - 140 X 75 CM, TIPO MAXIM-AR, COM VIDROS, BATENTE E FERRAGENS. EXCLUSIVE ALIZAR, ACABAMENTO E CONTRAMARCO, CONFORME PROJETO DE ESQUADRIAS</v>
      </c>
      <c r="D164" s="111" t="str">
        <f ca="1">IF(OFFSET(PO!O$12,ROW(D164)-ROW(D$12),0)=0,"",OFFSET(PO!O$12,ROW(D164)-ROW(D$12),0))</f>
        <v>M2</v>
      </c>
      <c r="E164" s="140">
        <f ca="1">IF($A164&lt;&gt;"Serviço",0,ROUND(SUMIF($F$9:$P$9,"&lt;&gt;",$F164:$P164),15-13*PO!$X$3))</f>
        <v>5.25</v>
      </c>
      <c r="F164" s="361">
        <f ca="1">OFFSET(PO!$P$12,ROW($E164)-ROW(F$12),0)</f>
        <v>5.25</v>
      </c>
      <c r="G164" s="361"/>
      <c r="H164" s="361"/>
      <c r="I164" s="361"/>
      <c r="J164" s="361"/>
      <c r="K164" s="361"/>
      <c r="L164" s="361"/>
      <c r="M164" s="361"/>
      <c r="N164" s="361"/>
      <c r="O164" s="361"/>
      <c r="U164" s="182"/>
    </row>
    <row r="165" spans="1:21" s="1" customFormat="1" ht="52.8" x14ac:dyDescent="0.25">
      <c r="A165" s="110" t="str">
        <f ca="1">OFFSET(PO!J$12,ROW(A165)-ROW($A$12),0)</f>
        <v>Serviço</v>
      </c>
      <c r="B165" s="112" t="str">
        <f ca="1">IF($A165=0,"",OFFSET(PO!K$12,ROW(B165)-ROW(B$12),0))</f>
        <v>6.4.0.12.</v>
      </c>
      <c r="C165" s="109" t="str">
        <f ca="1">IF(OFFSET(PO!N$12,ROW(C165)-ROW(C$12),0)=0,"",OFFSET(PO!N$12,ROW(C165)-ROW(C$12),0))</f>
        <v>JANELA DE ALUMÍNIO - JA-12 - 420 X 50 CM, TIPO MAXIM-AR, COM VIDROS, BATENTE E FERRAGENS. EXCLUSIVE ALIZAR, ACABAMENTO E CONTRAMARCO, CONFORME PROJETO DE ESQUADRIAS</v>
      </c>
      <c r="D165" s="111" t="str">
        <f ca="1">IF(OFFSET(PO!O$12,ROW(D165)-ROW(D$12),0)=0,"",OFFSET(PO!O$12,ROW(D165)-ROW(D$12),0))</f>
        <v>M2</v>
      </c>
      <c r="E165" s="140">
        <f ca="1">IF($A165&lt;&gt;"Serviço",0,ROUND(SUMIF($F$9:$P$9,"&lt;&gt;",$F165:$P165),15-13*PO!$X$3))</f>
        <v>4.2</v>
      </c>
      <c r="F165" s="361">
        <f ca="1">OFFSET(PO!$P$12,ROW($E165)-ROW(F$12),0)</f>
        <v>4.2</v>
      </c>
      <c r="G165" s="361"/>
      <c r="H165" s="361"/>
      <c r="I165" s="361"/>
      <c r="J165" s="361"/>
      <c r="K165" s="361"/>
      <c r="L165" s="361"/>
      <c r="M165" s="361"/>
      <c r="N165" s="361"/>
      <c r="O165" s="361"/>
      <c r="U165" s="182"/>
    </row>
    <row r="166" spans="1:21" s="1" customFormat="1" ht="52.8" x14ac:dyDescent="0.25">
      <c r="A166" s="110" t="str">
        <f ca="1">OFFSET(PO!J$12,ROW(A166)-ROW($A$12),0)</f>
        <v>Serviço</v>
      </c>
      <c r="B166" s="112" t="str">
        <f ca="1">IF($A166=0,"",OFFSET(PO!K$12,ROW(B166)-ROW(B$12),0))</f>
        <v>6.4.0.13.</v>
      </c>
      <c r="C166" s="109" t="str">
        <f ca="1">IF(OFFSET(PO!N$12,ROW(C166)-ROW(C$12),0)=0,"",OFFSET(PO!N$12,ROW(C166)-ROW(C$12),0))</f>
        <v>JANELA DE ALUMÍNIO - JA-13 - 560 X 100 CM, TIPO MAXIM-AR, COM VIDROS, BATENTE E FERRAGENS. EXCLUSIVE ALIZAR, ACABAMENTO E CONTRAMARCO, CONFORME PROJETO DE ESQUADRIAS</v>
      </c>
      <c r="D166" s="111" t="str">
        <f ca="1">IF(OFFSET(PO!O$12,ROW(D166)-ROW(D$12),0)=0,"",OFFSET(PO!O$12,ROW(D166)-ROW(D$12),0))</f>
        <v>M2</v>
      </c>
      <c r="E166" s="140">
        <f ca="1">IF($A166&lt;&gt;"Serviço",0,ROUND(SUMIF($F$9:$P$9,"&lt;&gt;",$F166:$P166),15-13*PO!$X$3))</f>
        <v>16.8</v>
      </c>
      <c r="F166" s="361">
        <f ca="1">OFFSET(PO!$P$12,ROW($E166)-ROW(F$12),0)</f>
        <v>16.8</v>
      </c>
      <c r="G166" s="361"/>
      <c r="H166" s="361"/>
      <c r="I166" s="361"/>
      <c r="J166" s="361"/>
      <c r="K166" s="361"/>
      <c r="L166" s="361"/>
      <c r="M166" s="361"/>
      <c r="N166" s="361"/>
      <c r="O166" s="361"/>
      <c r="U166" s="182"/>
    </row>
    <row r="167" spans="1:21" s="1" customFormat="1" ht="52.8" x14ac:dyDescent="0.25">
      <c r="A167" s="110" t="str">
        <f ca="1">OFFSET(PO!J$12,ROW(A167)-ROW($A$12),0)</f>
        <v>Serviço</v>
      </c>
      <c r="B167" s="112" t="str">
        <f ca="1">IF($A167=0,"",OFFSET(PO!K$12,ROW(B167)-ROW(B$12),0))</f>
        <v>6.4.0.14.</v>
      </c>
      <c r="C167" s="109" t="str">
        <f ca="1">IF(OFFSET(PO!N$12,ROW(C167)-ROW(C$12),0)=0,"",OFFSET(PO!N$12,ROW(C167)-ROW(C$12),0))</f>
        <v>JANELA DE ALUMÍNIO JA-14 - 160 X 85, TIPO FIXA, PARA VIDRO, COM VIDRO, BATENTE E FERRAGENS. EXCLUSIVE ACABAMENTO, ALIZAR E CONTRAMARCO, CONFORME PROJETO DE ESQUADRIAS</v>
      </c>
      <c r="D167" s="111" t="str">
        <f ca="1">IF(OFFSET(PO!O$12,ROW(D167)-ROW(D$12),0)=0,"",OFFSET(PO!O$12,ROW(D167)-ROW(D$12),0))</f>
        <v>M2</v>
      </c>
      <c r="E167" s="140">
        <f ca="1">IF($A167&lt;&gt;"Serviço",0,ROUND(SUMIF($F$9:$P$9,"&lt;&gt;",$F167:$P167),15-13*PO!$X$3))</f>
        <v>2.72</v>
      </c>
      <c r="F167" s="361">
        <f ca="1">OFFSET(PO!$P$12,ROW($E167)-ROW(F$12),0)</f>
        <v>2.72</v>
      </c>
      <c r="G167" s="361"/>
      <c r="H167" s="361"/>
      <c r="I167" s="361"/>
      <c r="J167" s="361"/>
      <c r="K167" s="361"/>
      <c r="L167" s="361"/>
      <c r="M167" s="361"/>
      <c r="N167" s="361"/>
      <c r="O167" s="361"/>
      <c r="U167" s="182"/>
    </row>
    <row r="168" spans="1:21" s="1" customFormat="1" ht="26.4" x14ac:dyDescent="0.25">
      <c r="A168" s="110" t="str">
        <f ca="1">OFFSET(PO!J$12,ROW(A168)-ROW($A$12),0)</f>
        <v>Serviço</v>
      </c>
      <c r="B168" s="112" t="str">
        <f ca="1">IF($A168=0,"",OFFSET(PO!K$12,ROW(B168)-ROW(B$12),0))</f>
        <v>6.4.0.15.</v>
      </c>
      <c r="C168" s="109" t="str">
        <f ca="1">IF(OFFSET(PO!N$12,ROW(C168)-ROW(C$12),0)=0,"",OFFSET(PO!N$12,ROW(C168)-ROW(C$12),0))</f>
        <v>TELA TIPO MOSQUITEIRO - FIXADA NA ESQUADRIA - CONFORME PROJETO DE ESQUADRIAS</v>
      </c>
      <c r="D168" s="111" t="str">
        <f ca="1">IF(OFFSET(PO!O$12,ROW(D168)-ROW(D$12),0)=0,"",OFFSET(PO!O$12,ROW(D168)-ROW(D$12),0))</f>
        <v>M2</v>
      </c>
      <c r="E168" s="140">
        <f ca="1">IF($A168&lt;&gt;"Serviço",0,ROUND(SUMIF($F$9:$P$9,"&lt;&gt;",$F168:$P168),15-13*PO!$X$3))</f>
        <v>10.28</v>
      </c>
      <c r="F168" s="361">
        <f ca="1">OFFSET(PO!$P$12,ROW($E168)-ROW(F$12),0)</f>
        <v>10.28</v>
      </c>
      <c r="G168" s="361"/>
      <c r="H168" s="361"/>
      <c r="I168" s="361"/>
      <c r="J168" s="361"/>
      <c r="K168" s="361"/>
      <c r="L168" s="361"/>
      <c r="M168" s="361"/>
      <c r="N168" s="361"/>
      <c r="O168" s="361"/>
      <c r="U168" s="182"/>
    </row>
    <row r="169" spans="1:21" s="1" customFormat="1" x14ac:dyDescent="0.25">
      <c r="A169" s="110" t="str">
        <f ca="1">OFFSET(PO!J$12,ROW(A169)-ROW($A$12),0)</f>
        <v>Nível 2</v>
      </c>
      <c r="B169" s="112" t="str">
        <f ca="1">IF($A169=0,"",OFFSET(PO!K$12,ROW(B169)-ROW(B$12),0))</f>
        <v>6.5.</v>
      </c>
      <c r="C169" s="109" t="str">
        <f ca="1">IF(OFFSET(PO!N$12,ROW(C169)-ROW(C$12),0)=0,"",OFFSET(PO!N$12,ROW(C169)-ROW(C$12),0))</f>
        <v>PORTAS DE VIDRO</v>
      </c>
      <c r="D169" s="111" t="str">
        <f ca="1">IF(OFFSET(PO!O$12,ROW(D169)-ROW(D$12),0)=0,"",OFFSET(PO!O$12,ROW(D169)-ROW(D$12),0))</f>
        <v/>
      </c>
      <c r="E169" s="140">
        <f ca="1">IF($A169&lt;&gt;"Serviço",0,ROUND(SUMIF($F$9:$P$9,"&lt;&gt;",$F169:$P169),15-13*PO!$X$3))</f>
        <v>0</v>
      </c>
      <c r="F169" s="361">
        <f ca="1">OFFSET(PO!$P$12,ROW($E169)-ROW(F$12),0)</f>
        <v>0</v>
      </c>
      <c r="G169" s="361"/>
      <c r="H169" s="361"/>
      <c r="I169" s="361"/>
      <c r="J169" s="361"/>
      <c r="K169" s="361"/>
      <c r="L169" s="361"/>
      <c r="M169" s="361"/>
      <c r="N169" s="361"/>
      <c r="O169" s="361"/>
      <c r="U169" s="182"/>
    </row>
    <row r="170" spans="1:21" s="1" customFormat="1" ht="26.4" x14ac:dyDescent="0.25">
      <c r="A170" s="110" t="str">
        <f ca="1">OFFSET(PO!J$12,ROW(A170)-ROW($A$12),0)</f>
        <v>Serviço</v>
      </c>
      <c r="B170" s="112" t="str">
        <f ca="1">IF($A170=0,"",OFFSET(PO!K$12,ROW(B170)-ROW(B$12),0))</f>
        <v>6.5.0.1.</v>
      </c>
      <c r="C170" s="109" t="str">
        <f ca="1">IF(OFFSET(PO!N$12,ROW(C170)-ROW(C$12),0)=0,"",OFFSET(PO!N$12,ROW(C170)-ROW(C$12),0))</f>
        <v>PORTA DE VIDRO - PV1 - 175X 230 CM, DE ABRIR DUAS FOLHAS TEMPERADO INCOLOR 10 MM, CONFORME PROJETO</v>
      </c>
      <c r="D170" s="111" t="str">
        <f ca="1">IF(OFFSET(PO!O$12,ROW(D170)-ROW(D$12),0)=0,"",OFFSET(PO!O$12,ROW(D170)-ROW(D$12),0))</f>
        <v/>
      </c>
      <c r="E170" s="140">
        <f ca="1">IF($A170&lt;&gt;"Serviço",0,ROUND(SUMIF($F$9:$P$9,"&lt;&gt;",$F170:$P170),15-13*PO!$X$3))</f>
        <v>1</v>
      </c>
      <c r="F170" s="361">
        <f ca="1">OFFSET(PO!$P$12,ROW($E170)-ROW(F$12),0)</f>
        <v>1</v>
      </c>
      <c r="G170" s="361"/>
      <c r="H170" s="361"/>
      <c r="I170" s="361"/>
      <c r="J170" s="361"/>
      <c r="K170" s="361"/>
      <c r="L170" s="361"/>
      <c r="M170" s="361"/>
      <c r="N170" s="361"/>
      <c r="O170" s="361"/>
      <c r="U170" s="182"/>
    </row>
    <row r="171" spans="1:21" s="1" customFormat="1" x14ac:dyDescent="0.25">
      <c r="A171" s="110" t="str">
        <f ca="1">OFFSET(PO!J$12,ROW(A171)-ROW($A$12),0)</f>
        <v>Nível 2</v>
      </c>
      <c r="B171" s="112" t="str">
        <f ca="1">IF($A171=0,"",OFFSET(PO!K$12,ROW(B171)-ROW(B$12),0))</f>
        <v>6.6.</v>
      </c>
      <c r="C171" s="109" t="str">
        <f ca="1">IF(OFFSET(PO!N$12,ROW(C171)-ROW(C$12),0)=0,"",OFFSET(PO!N$12,ROW(C171)-ROW(C$12),0))</f>
        <v>ESQUADRIAS GERAIS</v>
      </c>
      <c r="D171" s="111" t="str">
        <f ca="1">IF(OFFSET(PO!O$12,ROW(D171)-ROW(D$12),0)=0,"",OFFSET(PO!O$12,ROW(D171)-ROW(D$12),0))</f>
        <v/>
      </c>
      <c r="E171" s="140">
        <f ca="1">IF($A171&lt;&gt;"Serviço",0,ROUND(SUMIF($F$9:$P$9,"&lt;&gt;",$F171:$P171),15-13*PO!$X$3))</f>
        <v>0</v>
      </c>
      <c r="F171" s="361">
        <f ca="1">OFFSET(PO!$P$12,ROW($E171)-ROW(F$12),0)</f>
        <v>0</v>
      </c>
      <c r="G171" s="361"/>
      <c r="H171" s="361"/>
      <c r="I171" s="361"/>
      <c r="J171" s="361"/>
      <c r="K171" s="361"/>
      <c r="L171" s="361"/>
      <c r="M171" s="361"/>
      <c r="N171" s="361"/>
      <c r="O171" s="361"/>
      <c r="U171" s="182"/>
    </row>
    <row r="172" spans="1:21" s="1" customFormat="1" ht="39.6" x14ac:dyDescent="0.25">
      <c r="A172" s="110" t="str">
        <f ca="1">OFFSET(PO!J$12,ROW(A172)-ROW($A$12),0)</f>
        <v>Serviço</v>
      </c>
      <c r="B172" s="112" t="str">
        <f ca="1">IF($A172=0,"",OFFSET(PO!K$12,ROW(B172)-ROW(B$12),0))</f>
        <v>6.6.0.1.</v>
      </c>
      <c r="C172" s="109" t="str">
        <f ca="1">IF(OFFSET(PO!N$12,ROW(C172)-ROW(C$12),0)=0,"",OFFSET(PO!N$12,ROW(C172)-ROW(C$12),0))</f>
        <v>PF1 - PORTÃO METÁLICO DE ABRIR, 1,40 X 2,20 M, COM CHAPA METÁLICA, INCLUSO PINTURA, CONFORME PROJETO DE ESQUADRIAS</v>
      </c>
      <c r="D172" s="111" t="str">
        <f ca="1">IF(OFFSET(PO!O$12,ROW(D172)-ROW(D$12),0)=0,"",OFFSET(PO!O$12,ROW(D172)-ROW(D$12),0))</f>
        <v>M2</v>
      </c>
      <c r="E172" s="140">
        <f ca="1">IF($A172&lt;&gt;"Serviço",0,ROUND(SUMIF($F$9:$P$9,"&lt;&gt;",$F172:$P172),15-13*PO!$X$3))</f>
        <v>3.08</v>
      </c>
      <c r="F172" s="361">
        <f ca="1">OFFSET(PO!$P$12,ROW($E172)-ROW(F$12),0)</f>
        <v>3.08</v>
      </c>
      <c r="G172" s="361"/>
      <c r="H172" s="361"/>
      <c r="I172" s="361"/>
      <c r="J172" s="361"/>
      <c r="K172" s="361"/>
      <c r="L172" s="361"/>
      <c r="M172" s="361"/>
      <c r="N172" s="361"/>
      <c r="O172" s="361"/>
      <c r="U172" s="182"/>
    </row>
    <row r="173" spans="1:21" s="1" customFormat="1" ht="39.6" x14ac:dyDescent="0.25">
      <c r="A173" s="110" t="str">
        <f ca="1">OFFSET(PO!J$12,ROW(A173)-ROW($A$12),0)</f>
        <v>Serviço</v>
      </c>
      <c r="B173" s="112" t="str">
        <f ca="1">IF($A173=0,"",OFFSET(PO!K$12,ROW(B173)-ROW(B$12),0))</f>
        <v>6.6.0.2.</v>
      </c>
      <c r="C173" s="109" t="str">
        <f ca="1">IF(OFFSET(PO!N$12,ROW(C173)-ROW(C$12),0)=0,"",OFFSET(PO!N$12,ROW(C173)-ROW(C$12),0))</f>
        <v>PF2 - PORTÃO METÁLICO DE ABRIR,  1,40 X 1,05 M, COM CHAPA METÁLICA, INCLUSO PINTURA, CONFORME PROJETO DE ESQUADRIAS</v>
      </c>
      <c r="D173" s="111" t="str">
        <f ca="1">IF(OFFSET(PO!O$12,ROW(D173)-ROW(D$12),0)=0,"",OFFSET(PO!O$12,ROW(D173)-ROW(D$12),0))</f>
        <v>M2</v>
      </c>
      <c r="E173" s="140">
        <f ca="1">IF($A173&lt;&gt;"Serviço",0,ROUND(SUMIF($F$9:$P$9,"&lt;&gt;",$F173:$P173),15-13*PO!$X$3))</f>
        <v>2.94</v>
      </c>
      <c r="F173" s="361">
        <f ca="1">OFFSET(PO!$P$12,ROW($E173)-ROW(F$12),0)</f>
        <v>2.94</v>
      </c>
      <c r="G173" s="361"/>
      <c r="H173" s="361"/>
      <c r="I173" s="361"/>
      <c r="J173" s="361"/>
      <c r="K173" s="361"/>
      <c r="L173" s="361"/>
      <c r="M173" s="361"/>
      <c r="N173" s="361"/>
      <c r="O173" s="361"/>
      <c r="U173" s="182"/>
    </row>
    <row r="174" spans="1:21" s="1" customFormat="1" ht="26.4" x14ac:dyDescent="0.25">
      <c r="A174" s="110" t="str">
        <f ca="1">OFFSET(PO!J$12,ROW(A174)-ROW($A$12),0)</f>
        <v>Serviço</v>
      </c>
      <c r="B174" s="112" t="str">
        <f ca="1">IF($A174=0,"",OFFSET(PO!K$12,ROW(B174)-ROW(B$12),0))</f>
        <v>6.6.0.3.</v>
      </c>
      <c r="C174" s="109" t="str">
        <f ca="1">IF(OFFSET(PO!N$12,ROW(C174)-ROW(C$12),0)=0,"",OFFSET(PO!N$12,ROW(C174)-ROW(C$12),0))</f>
        <v>FECHAMENTO EM CHAPA METÁLICA PERFURADA, INCLUSO PINTURA, CONFORME PROJETO</v>
      </c>
      <c r="D174" s="111" t="str">
        <f ca="1">IF(OFFSET(PO!O$12,ROW(D174)-ROW(D$12),0)=0,"",OFFSET(PO!O$12,ROW(D174)-ROW(D$12),0))</f>
        <v>M2</v>
      </c>
      <c r="E174" s="140">
        <f ca="1">IF($A174&lt;&gt;"Serviço",0,ROUND(SUMIF($F$9:$P$9,"&lt;&gt;",$F174:$P174),15-13*PO!$X$3))</f>
        <v>116.76</v>
      </c>
      <c r="F174" s="361">
        <f ca="1">OFFSET(PO!$P$12,ROW($E174)-ROW(F$12),0)</f>
        <v>116.76</v>
      </c>
      <c r="G174" s="361"/>
      <c r="H174" s="361"/>
      <c r="I174" s="361"/>
      <c r="J174" s="361"/>
      <c r="K174" s="361"/>
      <c r="L174" s="361"/>
      <c r="M174" s="361"/>
      <c r="N174" s="361"/>
      <c r="O174" s="361"/>
      <c r="U174" s="182"/>
    </row>
    <row r="175" spans="1:21" s="1" customFormat="1" x14ac:dyDescent="0.25">
      <c r="A175" s="110" t="str">
        <f ca="1">OFFSET(PO!J$12,ROW(A175)-ROW($A$12),0)</f>
        <v>Serviço</v>
      </c>
      <c r="B175" s="112" t="str">
        <f ca="1">IF($A175=0,"",OFFSET(PO!K$12,ROW(B175)-ROW(B$12),0))</f>
        <v>6.6.0.4.</v>
      </c>
      <c r="C175" s="109" t="str">
        <f ca="1">IF(OFFSET(PO!N$12,ROW(C175)-ROW(C$12),0)=0,"",OFFSET(PO!N$12,ROW(C175)-ROW(C$12),0))</f>
        <v>CERCA/GRADIL H=1,58M, MALHA 5 X 15CM -  GALVANIZADO</v>
      </c>
      <c r="D175" s="111" t="str">
        <f ca="1">IF(OFFSET(PO!O$12,ROW(D175)-ROW(D$12),0)=0,"",OFFSET(PO!O$12,ROW(D175)-ROW(D$12),0))</f>
        <v>M2</v>
      </c>
      <c r="E175" s="140">
        <f ca="1">IF($A175&lt;&gt;"Serviço",0,ROUND(SUMIF($F$9:$P$9,"&lt;&gt;",$F175:$P175),15-13*PO!$X$3))</f>
        <v>152.25</v>
      </c>
      <c r="F175" s="361">
        <f ca="1">OFFSET(PO!$P$12,ROW($E175)-ROW(F$12),0)</f>
        <v>152.25119999999998</v>
      </c>
      <c r="G175" s="361"/>
      <c r="H175" s="361"/>
      <c r="I175" s="361"/>
      <c r="J175" s="361"/>
      <c r="K175" s="361"/>
      <c r="L175" s="361"/>
      <c r="M175" s="361"/>
      <c r="N175" s="361"/>
      <c r="O175" s="361"/>
      <c r="U175" s="182"/>
    </row>
    <row r="176" spans="1:21" s="1" customFormat="1" ht="52.8" x14ac:dyDescent="0.25">
      <c r="A176" s="110" t="str">
        <f ca="1">OFFSET(PO!J$12,ROW(A176)-ROW($A$12),0)</f>
        <v>Serviço</v>
      </c>
      <c r="B176" s="112" t="str">
        <f ca="1">IF($A176=0,"",OFFSET(PO!K$12,ROW(B176)-ROW(B$12),0))</f>
        <v>6.6.0.5.</v>
      </c>
      <c r="C176" s="109" t="str">
        <f ca="1">IF(OFFSET(PO!N$12,ROW(C176)-ROW(C$12),0)=0,"",OFFSET(PO!N$12,ROW(C176)-ROW(C$12),0))</f>
        <v>P01 - PORTÃO METÁLICO 1,50 x 2,10 M , MALHA 5 X 20CM - FIO 5,00MM, REVESTIDOS EM POLIESTER POR PROCESSO DE PINTURA ELETROSTÁTICA (GRADIL), NA COR BRANCA - FORNECIMENTO E INSTALAÇÃO</v>
      </c>
      <c r="D176" s="111" t="str">
        <f ca="1">IF(OFFSET(PO!O$12,ROW(D176)-ROW(D$12),0)=0,"",OFFSET(PO!O$12,ROW(D176)-ROW(D$12),0))</f>
        <v>M2</v>
      </c>
      <c r="E176" s="140">
        <f ca="1">IF($A176&lt;&gt;"Serviço",0,ROUND(SUMIF($F$9:$P$9,"&lt;&gt;",$F176:$P176),15-13*PO!$X$3))</f>
        <v>6.3</v>
      </c>
      <c r="F176" s="361">
        <f ca="1">OFFSET(PO!$P$12,ROW($E176)-ROW(F$12),0)</f>
        <v>6.3</v>
      </c>
      <c r="G176" s="361"/>
      <c r="H176" s="361"/>
      <c r="I176" s="361"/>
      <c r="J176" s="361"/>
      <c r="K176" s="361"/>
      <c r="L176" s="361"/>
      <c r="M176" s="361"/>
      <c r="N176" s="361"/>
      <c r="O176" s="361"/>
      <c r="U176" s="182"/>
    </row>
    <row r="177" spans="1:21" s="1" customFormat="1" ht="52.8" x14ac:dyDescent="0.25">
      <c r="A177" s="110" t="str">
        <f ca="1">OFFSET(PO!J$12,ROW(A177)-ROW($A$12),0)</f>
        <v>Serviço</v>
      </c>
      <c r="B177" s="112" t="str">
        <f ca="1">IF($A177=0,"",OFFSET(PO!K$12,ROW(B177)-ROW(B$12),0))</f>
        <v>6.6.0.6.</v>
      </c>
      <c r="C177" s="109" t="str">
        <f ca="1">IF(OFFSET(PO!N$12,ROW(C177)-ROW(C$12),0)=0,"",OFFSET(PO!N$12,ROW(C177)-ROW(C$12),0))</f>
        <v>P02 - PORTÃO METÁLICO 1,00 x 2,00 M , MALHA 5 X 20CM - FIO 5,00MM, REVESTIDOS EM POLIESTER POR PROCESSO DE PINTURA ELETROSTÁTICA (GRADIL), NA COR BRANCA - FORNECIMENTO E INSTALAÇÃO</v>
      </c>
      <c r="D177" s="111" t="str">
        <f ca="1">IF(OFFSET(PO!O$12,ROW(D177)-ROW(D$12),0)=0,"",OFFSET(PO!O$12,ROW(D177)-ROW(D$12),0))</f>
        <v>M2</v>
      </c>
      <c r="E177" s="140">
        <f ca="1">IF($A177&lt;&gt;"Serviço",0,ROUND(SUMIF($F$9:$P$9,"&lt;&gt;",$F177:$P177),15-13*PO!$X$3))</f>
        <v>4</v>
      </c>
      <c r="F177" s="361">
        <f ca="1">OFFSET(PO!$P$12,ROW($E177)-ROW(F$12),0)</f>
        <v>4</v>
      </c>
      <c r="G177" s="361"/>
      <c r="H177" s="361"/>
      <c r="I177" s="361"/>
      <c r="J177" s="361"/>
      <c r="K177" s="361"/>
      <c r="L177" s="361"/>
      <c r="M177" s="361"/>
      <c r="N177" s="361"/>
      <c r="O177" s="361"/>
      <c r="U177" s="182"/>
    </row>
    <row r="178" spans="1:21" s="1" customFormat="1" ht="52.8" x14ac:dyDescent="0.25">
      <c r="A178" s="110" t="str">
        <f ca="1">OFFSET(PO!J$12,ROW(A178)-ROW($A$12),0)</f>
        <v>Serviço</v>
      </c>
      <c r="B178" s="112" t="str">
        <f ca="1">IF($A178=0,"",OFFSET(PO!K$12,ROW(B178)-ROW(B$12),0))</f>
        <v>6.6.0.7.</v>
      </c>
      <c r="C178" s="109" t="str">
        <f ca="1">IF(OFFSET(PO!N$12,ROW(C178)-ROW(C$12),0)=0,"",OFFSET(PO!N$12,ROW(C178)-ROW(C$12),0))</f>
        <v>P03 - PORTÃO METÁLICO 3,12 x 2,00 M , MALHA 5 X 20CM - FIO 5,00MM, REVESTIDOS EM POLIESTER POR PROCESSO DE PINTURA ELETROSTÁTICA (GRADIL), NA COR BRANCA - FORNECIMENTO E INSTALAÇÃO</v>
      </c>
      <c r="D178" s="111" t="str">
        <f ca="1">IF(OFFSET(PO!O$12,ROW(D178)-ROW(D$12),0)=0,"",OFFSET(PO!O$12,ROW(D178)-ROW(D$12),0))</f>
        <v>M2</v>
      </c>
      <c r="E178" s="140">
        <f ca="1">IF($A178&lt;&gt;"Serviço",0,ROUND(SUMIF($F$9:$P$9,"&lt;&gt;",$F178:$P178),15-13*PO!$X$3))</f>
        <v>6.24</v>
      </c>
      <c r="F178" s="361">
        <f ca="1">OFFSET(PO!$P$12,ROW($E178)-ROW(F$12),0)</f>
        <v>6.24</v>
      </c>
      <c r="G178" s="361"/>
      <c r="H178" s="361"/>
      <c r="I178" s="361"/>
      <c r="J178" s="361"/>
      <c r="K178" s="361"/>
      <c r="L178" s="361"/>
      <c r="M178" s="361"/>
      <c r="N178" s="361"/>
      <c r="O178" s="361"/>
      <c r="U178" s="182"/>
    </row>
    <row r="179" spans="1:21" s="1" customFormat="1" x14ac:dyDescent="0.25">
      <c r="A179" s="110" t="str">
        <f ca="1">OFFSET(PO!J$12,ROW(A179)-ROW($A$12),0)</f>
        <v>Meta</v>
      </c>
      <c r="B179" s="112" t="str">
        <f ca="1">IF($A179=0,"",OFFSET(PO!K$12,ROW(B179)-ROW(B$12),0))</f>
        <v>7.</v>
      </c>
      <c r="C179" s="109" t="str">
        <f ca="1">IF(OFFSET(PO!N$12,ROW(C179)-ROW(C$12),0)=0,"",OFFSET(PO!N$12,ROW(C179)-ROW(C$12),0))</f>
        <v>SISTEMA DE COBERTURA</v>
      </c>
      <c r="D179" s="111" t="str">
        <f ca="1">IF(OFFSET(PO!O$12,ROW(D179)-ROW(D$12),0)=0,"",OFFSET(PO!O$12,ROW(D179)-ROW(D$12),0))</f>
        <v/>
      </c>
      <c r="E179" s="140">
        <f ca="1">IF($A179&lt;&gt;"Serviço",0,ROUND(SUMIF($F$9:$P$9,"&lt;&gt;",$F179:$P179),15-13*PO!$X$3))</f>
        <v>0</v>
      </c>
      <c r="F179" s="361">
        <f ca="1">OFFSET(PO!$P$12,ROW($E179)-ROW(F$12),0)</f>
        <v>0</v>
      </c>
      <c r="G179" s="361"/>
      <c r="H179" s="361"/>
      <c r="I179" s="361"/>
      <c r="J179" s="361"/>
      <c r="K179" s="361"/>
      <c r="L179" s="361"/>
      <c r="M179" s="361"/>
      <c r="N179" s="361"/>
      <c r="O179" s="361"/>
      <c r="U179" s="182"/>
    </row>
    <row r="180" spans="1:21" s="1" customFormat="1" ht="66" x14ac:dyDescent="0.25">
      <c r="A180" s="110" t="str">
        <f ca="1">OFFSET(PO!J$12,ROW(A180)-ROW($A$12),0)</f>
        <v>Serviço</v>
      </c>
      <c r="B180" s="112" t="str">
        <f ca="1">IF($A180=0,"",OFFSET(PO!K$12,ROW(B180)-ROW(B$12),0))</f>
        <v>7.0.0.1.</v>
      </c>
      <c r="C180" s="109" t="str">
        <f ca="1">IF(OFFSET(PO!N$12,ROW(C180)-ROW(C$12),0)=0,"",OFFSET(PO!N$12,ROW(C180)-ROW(C$12),0))</f>
        <v>TELHA TERMOISOLANTE REVESTIDA EM ACO GALVALUME, FACE SUPERIOR TRAPEZOIDAL E FACE INFERIOR PLANA (NAO INCLUI ACESSORIOS DE FIXACAO), REVEST COM ESPESSURA DE 0,50 MM, COM PRE-PINTURA DE COR BRANCA NAS DUAS FACES, NUCLEO EM POLIIOCIANURATO (PIR) COM ESPESSURA DE 50 MM</v>
      </c>
      <c r="D180" s="111" t="str">
        <f ca="1">IF(OFFSET(PO!O$12,ROW(D180)-ROW(D$12),0)=0,"",OFFSET(PO!O$12,ROW(D180)-ROW(D$12),0))</f>
        <v>M2</v>
      </c>
      <c r="E180" s="140">
        <f ca="1">IF($A180&lt;&gt;"Serviço",0,ROUND(SUMIF($F$9:$P$9,"&lt;&gt;",$F180:$P180),15-13*PO!$X$3))</f>
        <v>850.66</v>
      </c>
      <c r="F180" s="361">
        <f ca="1">OFFSET(PO!$P$12,ROW($E180)-ROW(F$12),0)</f>
        <v>850.66</v>
      </c>
      <c r="G180" s="361"/>
      <c r="H180" s="361"/>
      <c r="I180" s="361"/>
      <c r="J180" s="361"/>
      <c r="K180" s="361"/>
      <c r="L180" s="361"/>
      <c r="M180" s="361"/>
      <c r="N180" s="361"/>
      <c r="O180" s="361"/>
      <c r="U180" s="182"/>
    </row>
    <row r="181" spans="1:21" s="1" customFormat="1" ht="39.6" x14ac:dyDescent="0.25">
      <c r="A181" s="110" t="str">
        <f ca="1">OFFSET(PO!J$12,ROW(A181)-ROW($A$12),0)</f>
        <v>Serviço</v>
      </c>
      <c r="B181" s="112" t="str">
        <f ca="1">IF($A181=0,"",OFFSET(PO!K$12,ROW(B181)-ROW(B$12),0))</f>
        <v>7.0.0.2.</v>
      </c>
      <c r="C181" s="109" t="str">
        <f ca="1">IF(OFFSET(PO!N$12,ROW(C181)-ROW(C$12),0)=0,"",OFFSET(PO!N$12,ROW(C181)-ROW(C$12),0))</f>
        <v>CALHA EM CHAPA DE AÇO GALVANIZADO NÚMERO 24, DESENVOLVIMENTO DE 100 CM, INCLUSO TRANSPORTE VERTICAL. AF_07/2019</v>
      </c>
      <c r="D181" s="111" t="str">
        <f ca="1">IF(OFFSET(PO!O$12,ROW(D181)-ROW(D$12),0)=0,"",OFFSET(PO!O$12,ROW(D181)-ROW(D$12),0))</f>
        <v>M</v>
      </c>
      <c r="E181" s="140">
        <f ca="1">IF($A181&lt;&gt;"Serviço",0,ROUND(SUMIF($F$9:$P$9,"&lt;&gt;",$F181:$P181),15-13*PO!$X$3))</f>
        <v>69.150000000000006</v>
      </c>
      <c r="F181" s="361">
        <f ca="1">OFFSET(PO!$P$12,ROW($E181)-ROW(F$12),0)</f>
        <v>69.150000000000006</v>
      </c>
      <c r="G181" s="361"/>
      <c r="H181" s="361"/>
      <c r="I181" s="361"/>
      <c r="J181" s="361"/>
      <c r="K181" s="361"/>
      <c r="L181" s="361"/>
      <c r="M181" s="361"/>
      <c r="N181" s="361"/>
      <c r="O181" s="361"/>
      <c r="U181" s="182"/>
    </row>
    <row r="182" spans="1:21" s="1" customFormat="1" ht="26.4" x14ac:dyDescent="0.25">
      <c r="A182" s="110" t="str">
        <f ca="1">OFFSET(PO!J$12,ROW(A182)-ROW($A$12),0)</f>
        <v>Serviço</v>
      </c>
      <c r="B182" s="112" t="str">
        <f ca="1">IF($A182=0,"",OFFSET(PO!K$12,ROW(B182)-ROW(B$12),0))</f>
        <v>7.0.0.3.</v>
      </c>
      <c r="C182" s="109" t="str">
        <f ca="1">IF(OFFSET(PO!N$12,ROW(C182)-ROW(C$12),0)=0,"",OFFSET(PO!N$12,ROW(C182)-ROW(C$12),0))</f>
        <v>RUFO EM CHAPA DE AÇO GALVANIZADO NR. 24, DESENVOLVIMENTO 73 CM</v>
      </c>
      <c r="D182" s="111" t="str">
        <f ca="1">IF(OFFSET(PO!O$12,ROW(D182)-ROW(D$12),0)=0,"",OFFSET(PO!O$12,ROW(D182)-ROW(D$12),0))</f>
        <v>m</v>
      </c>
      <c r="E182" s="140">
        <f ca="1">IF($A182&lt;&gt;"Serviço",0,ROUND(SUMIF($F$9:$P$9,"&lt;&gt;",$F182:$P182),15-13*PO!$X$3))</f>
        <v>93.6</v>
      </c>
      <c r="F182" s="361">
        <f ca="1">OFFSET(PO!$P$12,ROW($E182)-ROW(F$12),0)</f>
        <v>93.6</v>
      </c>
      <c r="G182" s="361"/>
      <c r="H182" s="361"/>
      <c r="I182" s="361"/>
      <c r="J182" s="361"/>
      <c r="K182" s="361"/>
      <c r="L182" s="361"/>
      <c r="M182" s="361"/>
      <c r="N182" s="361"/>
      <c r="O182" s="361"/>
      <c r="U182" s="182"/>
    </row>
    <row r="183" spans="1:21" s="1" customFormat="1" ht="26.4" x14ac:dyDescent="0.25">
      <c r="A183" s="110" t="str">
        <f ca="1">OFFSET(PO!J$12,ROW(A183)-ROW($A$12),0)</f>
        <v>Serviço</v>
      </c>
      <c r="B183" s="112" t="str">
        <f ca="1">IF($A183=0,"",OFFSET(PO!K$12,ROW(B183)-ROW(B$12),0))</f>
        <v>7.0.0.4.</v>
      </c>
      <c r="C183" s="109" t="str">
        <f ca="1">IF(OFFSET(PO!N$12,ROW(C183)-ROW(C$12),0)=0,"",OFFSET(PO!N$12,ROW(C183)-ROW(C$12),0))</f>
        <v>RUFO EM CHAPA DE AÇO GALVANIZADO NR. 24, DESENVOLVIMENTO 39 CM</v>
      </c>
      <c r="D183" s="111" t="str">
        <f ca="1">IF(OFFSET(PO!O$12,ROW(D183)-ROW(D$12),0)=0,"",OFFSET(PO!O$12,ROW(D183)-ROW(D$12),0))</f>
        <v>m</v>
      </c>
      <c r="E183" s="140">
        <f ca="1">IF($A183&lt;&gt;"Serviço",0,ROUND(SUMIF($F$9:$P$9,"&lt;&gt;",$F183:$P183),15-13*PO!$X$3))</f>
        <v>45.7</v>
      </c>
      <c r="F183" s="361">
        <f ca="1">OFFSET(PO!$P$12,ROW($E183)-ROW(F$12),0)</f>
        <v>45.7</v>
      </c>
      <c r="G183" s="361"/>
      <c r="H183" s="361"/>
      <c r="I183" s="361"/>
      <c r="J183" s="361"/>
      <c r="K183" s="361"/>
      <c r="L183" s="361"/>
      <c r="M183" s="361"/>
      <c r="N183" s="361"/>
      <c r="O183" s="361"/>
      <c r="U183" s="182"/>
    </row>
    <row r="184" spans="1:21" s="1" customFormat="1" ht="26.4" x14ac:dyDescent="0.25">
      <c r="A184" s="110" t="str">
        <f ca="1">OFFSET(PO!J$12,ROW(A184)-ROW($A$12),0)</f>
        <v>Serviço</v>
      </c>
      <c r="B184" s="112" t="str">
        <f ca="1">IF($A184=0,"",OFFSET(PO!K$12,ROW(B184)-ROW(B$12),0))</f>
        <v>7.0.0.5.</v>
      </c>
      <c r="C184" s="109" t="str">
        <f ca="1">IF(OFFSET(PO!N$12,ROW(C184)-ROW(C$12),0)=0,"",OFFSET(PO!N$12,ROW(C184)-ROW(C$12),0))</f>
        <v>RUFO EM CHAPA DE AÇO GALVANIZADO NR. 24, DESENVOLVIMENTO 32 CM</v>
      </c>
      <c r="D184" s="111" t="str">
        <f ca="1">IF(OFFSET(PO!O$12,ROW(D184)-ROW(D$12),0)=0,"",OFFSET(PO!O$12,ROW(D184)-ROW(D$12),0))</f>
        <v>m</v>
      </c>
      <c r="E184" s="140">
        <f ca="1">IF($A184&lt;&gt;"Serviço",0,ROUND(SUMIF($F$9:$P$9,"&lt;&gt;",$F184:$P184),15-13*PO!$X$3))</f>
        <v>126.6</v>
      </c>
      <c r="F184" s="361">
        <f ca="1">OFFSET(PO!$P$12,ROW($E184)-ROW(F$12),0)</f>
        <v>126.6</v>
      </c>
      <c r="G184" s="361"/>
      <c r="H184" s="361"/>
      <c r="I184" s="361"/>
      <c r="J184" s="361"/>
      <c r="K184" s="361"/>
      <c r="L184" s="361"/>
      <c r="M184" s="361"/>
      <c r="N184" s="361"/>
      <c r="O184" s="361"/>
      <c r="U184" s="182"/>
    </row>
    <row r="185" spans="1:21" s="1" customFormat="1" x14ac:dyDescent="0.25">
      <c r="A185" s="110" t="str">
        <f ca="1">OFFSET(PO!J$12,ROW(A185)-ROW($A$12),0)</f>
        <v>Serviço</v>
      </c>
      <c r="B185" s="112" t="str">
        <f ca="1">IF($A185=0,"",OFFSET(PO!K$12,ROW(B185)-ROW(B$12),0))</f>
        <v>7.0.0.6.</v>
      </c>
      <c r="C185" s="109" t="str">
        <f ca="1">IF(OFFSET(PO!N$12,ROW(C185)-ROW(C$12),0)=0,"",OFFSET(PO!N$12,ROW(C185)-ROW(C$12),0))</f>
        <v>PINGADEIRA EM CHAPA DE AÇO GALVANIZADO</v>
      </c>
      <c r="D185" s="111" t="str">
        <f ca="1">IF(OFFSET(PO!O$12,ROW(D185)-ROW(D$12),0)=0,"",OFFSET(PO!O$12,ROW(D185)-ROW(D$12),0))</f>
        <v>m</v>
      </c>
      <c r="E185" s="140">
        <f ca="1">IF($A185&lt;&gt;"Serviço",0,ROUND(SUMIF($F$9:$P$9,"&lt;&gt;",$F185:$P185),15-13*PO!$X$3))</f>
        <v>233.6</v>
      </c>
      <c r="F185" s="361">
        <f ca="1">OFFSET(PO!$P$12,ROW($E185)-ROW(F$12),0)</f>
        <v>233.6</v>
      </c>
      <c r="G185" s="361"/>
      <c r="H185" s="361"/>
      <c r="I185" s="361"/>
      <c r="J185" s="361"/>
      <c r="K185" s="361"/>
      <c r="L185" s="361"/>
      <c r="M185" s="361"/>
      <c r="N185" s="361"/>
      <c r="O185" s="361"/>
      <c r="U185" s="182"/>
    </row>
    <row r="186" spans="1:21" s="1" customFormat="1" x14ac:dyDescent="0.25">
      <c r="A186" s="110" t="str">
        <f ca="1">OFFSET(PO!J$12,ROW(A186)-ROW($A$12),0)</f>
        <v>Meta</v>
      </c>
      <c r="B186" s="112" t="str">
        <f ca="1">IF($A186=0,"",OFFSET(PO!K$12,ROW(B186)-ROW(B$12),0))</f>
        <v>8.</v>
      </c>
      <c r="C186" s="109" t="str">
        <f ca="1">IF(OFFSET(PO!N$12,ROW(C186)-ROW(C$12),0)=0,"",OFFSET(PO!N$12,ROW(C186)-ROW(C$12),0))</f>
        <v>IMPERMEABILIZAÇÃO</v>
      </c>
      <c r="D186" s="111" t="str">
        <f ca="1">IF(OFFSET(PO!O$12,ROW(D186)-ROW(D$12),0)=0,"",OFFSET(PO!O$12,ROW(D186)-ROW(D$12),0))</f>
        <v/>
      </c>
      <c r="E186" s="140">
        <f ca="1">IF($A186&lt;&gt;"Serviço",0,ROUND(SUMIF($F$9:$P$9,"&lt;&gt;",$F186:$P186),15-13*PO!$X$3))</f>
        <v>0</v>
      </c>
      <c r="F186" s="361">
        <f ca="1">OFFSET(PO!$P$12,ROW($E186)-ROW(F$12),0)</f>
        <v>0</v>
      </c>
      <c r="G186" s="361"/>
      <c r="H186" s="361"/>
      <c r="I186" s="361"/>
      <c r="J186" s="361"/>
      <c r="K186" s="361"/>
      <c r="L186" s="361"/>
      <c r="M186" s="361"/>
      <c r="N186" s="361"/>
      <c r="O186" s="361"/>
      <c r="U186" s="182"/>
    </row>
    <row r="187" spans="1:21" s="1" customFormat="1" ht="26.4" x14ac:dyDescent="0.25">
      <c r="A187" s="110" t="str">
        <f ca="1">OFFSET(PO!J$12,ROW(A187)-ROW($A$12),0)</f>
        <v>Serviço</v>
      </c>
      <c r="B187" s="112" t="str">
        <f ca="1">IF($A187=0,"",OFFSET(PO!K$12,ROW(B187)-ROW(B$12),0))</f>
        <v>8.0.0.1.</v>
      </c>
      <c r="C187" s="109" t="str">
        <f ca="1">IF(OFFSET(PO!N$12,ROW(C187)-ROW(C$12),0)=0,"",OFFSET(PO!N$12,ROW(C187)-ROW(C$12),0))</f>
        <v>IMPERMEABILIZAÇÃO DE VIGA BALDRAME COM EMULSÃO ASFÁLTICA, 2 DEMÃOS</v>
      </c>
      <c r="D187" s="111" t="str">
        <f ca="1">IF(OFFSET(PO!O$12,ROW(D187)-ROW(D$12),0)=0,"",OFFSET(PO!O$12,ROW(D187)-ROW(D$12),0))</f>
        <v>M2</v>
      </c>
      <c r="E187" s="140">
        <f ca="1">IF($A187&lt;&gt;"Serviço",0,ROUND(SUMIF($F$9:$P$9,"&lt;&gt;",$F187:$P187),15-13*PO!$X$3))</f>
        <v>394.02</v>
      </c>
      <c r="F187" s="361">
        <f ca="1">OFFSET(PO!$P$12,ROW($E187)-ROW(F$12),0)</f>
        <v>394.02</v>
      </c>
      <c r="G187" s="361"/>
      <c r="H187" s="361"/>
      <c r="I187" s="361"/>
      <c r="J187" s="361"/>
      <c r="K187" s="361"/>
      <c r="L187" s="361"/>
      <c r="M187" s="361"/>
      <c r="N187" s="361"/>
      <c r="O187" s="361"/>
      <c r="U187" s="182"/>
    </row>
    <row r="188" spans="1:21" s="1" customFormat="1" ht="26.4" x14ac:dyDescent="0.25">
      <c r="A188" s="110" t="str">
        <f ca="1">OFFSET(PO!J$12,ROW(A188)-ROW($A$12),0)</f>
        <v>Serviço</v>
      </c>
      <c r="B188" s="112" t="str">
        <f ca="1">IF($A188=0,"",OFFSET(PO!K$12,ROW(B188)-ROW(B$12),0))</f>
        <v>8.0.0.2.</v>
      </c>
      <c r="C188" s="109" t="str">
        <f ca="1">IF(OFFSET(PO!N$12,ROW(C188)-ROW(C$12),0)=0,"",OFFSET(PO!N$12,ROW(C188)-ROW(C$12),0))</f>
        <v>IMPERMEABILIZAÇÃO DE PISO COM EMULSÃO ASFÁLTICA, 2 DEMÃOS</v>
      </c>
      <c r="D188" s="111" t="str">
        <f ca="1">IF(OFFSET(PO!O$12,ROW(D188)-ROW(D$12),0)=0,"",OFFSET(PO!O$12,ROW(D188)-ROW(D$12),0))</f>
        <v>M2</v>
      </c>
      <c r="E188" s="140">
        <f ca="1">IF($A188&lt;&gt;"Serviço",0,ROUND(SUMIF($F$9:$P$9,"&lt;&gt;",$F188:$P188),15-13*PO!$X$3))</f>
        <v>125.46</v>
      </c>
      <c r="F188" s="361">
        <f ca="1">OFFSET(PO!$P$12,ROW($E188)-ROW(F$12),0)</f>
        <v>125.46</v>
      </c>
      <c r="G188" s="361"/>
      <c r="H188" s="361"/>
      <c r="I188" s="361"/>
      <c r="J188" s="361"/>
      <c r="K188" s="361"/>
      <c r="L188" s="361"/>
      <c r="M188" s="361"/>
      <c r="N188" s="361"/>
      <c r="O188" s="361"/>
      <c r="U188" s="182"/>
    </row>
    <row r="189" spans="1:21" s="1" customFormat="1" x14ac:dyDescent="0.25">
      <c r="A189" s="110" t="str">
        <f ca="1">OFFSET(PO!J$12,ROW(A189)-ROW($A$12),0)</f>
        <v>Meta</v>
      </c>
      <c r="B189" s="112" t="str">
        <f ca="1">IF($A189=0,"",OFFSET(PO!K$12,ROW(B189)-ROW(B$12),0))</f>
        <v>9.</v>
      </c>
      <c r="C189" s="109" t="str">
        <f ca="1">IF(OFFSET(PO!N$12,ROW(C189)-ROW(C$12),0)=0,"",OFFSET(PO!N$12,ROW(C189)-ROW(C$12),0))</f>
        <v>REVESTIMENTOS INTERNOS E EXTERNOS</v>
      </c>
      <c r="D189" s="111" t="str">
        <f ca="1">IF(OFFSET(PO!O$12,ROW(D189)-ROW(D$12),0)=0,"",OFFSET(PO!O$12,ROW(D189)-ROW(D$12),0))</f>
        <v/>
      </c>
      <c r="E189" s="140">
        <f ca="1">IF($A189&lt;&gt;"Serviço",0,ROUND(SUMIF($F$9:$P$9,"&lt;&gt;",$F189:$P189),15-13*PO!$X$3))</f>
        <v>0</v>
      </c>
      <c r="F189" s="361">
        <f ca="1">OFFSET(PO!$P$12,ROW($E189)-ROW(F$12),0)</f>
        <v>0</v>
      </c>
      <c r="G189" s="361"/>
      <c r="H189" s="361"/>
      <c r="I189" s="361"/>
      <c r="J189" s="361"/>
      <c r="K189" s="361"/>
      <c r="L189" s="361"/>
      <c r="M189" s="361"/>
      <c r="N189" s="361"/>
      <c r="O189" s="361"/>
      <c r="U189" s="182"/>
    </row>
    <row r="190" spans="1:21" s="1" customFormat="1" x14ac:dyDescent="0.25">
      <c r="A190" s="110" t="str">
        <f ca="1">OFFSET(PO!J$12,ROW(A190)-ROW($A$12),0)</f>
        <v>Nível 2</v>
      </c>
      <c r="B190" s="112" t="str">
        <f ca="1">IF($A190=0,"",OFFSET(PO!K$12,ROW(B190)-ROW(B$12),0))</f>
        <v>9.1.</v>
      </c>
      <c r="C190" s="109" t="str">
        <f ca="1">IF(OFFSET(PO!N$12,ROW(C190)-ROW(C$12),0)=0,"",OFFSET(PO!N$12,ROW(C190)-ROW(C$12),0))</f>
        <v>EDIFICAÇÃO</v>
      </c>
      <c r="D190" s="111" t="str">
        <f ca="1">IF(OFFSET(PO!O$12,ROW(D190)-ROW(D$12),0)=0,"",OFFSET(PO!O$12,ROW(D190)-ROW(D$12),0))</f>
        <v/>
      </c>
      <c r="E190" s="140">
        <f ca="1">IF($A190&lt;&gt;"Serviço",0,ROUND(SUMIF($F$9:$P$9,"&lt;&gt;",$F190:$P190),15-13*PO!$X$3))</f>
        <v>0</v>
      </c>
      <c r="F190" s="361">
        <f ca="1">OFFSET(PO!$P$12,ROW($E190)-ROW(F$12),0)</f>
        <v>0</v>
      </c>
      <c r="G190" s="361"/>
      <c r="H190" s="361"/>
      <c r="I190" s="361"/>
      <c r="J190" s="361"/>
      <c r="K190" s="361"/>
      <c r="L190" s="361"/>
      <c r="M190" s="361"/>
      <c r="N190" s="361"/>
      <c r="O190" s="361"/>
      <c r="U190" s="182"/>
    </row>
    <row r="191" spans="1:21" s="1" customFormat="1" ht="39.6" x14ac:dyDescent="0.25">
      <c r="A191" s="110" t="str">
        <f ca="1">OFFSET(PO!J$12,ROW(A191)-ROW($A$12),0)</f>
        <v>Serviço</v>
      </c>
      <c r="B191" s="112" t="str">
        <f ca="1">IF($A191=0,"",OFFSET(PO!K$12,ROW(B191)-ROW(B$12),0))</f>
        <v>9.1.0.1.</v>
      </c>
      <c r="C191" s="109" t="str">
        <f ca="1">IF(OFFSET(PO!N$12,ROW(C191)-ROW(C$12),0)=0,"",OFFSET(PO!N$12,ROW(C191)-ROW(C$12),0))</f>
        <v>CHAPISCO APLICADO EM ALVENARIAS E ESTRUTURAS DE CONCRETO INTERNAS, COM COLHER DE PEDREIRO.  ARGAMASSA TRAÇO 1:3 COM PREPARO MANUAL. AF_10/2022</v>
      </c>
      <c r="D191" s="111" t="str">
        <f ca="1">IF(OFFSET(PO!O$12,ROW(D191)-ROW(D$12),0)=0,"",OFFSET(PO!O$12,ROW(D191)-ROW(D$12),0))</f>
        <v>M2</v>
      </c>
      <c r="E191" s="140">
        <f ca="1">IF($A191&lt;&gt;"Serviço",0,ROUND(SUMIF($F$9:$P$9,"&lt;&gt;",$F191:$P191),15-13*PO!$X$3))</f>
        <v>2569.6</v>
      </c>
      <c r="F191" s="361">
        <f ca="1">OFFSET(PO!$P$12,ROW($E191)-ROW(F$12),0)</f>
        <v>2569.6</v>
      </c>
      <c r="G191" s="361"/>
      <c r="H191" s="361"/>
      <c r="I191" s="361"/>
      <c r="J191" s="361"/>
      <c r="K191" s="361"/>
      <c r="L191" s="361"/>
      <c r="M191" s="361"/>
      <c r="N191" s="361"/>
      <c r="O191" s="361"/>
      <c r="U191" s="182"/>
    </row>
    <row r="192" spans="1:21" s="1" customFormat="1" ht="52.8" x14ac:dyDescent="0.25">
      <c r="A192" s="110" t="str">
        <f ca="1">OFFSET(PO!J$12,ROW(A192)-ROW($A$12),0)</f>
        <v>Serviço</v>
      </c>
      <c r="B192" s="112" t="str">
        <f ca="1">IF($A192=0,"",OFFSET(PO!K$12,ROW(B192)-ROW(B$12),0))</f>
        <v>9.1.0.2.</v>
      </c>
      <c r="C192" s="109" t="str">
        <f ca="1">IF(OFFSET(PO!N$12,ROW(C192)-ROW(C$12),0)=0,"",OFFSET(PO!N$12,ROW(C192)-ROW(C$12),0))</f>
        <v>EMBOÇO, EM ARGAMASSA TRAÇO 1:2:8, PREPARO MECÂNICO, APLICADO MANUALMENTE EM PAREDES INTERNAS DE AMBIENTES COM ÁREA MAIOR QUE 10M², E = 17,5MM, COM TALISCAS. AF_03/2024</v>
      </c>
      <c r="D192" s="111" t="str">
        <f ca="1">IF(OFFSET(PO!O$12,ROW(D192)-ROW(D$12),0)=0,"",OFFSET(PO!O$12,ROW(D192)-ROW(D$12),0))</f>
        <v>M2</v>
      </c>
      <c r="E192" s="140">
        <f ca="1">IF($A192&lt;&gt;"Serviço",0,ROUND(SUMIF($F$9:$P$9,"&lt;&gt;",$F192:$P192),15-13*PO!$X$3))</f>
        <v>1589.78</v>
      </c>
      <c r="F192" s="361">
        <f ca="1">OFFSET(PO!$P$12,ROW($E192)-ROW(F$12),0)</f>
        <v>1589.78</v>
      </c>
      <c r="G192" s="361"/>
      <c r="H192" s="361"/>
      <c r="I192" s="361"/>
      <c r="J192" s="361"/>
      <c r="K192" s="361"/>
      <c r="L192" s="361"/>
      <c r="M192" s="361"/>
      <c r="N192" s="361"/>
      <c r="O192" s="361"/>
      <c r="U192" s="182"/>
    </row>
    <row r="193" spans="1:21" s="1" customFormat="1" ht="52.8" x14ac:dyDescent="0.25">
      <c r="A193" s="110" t="str">
        <f ca="1">OFFSET(PO!J$12,ROW(A193)-ROW($A$12),0)</f>
        <v>Serviço</v>
      </c>
      <c r="B193" s="112" t="str">
        <f ca="1">IF($A193=0,"",OFFSET(PO!K$12,ROW(B193)-ROW(B$12),0))</f>
        <v>9.1.0.3.</v>
      </c>
      <c r="C193" s="109" t="str">
        <f ca="1">IF(OFFSET(PO!N$12,ROW(C193)-ROW(C$12),0)=0,"",OFFSET(PO!N$12,ROW(C193)-ROW(C$12),0))</f>
        <v>EMBOÇO OU MASSA ÚNICA EM ARGAMASSA TRAÇO 1:2:8, PREPARO MECÂNICO COM BETONEIRA 400 L, APLICADA MANUALMENTE EM PANOS CEGOS DE FACHADA (SEM PRESENÇA DE VÃOS), ESPESSURA DE 25 MM. AF_08/2022</v>
      </c>
      <c r="D193" s="111" t="str">
        <f ca="1">IF(OFFSET(PO!O$12,ROW(D193)-ROW(D$12),0)=0,"",OFFSET(PO!O$12,ROW(D193)-ROW(D$12),0))</f>
        <v>M2</v>
      </c>
      <c r="E193" s="140">
        <f ca="1">IF($A193&lt;&gt;"Serviço",0,ROUND(SUMIF($F$9:$P$9,"&lt;&gt;",$F193:$P193),15-13*PO!$X$3))</f>
        <v>979.82</v>
      </c>
      <c r="F193" s="361">
        <f ca="1">OFFSET(PO!$P$12,ROW($E193)-ROW(F$12),0)</f>
        <v>979.82</v>
      </c>
      <c r="G193" s="361"/>
      <c r="H193" s="361"/>
      <c r="I193" s="361"/>
      <c r="J193" s="361"/>
      <c r="K193" s="361"/>
      <c r="L193" s="361"/>
      <c r="M193" s="361"/>
      <c r="N193" s="361"/>
      <c r="O193" s="361"/>
      <c r="U193" s="182"/>
    </row>
    <row r="194" spans="1:21" s="1" customFormat="1" ht="52.8" x14ac:dyDescent="0.25">
      <c r="A194" s="110" t="str">
        <f ca="1">OFFSET(PO!J$12,ROW(A194)-ROW($A$12),0)</f>
        <v>Serviço</v>
      </c>
      <c r="B194" s="112" t="str">
        <f ca="1">IF($A194=0,"",OFFSET(PO!K$12,ROW(B194)-ROW(B$12),0))</f>
        <v>9.1.0.4.</v>
      </c>
      <c r="C194" s="109" t="str">
        <f ca="1">IF(OFFSET(PO!N$12,ROW(C194)-ROW(C$12),0)=0,"",OFFSET(PO!N$12,ROW(C194)-ROW(C$12),0))</f>
        <v>MASSA ÚNICA, EM ARGAMASSA INDUSTRIALIZADA, PREPARO MECÂNICO, APLICADA COM EQUIPAMENTO DE MISTURA E PROJEÇÃO DE ARGAMASSA EM PAREDES INTERNAS, E = 5MM, SEM TALISCAS. AF_03/2024</v>
      </c>
      <c r="D194" s="111" t="str">
        <f ca="1">IF(OFFSET(PO!O$12,ROW(D194)-ROW(D$12),0)=0,"",OFFSET(PO!O$12,ROW(D194)-ROW(D$12),0))</f>
        <v>M2</v>
      </c>
      <c r="E194" s="140">
        <f ca="1">IF($A194&lt;&gt;"Serviço",0,ROUND(SUMIF($F$9:$P$9,"&lt;&gt;",$F194:$P194),15-13*PO!$X$3))</f>
        <v>1024.77</v>
      </c>
      <c r="F194" s="361">
        <f ca="1">OFFSET(PO!$P$12,ROW($E194)-ROW(F$12),0)</f>
        <v>1024.77</v>
      </c>
      <c r="G194" s="361"/>
      <c r="H194" s="361"/>
      <c r="I194" s="361"/>
      <c r="J194" s="361"/>
      <c r="K194" s="361"/>
      <c r="L194" s="361"/>
      <c r="M194" s="361"/>
      <c r="N194" s="361"/>
      <c r="O194" s="361"/>
      <c r="U194" s="182"/>
    </row>
    <row r="195" spans="1:21" s="1" customFormat="1" ht="39.6" x14ac:dyDescent="0.25">
      <c r="A195" s="110" t="str">
        <f ca="1">OFFSET(PO!J$12,ROW(A195)-ROW($A$12),0)</f>
        <v>Serviço</v>
      </c>
      <c r="B195" s="112" t="str">
        <f ca="1">IF($A195=0,"",OFFSET(PO!K$12,ROW(B195)-ROW(B$12),0))</f>
        <v>9.1.0.5.</v>
      </c>
      <c r="C195" s="109" t="str">
        <f ca="1">IF(OFFSET(PO!N$12,ROW(C195)-ROW(C$12),0)=0,"",OFFSET(PO!N$12,ROW(C195)-ROW(C$12),0))</f>
        <v>REVESTIMENTO CERÂMICO PARA PAREDES INTERNAS COM PLACAS TIPO ESMALTADA DE DIMENSÕES 33X45 CM APLICADAS NA ALTURA INTEIRA DAS PAREDES. AF_02/2023_PE</v>
      </c>
      <c r="D195" s="111" t="str">
        <f ca="1">IF(OFFSET(PO!O$12,ROW(D195)-ROW(D$12),0)=0,"",OFFSET(PO!O$12,ROW(D195)-ROW(D$12),0))</f>
        <v>M2</v>
      </c>
      <c r="E195" s="140">
        <f ca="1">IF($A195&lt;&gt;"Serviço",0,ROUND(SUMIF($F$9:$P$9,"&lt;&gt;",$F195:$P195),15-13*PO!$X$3))</f>
        <v>456.39</v>
      </c>
      <c r="F195" s="361">
        <f ca="1">OFFSET(PO!$P$12,ROW($E195)-ROW(F$12),0)</f>
        <v>456.39</v>
      </c>
      <c r="G195" s="361"/>
      <c r="H195" s="361"/>
      <c r="I195" s="361"/>
      <c r="J195" s="361"/>
      <c r="K195" s="361"/>
      <c r="L195" s="361"/>
      <c r="M195" s="361"/>
      <c r="N195" s="361"/>
      <c r="O195" s="361"/>
      <c r="U195" s="182"/>
    </row>
    <row r="196" spans="1:21" s="1" customFormat="1" ht="39.6" x14ac:dyDescent="0.25">
      <c r="A196" s="110" t="str">
        <f ca="1">OFFSET(PO!J$12,ROW(A196)-ROW($A$12),0)</f>
        <v>Serviço</v>
      </c>
      <c r="B196" s="112" t="str">
        <f ca="1">IF($A196=0,"",OFFSET(PO!K$12,ROW(B196)-ROW(B$12),0))</f>
        <v>9.1.0.6.</v>
      </c>
      <c r="C196" s="109" t="str">
        <f ca="1">IF(OFFSET(PO!N$12,ROW(C196)-ROW(C$12),0)=0,"",OFFSET(PO!N$12,ROW(C196)-ROW(C$12),0))</f>
        <v>REVESTIMENTO CERÂMICO PARA PAREDES INTERNAS COM PLACAS TIPO ESMALTADA EXTRA DE DIMENSÕES 10X10 CM COR AMARELA APLICADAS NA ALTURA INTEIRA DAS PAREDES</v>
      </c>
      <c r="D196" s="111" t="str">
        <f ca="1">IF(OFFSET(PO!O$12,ROW(D196)-ROW(D$12),0)=0,"",OFFSET(PO!O$12,ROW(D196)-ROW(D$12),0))</f>
        <v>M2</v>
      </c>
      <c r="E196" s="140">
        <f ca="1">IF($A196&lt;&gt;"Serviço",0,ROUND(SUMIF($F$9:$P$9,"&lt;&gt;",$F196:$P196),15-13*PO!$X$3))</f>
        <v>94</v>
      </c>
      <c r="F196" s="361">
        <f ca="1">OFFSET(PO!$P$12,ROW($E196)-ROW(F$12),0)</f>
        <v>94</v>
      </c>
      <c r="G196" s="361"/>
      <c r="H196" s="361"/>
      <c r="I196" s="361"/>
      <c r="J196" s="361"/>
      <c r="K196" s="361"/>
      <c r="L196" s="361"/>
      <c r="M196" s="361"/>
      <c r="N196" s="361"/>
      <c r="O196" s="361"/>
      <c r="U196" s="182"/>
    </row>
    <row r="197" spans="1:21" s="1" customFormat="1" ht="39.6" x14ac:dyDescent="0.25">
      <c r="A197" s="110" t="str">
        <f ca="1">OFFSET(PO!J$12,ROW(A197)-ROW($A$12),0)</f>
        <v>Serviço</v>
      </c>
      <c r="B197" s="112" t="str">
        <f ca="1">IF($A197=0,"",OFFSET(PO!K$12,ROW(B197)-ROW(B$12),0))</f>
        <v>9.1.0.7.</v>
      </c>
      <c r="C197" s="109" t="str">
        <f ca="1">IF(OFFSET(PO!N$12,ROW(C197)-ROW(C$12),0)=0,"",OFFSET(PO!N$12,ROW(C197)-ROW(C$12),0))</f>
        <v>REVESTIMENTO CERÂMICO PARA PAREDES INTERNAS COM PLACAS TIPO ESMALTADA EXTRA DE DIMENSÕES 10X10 CM COR AZUL APLICADAS NA ALTURA INTEIRA DAS PAREDES</v>
      </c>
      <c r="D197" s="111" t="str">
        <f ca="1">IF(OFFSET(PO!O$12,ROW(D197)-ROW(D$12),0)=0,"",OFFSET(PO!O$12,ROW(D197)-ROW(D$12),0))</f>
        <v>M2</v>
      </c>
      <c r="E197" s="140">
        <f ca="1">IF($A197&lt;&gt;"Serviço",0,ROUND(SUMIF($F$9:$P$9,"&lt;&gt;",$F197:$P197),15-13*PO!$X$3))</f>
        <v>4.5999999999999996</v>
      </c>
      <c r="F197" s="361">
        <f ca="1">OFFSET(PO!$P$12,ROW($E197)-ROW(F$12),0)</f>
        <v>4.5999999999999996</v>
      </c>
      <c r="G197" s="361"/>
      <c r="H197" s="361"/>
      <c r="I197" s="361"/>
      <c r="J197" s="361"/>
      <c r="K197" s="361"/>
      <c r="L197" s="361"/>
      <c r="M197" s="361"/>
      <c r="N197" s="361"/>
      <c r="O197" s="361"/>
      <c r="U197" s="182"/>
    </row>
    <row r="198" spans="1:21" s="1" customFormat="1" ht="39.6" x14ac:dyDescent="0.25">
      <c r="A198" s="110" t="str">
        <f ca="1">OFFSET(PO!J$12,ROW(A198)-ROW($A$12),0)</f>
        <v>Serviço</v>
      </c>
      <c r="B198" s="112" t="str">
        <f ca="1">IF($A198=0,"",OFFSET(PO!K$12,ROW(B198)-ROW(B$12),0))</f>
        <v>9.1.0.8.</v>
      </c>
      <c r="C198" s="109" t="str">
        <f ca="1">IF(OFFSET(PO!N$12,ROW(C198)-ROW(C$12),0)=0,"",OFFSET(PO!N$12,ROW(C198)-ROW(C$12),0))</f>
        <v>REVESTIMENTO CERÂMICO PARA PAREDES INTERNAS COM PLACAS TIPO ESMALTADA EXTRA DE DIMENSÕES 10X10 CM COR BRANCA APLICADAS NA ALTURA INTEIRA DAS PAREDES</v>
      </c>
      <c r="D198" s="111" t="str">
        <f ca="1">IF(OFFSET(PO!O$12,ROW(D198)-ROW(D$12),0)=0,"",OFFSET(PO!O$12,ROW(D198)-ROW(D$12),0))</f>
        <v>M2</v>
      </c>
      <c r="E198" s="140">
        <f ca="1">IF($A198&lt;&gt;"Serviço",0,ROUND(SUMIF($F$9:$P$9,"&lt;&gt;",$F198:$P198),15-13*PO!$X$3))</f>
        <v>9.7100000000000009</v>
      </c>
      <c r="F198" s="361">
        <f ca="1">OFFSET(PO!$P$12,ROW($E198)-ROW(F$12),0)</f>
        <v>9.7100000000000009</v>
      </c>
      <c r="G198" s="361"/>
      <c r="H198" s="361"/>
      <c r="I198" s="361"/>
      <c r="J198" s="361"/>
      <c r="K198" s="361"/>
      <c r="L198" s="361"/>
      <c r="M198" s="361"/>
      <c r="N198" s="361"/>
      <c r="O198" s="361"/>
      <c r="U198" s="182"/>
    </row>
    <row r="199" spans="1:21" s="1" customFormat="1" ht="39.6" x14ac:dyDescent="0.25">
      <c r="A199" s="110" t="str">
        <f ca="1">OFFSET(PO!J$12,ROW(A199)-ROW($A$12),0)</f>
        <v>Serviço</v>
      </c>
      <c r="B199" s="112" t="str">
        <f ca="1">IF($A199=0,"",OFFSET(PO!K$12,ROW(B199)-ROW(B$12),0))</f>
        <v>9.1.0.9.</v>
      </c>
      <c r="C199" s="109" t="str">
        <f ca="1">IF(OFFSET(PO!N$12,ROW(C199)-ROW(C$12),0)=0,"",OFFSET(PO!N$12,ROW(C199)-ROW(C$12),0))</f>
        <v>REVESTIMENTO CERÂMICO PARA PAREDES INTERNAS COM PLACAS TIPO ESMALTADA EXTRA DE DIMENSÕES 10X10 CM COR VERMELHA APLICADAS NA ALTURA INTEIRA DAS PAREDES</v>
      </c>
      <c r="D199" s="111" t="str">
        <f ca="1">IF(OFFSET(PO!O$12,ROW(D199)-ROW(D$12),0)=0,"",OFFSET(PO!O$12,ROW(D199)-ROW(D$12),0))</f>
        <v>M2</v>
      </c>
      <c r="E199" s="140">
        <f ca="1">IF($A199&lt;&gt;"Serviço",0,ROUND(SUMIF($F$9:$P$9,"&lt;&gt;",$F199:$P199),15-13*PO!$X$3))</f>
        <v>4.92</v>
      </c>
      <c r="F199" s="361">
        <f ca="1">OFFSET(PO!$P$12,ROW($E199)-ROW(F$12),0)</f>
        <v>4.92</v>
      </c>
      <c r="G199" s="361"/>
      <c r="H199" s="361"/>
      <c r="I199" s="361"/>
      <c r="J199" s="361"/>
      <c r="K199" s="361"/>
      <c r="L199" s="361"/>
      <c r="M199" s="361"/>
      <c r="N199" s="361"/>
      <c r="O199" s="361"/>
      <c r="U199" s="182"/>
    </row>
    <row r="200" spans="1:21" s="1" customFormat="1" x14ac:dyDescent="0.25">
      <c r="A200" s="110" t="str">
        <f ca="1">OFFSET(PO!J$12,ROW(A200)-ROW($A$12),0)</f>
        <v>Serviço</v>
      </c>
      <c r="B200" s="112" t="str">
        <f ca="1">IF($A200=0,"",OFFSET(PO!K$12,ROW(B200)-ROW(B$12),0))</f>
        <v>9.1.0.10.</v>
      </c>
      <c r="C200" s="109" t="str">
        <f ca="1">IF(OFFSET(PO!N$12,ROW(C200)-ROW(C$12),0)=0,"",OFFSET(PO!N$12,ROW(C200)-ROW(C$12),0))</f>
        <v>RODA MEIO EM MADEIRA, ALTURA 7CM, FIXADO COM COLA</v>
      </c>
      <c r="D200" s="111" t="str">
        <f ca="1">IF(OFFSET(PO!O$12,ROW(D200)-ROW(D$12),0)=0,"",OFFSET(PO!O$12,ROW(D200)-ROW(D$12),0))</f>
        <v>M</v>
      </c>
      <c r="E200" s="140">
        <f ca="1">IF($A200&lt;&gt;"Serviço",0,ROUND(SUMIF($F$9:$P$9,"&lt;&gt;",$F200:$P200),15-13*PO!$X$3))</f>
        <v>127.2</v>
      </c>
      <c r="F200" s="361">
        <f ca="1">OFFSET(PO!$P$12,ROW($E200)-ROW(F$12),0)</f>
        <v>127.2</v>
      </c>
      <c r="G200" s="361"/>
      <c r="H200" s="361"/>
      <c r="I200" s="361"/>
      <c r="J200" s="361"/>
      <c r="K200" s="361"/>
      <c r="L200" s="361"/>
      <c r="M200" s="361"/>
      <c r="N200" s="361"/>
      <c r="O200" s="361"/>
      <c r="U200" s="182"/>
    </row>
    <row r="201" spans="1:21" s="1" customFormat="1" ht="39.6" x14ac:dyDescent="0.25">
      <c r="A201" s="110" t="str">
        <f ca="1">OFFSET(PO!J$12,ROW(A201)-ROW($A$12),0)</f>
        <v>Serviço</v>
      </c>
      <c r="B201" s="112" t="str">
        <f ca="1">IF($A201=0,"",OFFSET(PO!K$12,ROW(B201)-ROW(B$12),0))</f>
        <v>9.1.0.11.</v>
      </c>
      <c r="C201" s="109" t="str">
        <f ca="1">IF(OFFSET(PO!N$12,ROW(C201)-ROW(C$12),0)=0,"",OFFSET(PO!N$12,ROW(C201)-ROW(C$12),0))</f>
        <v>FORRO EM DRYWALL, PARA AMBIENTES COMERCIAIS, INCLUSIVE ESTRUTURA BIRECIONAL DE FIXAÇÃO. AF_08/2023_PS</v>
      </c>
      <c r="D201" s="111" t="str">
        <f ca="1">IF(OFFSET(PO!O$12,ROW(D201)-ROW(D$12),0)=0,"",OFFSET(PO!O$12,ROW(D201)-ROW(D$12),0))</f>
        <v>M2</v>
      </c>
      <c r="E201" s="140">
        <f ca="1">IF($A201&lt;&gt;"Serviço",0,ROUND(SUMIF($F$9:$P$9,"&lt;&gt;",$F201:$P201),15-13*PO!$X$3))</f>
        <v>438.37</v>
      </c>
      <c r="F201" s="361">
        <f ca="1">OFFSET(PO!$P$12,ROW($E201)-ROW(F$12),0)</f>
        <v>438.37</v>
      </c>
      <c r="G201" s="361"/>
      <c r="H201" s="361"/>
      <c r="I201" s="361"/>
      <c r="J201" s="361"/>
      <c r="K201" s="361"/>
      <c r="L201" s="361"/>
      <c r="M201" s="361"/>
      <c r="N201" s="361"/>
      <c r="O201" s="361"/>
      <c r="U201" s="182"/>
    </row>
    <row r="202" spans="1:21" s="1" customFormat="1" ht="52.8" x14ac:dyDescent="0.25">
      <c r="A202" s="110" t="str">
        <f ca="1">OFFSET(PO!J$12,ROW(A202)-ROW($A$12),0)</f>
        <v>Serviço</v>
      </c>
      <c r="B202" s="112" t="str">
        <f ca="1">IF($A202=0,"",OFFSET(PO!K$12,ROW(B202)-ROW(B$12),0))</f>
        <v>9.1.0.12.</v>
      </c>
      <c r="C202" s="109" t="str">
        <f ca="1">IF(OFFSET(PO!N$12,ROW(C202)-ROW(C$12),0)=0,"",OFFSET(PO!N$12,ROW(C202)-ROW(C$12),0))</f>
        <v>FORRO DE FIBRA MINERAL EM PLACAS DE 625 X 625 MM, E = 15 MM, BORDA RETA, COM PINTURA ANTIMOFO, APOIADO EM PERFIL DE ACO GALVANIZADO COM 24 MM DE BASE - INSTALADO</v>
      </c>
      <c r="D202" s="111" t="str">
        <f ca="1">IF(OFFSET(PO!O$12,ROW(D202)-ROW(D$12),0)=0,"",OFFSET(PO!O$12,ROW(D202)-ROW(D$12),0))</f>
        <v>M2</v>
      </c>
      <c r="E202" s="140">
        <f ca="1">IF($A202&lt;&gt;"Serviço",0,ROUND(SUMIF($F$9:$P$9,"&lt;&gt;",$F202:$P202),15-13*PO!$X$3))</f>
        <v>259.43</v>
      </c>
      <c r="F202" s="361">
        <f ca="1">OFFSET(PO!$P$12,ROW($E202)-ROW(F$12),0)</f>
        <v>259.43</v>
      </c>
      <c r="G202" s="361"/>
      <c r="H202" s="361"/>
      <c r="I202" s="361"/>
      <c r="J202" s="361"/>
      <c r="K202" s="361"/>
      <c r="L202" s="361"/>
      <c r="M202" s="361"/>
      <c r="N202" s="361"/>
      <c r="O202" s="361"/>
      <c r="U202" s="182"/>
    </row>
    <row r="203" spans="1:21" s="1" customFormat="1" x14ac:dyDescent="0.25">
      <c r="A203" s="110" t="str">
        <f ca="1">OFFSET(PO!J$12,ROW(A203)-ROW($A$12),0)</f>
        <v>Nível 2</v>
      </c>
      <c r="B203" s="112" t="str">
        <f ca="1">IF($A203=0,"",OFFSET(PO!K$12,ROW(B203)-ROW(B$12),0))</f>
        <v>9.2.</v>
      </c>
      <c r="C203" s="109" t="str">
        <f ca="1">IF(OFFSET(PO!N$12,ROW(C203)-ROW(C$12),0)=0,"",OFFSET(PO!N$12,ROW(C203)-ROW(C$12),0))</f>
        <v>MURETA</v>
      </c>
      <c r="D203" s="111" t="str">
        <f ca="1">IF(OFFSET(PO!O$12,ROW(D203)-ROW(D$12),0)=0,"",OFFSET(PO!O$12,ROW(D203)-ROW(D$12),0))</f>
        <v/>
      </c>
      <c r="E203" s="140">
        <f ca="1">IF($A203&lt;&gt;"Serviço",0,ROUND(SUMIF($F$9:$P$9,"&lt;&gt;",$F203:$P203),15-13*PO!$X$3))</f>
        <v>0</v>
      </c>
      <c r="F203" s="361">
        <f ca="1">OFFSET(PO!$P$12,ROW($E203)-ROW(F$12),0)</f>
        <v>0</v>
      </c>
      <c r="G203" s="361"/>
      <c r="H203" s="361"/>
      <c r="I203" s="361"/>
      <c r="J203" s="361"/>
      <c r="K203" s="361"/>
      <c r="L203" s="361"/>
      <c r="M203" s="361"/>
      <c r="N203" s="361"/>
      <c r="O203" s="361"/>
      <c r="U203" s="182"/>
    </row>
    <row r="204" spans="1:21" s="1" customFormat="1" ht="39.6" x14ac:dyDescent="0.25">
      <c r="A204" s="110" t="str">
        <f ca="1">OFFSET(PO!J$12,ROW(A204)-ROW($A$12),0)</f>
        <v>Serviço</v>
      </c>
      <c r="B204" s="112" t="str">
        <f ca="1">IF($A204=0,"",OFFSET(PO!K$12,ROW(B204)-ROW(B$12),0))</f>
        <v>9.2.0.1.</v>
      </c>
      <c r="C204" s="109" t="str">
        <f ca="1">IF(OFFSET(PO!N$12,ROW(C204)-ROW(C$12),0)=0,"",OFFSET(PO!N$12,ROW(C204)-ROW(C$12),0))</f>
        <v>CHAPISCO APLICADO EM ALVENARIAS E ESTRUTURAS DE CONCRETO INTERNAS, COM COLHER DE PEDREIRO.  ARGAMASSA TRAÇO 1:3 COM PREPARO MANUAL. AF_10/2022</v>
      </c>
      <c r="D204" s="111" t="str">
        <f ca="1">IF(OFFSET(PO!O$12,ROW(D204)-ROW(D$12),0)=0,"",OFFSET(PO!O$12,ROW(D204)-ROW(D$12),0))</f>
        <v>M2</v>
      </c>
      <c r="E204" s="140">
        <f ca="1">IF($A204&lt;&gt;"Serviço",0,ROUND(SUMIF($F$9:$P$9,"&lt;&gt;",$F204:$P204),15-13*PO!$X$3))</f>
        <v>221.28</v>
      </c>
      <c r="F204" s="361">
        <f ca="1">OFFSET(PO!$P$12,ROW($E204)-ROW(F$12),0)</f>
        <v>221.28</v>
      </c>
      <c r="G204" s="361"/>
      <c r="H204" s="361"/>
      <c r="I204" s="361"/>
      <c r="J204" s="361"/>
      <c r="K204" s="361"/>
      <c r="L204" s="361"/>
      <c r="M204" s="361"/>
      <c r="N204" s="361"/>
      <c r="O204" s="361"/>
      <c r="U204" s="182"/>
    </row>
    <row r="205" spans="1:21" s="1" customFormat="1" ht="52.8" x14ac:dyDescent="0.25">
      <c r="A205" s="110" t="str">
        <f ca="1">OFFSET(PO!J$12,ROW(A205)-ROW($A$12),0)</f>
        <v>Serviço</v>
      </c>
      <c r="B205" s="112" t="str">
        <f ca="1">IF($A205=0,"",OFFSET(PO!K$12,ROW(B205)-ROW(B$12),0))</f>
        <v>9.2.0.2.</v>
      </c>
      <c r="C205" s="109" t="str">
        <f ca="1">IF(OFFSET(PO!N$12,ROW(C205)-ROW(C$12),0)=0,"",OFFSET(PO!N$12,ROW(C205)-ROW(C$12),0))</f>
        <v>EMBOÇO OU MASSA ÚNICA EM ARGAMASSA TRAÇO 1:2:8, PREPARO MECÂNICO COM BETONEIRA 400 L, APLICADA MANUALMENTE EM PANOS CEGOS DE FACHADA (SEM PRESENÇA DE VÃOS), ESPESSURA DE 25 MM. AF_08/2022</v>
      </c>
      <c r="D205" s="111" t="str">
        <f ca="1">IF(OFFSET(PO!O$12,ROW(D205)-ROW(D$12),0)=0,"",OFFSET(PO!O$12,ROW(D205)-ROW(D$12),0))</f>
        <v>M2</v>
      </c>
      <c r="E205" s="140">
        <f ca="1">IF($A205&lt;&gt;"Serviço",0,ROUND(SUMIF($F$9:$P$9,"&lt;&gt;",$F205:$P205),15-13*PO!$X$3))</f>
        <v>221.28</v>
      </c>
      <c r="F205" s="361">
        <f ca="1">OFFSET(PO!$P$12,ROW($E205)-ROW(F$12),0)</f>
        <v>221.28</v>
      </c>
      <c r="G205" s="361"/>
      <c r="H205" s="361"/>
      <c r="I205" s="361"/>
      <c r="J205" s="361"/>
      <c r="K205" s="361"/>
      <c r="L205" s="361"/>
      <c r="M205" s="361"/>
      <c r="N205" s="361"/>
      <c r="O205" s="361"/>
      <c r="U205" s="182"/>
    </row>
    <row r="206" spans="1:21" s="1" customFormat="1" x14ac:dyDescent="0.25">
      <c r="A206" s="110" t="str">
        <f ca="1">OFFSET(PO!J$12,ROW(A206)-ROW($A$12),0)</f>
        <v>Meta</v>
      </c>
      <c r="B206" s="112" t="str">
        <f ca="1">IF($A206=0,"",OFFSET(PO!K$12,ROW(B206)-ROW(B$12),0))</f>
        <v>10.</v>
      </c>
      <c r="C206" s="109" t="str">
        <f ca="1">IF(OFFSET(PO!N$12,ROW(C206)-ROW(C$12),0)=0,"",OFFSET(PO!N$12,ROW(C206)-ROW(C$12),0))</f>
        <v>SISTEMAS DE PISO</v>
      </c>
      <c r="D206" s="111" t="str">
        <f ca="1">IF(OFFSET(PO!O$12,ROW(D206)-ROW(D$12),0)=0,"",OFFSET(PO!O$12,ROW(D206)-ROW(D$12),0))</f>
        <v/>
      </c>
      <c r="E206" s="140">
        <f ca="1">IF($A206&lt;&gt;"Serviço",0,ROUND(SUMIF($F$9:$P$9,"&lt;&gt;",$F206:$P206),15-13*PO!$X$3))</f>
        <v>0</v>
      </c>
      <c r="F206" s="361">
        <f ca="1">OFFSET(PO!$P$12,ROW($E206)-ROW(F$12),0)</f>
        <v>0</v>
      </c>
      <c r="G206" s="361"/>
      <c r="H206" s="361"/>
      <c r="I206" s="361"/>
      <c r="J206" s="361"/>
      <c r="K206" s="361"/>
      <c r="L206" s="361"/>
      <c r="M206" s="361"/>
      <c r="N206" s="361"/>
      <c r="O206" s="361"/>
      <c r="U206" s="182"/>
    </row>
    <row r="207" spans="1:21" s="1" customFormat="1" x14ac:dyDescent="0.25">
      <c r="A207" s="110" t="str">
        <f ca="1">OFFSET(PO!J$12,ROW(A207)-ROW($A$12),0)</f>
        <v>Nível 2</v>
      </c>
      <c r="B207" s="112" t="str">
        <f ca="1">IF($A207=0,"",OFFSET(PO!K$12,ROW(B207)-ROW(B$12),0))</f>
        <v>10.1.</v>
      </c>
      <c r="C207" s="109" t="str">
        <f ca="1">IF(OFFSET(PO!N$12,ROW(C207)-ROW(C$12),0)=0,"",OFFSET(PO!N$12,ROW(C207)-ROW(C$12),0))</f>
        <v>PAVIMENTAÇÃO INTERNA</v>
      </c>
      <c r="D207" s="111" t="str">
        <f ca="1">IF(OFFSET(PO!O$12,ROW(D207)-ROW(D$12),0)=0,"",OFFSET(PO!O$12,ROW(D207)-ROW(D$12),0))</f>
        <v/>
      </c>
      <c r="E207" s="140">
        <f ca="1">IF($A207&lt;&gt;"Serviço",0,ROUND(SUMIF($F$9:$P$9,"&lt;&gt;",$F207:$P207),15-13*PO!$X$3))</f>
        <v>0</v>
      </c>
      <c r="F207" s="361">
        <f ca="1">OFFSET(PO!$P$12,ROW($E207)-ROW(F$12),0)</f>
        <v>0</v>
      </c>
      <c r="G207" s="361"/>
      <c r="H207" s="361"/>
      <c r="I207" s="361"/>
      <c r="J207" s="361"/>
      <c r="K207" s="361"/>
      <c r="L207" s="361"/>
      <c r="M207" s="361"/>
      <c r="N207" s="361"/>
      <c r="O207" s="361"/>
      <c r="U207" s="182"/>
    </row>
    <row r="208" spans="1:21" s="1" customFormat="1" ht="26.4" x14ac:dyDescent="0.25">
      <c r="A208" s="110" t="str">
        <f ca="1">OFFSET(PO!J$12,ROW(A208)-ROW($A$12),0)</f>
        <v>Serviço</v>
      </c>
      <c r="B208" s="112" t="str">
        <f ca="1">IF($A208=0,"",OFFSET(PO!K$12,ROW(B208)-ROW(B$12),0))</f>
        <v>10.1.0.1.</v>
      </c>
      <c r="C208" s="109" t="str">
        <f ca="1">IF(OFFSET(PO!N$12,ROW(C208)-ROW(C$12),0)=0,"",OFFSET(PO!N$12,ROW(C208)-ROW(C$12),0))</f>
        <v>CONTRAPISO DE CONCRETO NÃO-ESTRUTURAL, ESPESSURA 3 CM E PREPARO MECÂNICO</v>
      </c>
      <c r="D208" s="111" t="str">
        <f ca="1">IF(OFFSET(PO!O$12,ROW(D208)-ROW(D$12),0)=0,"",OFFSET(PO!O$12,ROW(D208)-ROW(D$12),0))</f>
        <v>M2</v>
      </c>
      <c r="E208" s="140">
        <f ca="1">IF($A208&lt;&gt;"Serviço",0,ROUND(SUMIF($F$9:$P$9,"&lt;&gt;",$F208:$P208),15-13*PO!$X$3))</f>
        <v>282.92</v>
      </c>
      <c r="F208" s="361">
        <f ca="1">OFFSET(PO!$P$12,ROW($E208)-ROW(F$12),0)</f>
        <v>282.92</v>
      </c>
      <c r="G208" s="361"/>
      <c r="H208" s="361"/>
      <c r="I208" s="361"/>
      <c r="J208" s="361"/>
      <c r="K208" s="361"/>
      <c r="L208" s="361"/>
      <c r="M208" s="361"/>
      <c r="N208" s="361"/>
      <c r="O208" s="361"/>
      <c r="U208" s="182"/>
    </row>
    <row r="209" spans="1:21" s="1" customFormat="1" ht="39.6" x14ac:dyDescent="0.25">
      <c r="A209" s="110" t="str">
        <f ca="1">OFFSET(PO!J$12,ROW(A209)-ROW($A$12),0)</f>
        <v>Serviço</v>
      </c>
      <c r="B209" s="112" t="str">
        <f ca="1">IF($A209=0,"",OFFSET(PO!K$12,ROW(B209)-ROW(B$12),0))</f>
        <v>10.1.0.2.</v>
      </c>
      <c r="C209" s="109" t="str">
        <f ca="1">IF(OFFSET(PO!N$12,ROW(C209)-ROW(C$12),0)=0,"",OFFSET(PO!N$12,ROW(C209)-ROW(C$12),0))</f>
        <v>PISO CIMENTADO, TRAÇO 1:3 (CIMENTO E AREIA), ACABAMENTO LISO, ESPESSURA 3,0 CM, PREPARO MECÂNICO DA ARGAMASSA. AF_09/2020</v>
      </c>
      <c r="D209" s="111" t="str">
        <f ca="1">IF(OFFSET(PO!O$12,ROW(D209)-ROW(D$12),0)=0,"",OFFSET(PO!O$12,ROW(D209)-ROW(D$12),0))</f>
        <v>M2</v>
      </c>
      <c r="E209" s="140">
        <f ca="1">IF($A209&lt;&gt;"Serviço",0,ROUND(SUMIF($F$9:$P$9,"&lt;&gt;",$F209:$P209),15-13*PO!$X$3))</f>
        <v>375.34</v>
      </c>
      <c r="F209" s="361">
        <f ca="1">OFFSET(PO!$P$12,ROW($E209)-ROW(F$12),0)</f>
        <v>375.34</v>
      </c>
      <c r="G209" s="361"/>
      <c r="H209" s="361"/>
      <c r="I209" s="361"/>
      <c r="J209" s="361"/>
      <c r="K209" s="361"/>
      <c r="L209" s="361"/>
      <c r="M209" s="361"/>
      <c r="N209" s="361"/>
      <c r="O209" s="361"/>
      <c r="U209" s="182"/>
    </row>
    <row r="210" spans="1:21" s="1" customFormat="1" ht="52.8" x14ac:dyDescent="0.25">
      <c r="A210" s="110" t="str">
        <f ca="1">OFFSET(PO!J$12,ROW(A210)-ROW($A$12),0)</f>
        <v>Serviço</v>
      </c>
      <c r="B210" s="112" t="str">
        <f ca="1">IF($A210=0,"",OFFSET(PO!K$12,ROW(B210)-ROW(B$12),0))</f>
        <v>10.1.0.3.</v>
      </c>
      <c r="C210" s="109" t="str">
        <f ca="1">IF(OFFSET(PO!N$12,ROW(C210)-ROW(C$12),0)=0,"",OFFSET(PO!N$12,ROW(C210)-ROW(C$12),0))</f>
        <v>CONTRAPISO EM ARGAMASSA TRAÇO 1:4 (CIMENTO E AREIA), PREPARO MECÂNICO COM BETONEIRA 400 L, APLICADO EM ÁREAS MOLHADAS SOBRE IMPERMEABILIZAÇÃO, ACABAMENTO NÃO REFORÇADO, ESPESSURA 3CM. AF_07/2021</v>
      </c>
      <c r="D210" s="111" t="str">
        <f ca="1">IF(OFFSET(PO!O$12,ROW(D210)-ROW(D$12),0)=0,"",OFFSET(PO!O$12,ROW(D210)-ROW(D$12),0))</f>
        <v>M2</v>
      </c>
      <c r="E210" s="140">
        <f ca="1">IF($A210&lt;&gt;"Serviço",0,ROUND(SUMIF($F$9:$P$9,"&lt;&gt;",$F210:$P210),15-13*PO!$X$3))</f>
        <v>125.46</v>
      </c>
      <c r="F210" s="361">
        <f ca="1">OFFSET(PO!$P$12,ROW($E210)-ROW(F$12),0)</f>
        <v>125.46</v>
      </c>
      <c r="G210" s="361"/>
      <c r="H210" s="361"/>
      <c r="I210" s="361"/>
      <c r="J210" s="361"/>
      <c r="K210" s="361"/>
      <c r="L210" s="361"/>
      <c r="M210" s="361"/>
      <c r="N210" s="361"/>
      <c r="O210" s="361"/>
      <c r="U210" s="182"/>
    </row>
    <row r="211" spans="1:21" s="1" customFormat="1" ht="39.6" x14ac:dyDescent="0.25">
      <c r="A211" s="110" t="str">
        <f ca="1">OFFSET(PO!J$12,ROW(A211)-ROW($A$12),0)</f>
        <v>Serviço</v>
      </c>
      <c r="B211" s="112" t="str">
        <f ca="1">IF($A211=0,"",OFFSET(PO!K$12,ROW(B211)-ROW(B$12),0))</f>
        <v>10.1.0.4.</v>
      </c>
      <c r="C211" s="109" t="str">
        <f ca="1">IF(OFFSET(PO!N$12,ROW(C211)-ROW(C$12),0)=0,"",OFFSET(PO!N$12,ROW(C211)-ROW(C$12),0))</f>
        <v>REVESTIMENTO CERÂMICO PARA PISO COM PLACAS TIPO ESMALTADA DE DIMENSÕES 60X60 CM APLICADA EM AMBIENTES DE ÁREA MAIOR QUE 10 M2. AF_02/2023_PE</v>
      </c>
      <c r="D211" s="111" t="str">
        <f ca="1">IF(OFFSET(PO!O$12,ROW(D211)-ROW(D$12),0)=0,"",OFFSET(PO!O$12,ROW(D211)-ROW(D$12),0))</f>
        <v>M2</v>
      </c>
      <c r="E211" s="140">
        <f ca="1">IF($A211&lt;&gt;"Serviço",0,ROUND(SUMIF($F$9:$P$9,"&lt;&gt;",$F211:$P211),15-13*PO!$X$3))</f>
        <v>42.9</v>
      </c>
      <c r="F211" s="361">
        <f ca="1">OFFSET(PO!$P$12,ROW($E211)-ROW(F$12),0)</f>
        <v>42.9</v>
      </c>
      <c r="G211" s="361"/>
      <c r="H211" s="361"/>
      <c r="I211" s="361"/>
      <c r="J211" s="361"/>
      <c r="K211" s="361"/>
      <c r="L211" s="361"/>
      <c r="M211" s="361"/>
      <c r="N211" s="361"/>
      <c r="O211" s="361"/>
      <c r="U211" s="182"/>
    </row>
    <row r="212" spans="1:21" s="1" customFormat="1" ht="39.6" x14ac:dyDescent="0.25">
      <c r="A212" s="110" t="str">
        <f ca="1">OFFSET(PO!J$12,ROW(A212)-ROW($A$12),0)</f>
        <v>Serviço</v>
      </c>
      <c r="B212" s="112" t="str">
        <f ca="1">IF($A212=0,"",OFFSET(PO!K$12,ROW(B212)-ROW(B$12),0))</f>
        <v>10.1.0.5.</v>
      </c>
      <c r="C212" s="109" t="str">
        <f ca="1">IF(OFFSET(PO!N$12,ROW(C212)-ROW(C$12),0)=0,"",OFFSET(PO!N$12,ROW(C212)-ROW(C$12),0))</f>
        <v>REVESTIMENTO CERÂMICO PARA PISO COM PLACAS TIPO ESMALTADA DE DIMENSÕES 45X45 CM APLICADA EM AMBIENTES DE ÁREA MAIOR QUE 10 M2. AF_02/2023_PE</v>
      </c>
      <c r="D212" s="111" t="str">
        <f ca="1">IF(OFFSET(PO!O$12,ROW(D212)-ROW(D$12),0)=0,"",OFFSET(PO!O$12,ROW(D212)-ROW(D$12),0))</f>
        <v>M2</v>
      </c>
      <c r="E212" s="140">
        <f ca="1">IF($A212&lt;&gt;"Serviço",0,ROUND(SUMIF($F$9:$P$9,"&lt;&gt;",$F212:$P212),15-13*PO!$X$3))</f>
        <v>148.94999999999999</v>
      </c>
      <c r="F212" s="361">
        <f ca="1">OFFSET(PO!$P$12,ROW($E212)-ROW(F$12),0)</f>
        <v>148.94999999999999</v>
      </c>
      <c r="G212" s="361"/>
      <c r="H212" s="361"/>
      <c r="I212" s="361"/>
      <c r="J212" s="361"/>
      <c r="K212" s="361"/>
      <c r="L212" s="361"/>
      <c r="M212" s="361"/>
      <c r="N212" s="361"/>
      <c r="O212" s="361"/>
      <c r="U212" s="182"/>
    </row>
    <row r="213" spans="1:21" s="1" customFormat="1" x14ac:dyDescent="0.25">
      <c r="A213" s="110" t="str">
        <f ca="1">OFFSET(PO!J$12,ROW(A213)-ROW($A$12),0)</f>
        <v>Serviço</v>
      </c>
      <c r="B213" s="112" t="str">
        <f ca="1">IF($A213=0,"",OFFSET(PO!K$12,ROW(B213)-ROW(B$12),0))</f>
        <v>10.1.0.6.</v>
      </c>
      <c r="C213" s="109" t="str">
        <f ca="1">IF(OFFSET(PO!N$12,ROW(C213)-ROW(C$12),0)=0,"",OFFSET(PO!N$12,ROW(C213)-ROW(C$12),0))</f>
        <v>PISO VINÍLICO SEMI-FLEXÍVEL EM MANTA ESPESSURA 2 MM</v>
      </c>
      <c r="D213" s="111" t="str">
        <f ca="1">IF(OFFSET(PO!O$12,ROW(D213)-ROW(D$12),0)=0,"",OFFSET(PO!O$12,ROW(D213)-ROW(D$12),0))</f>
        <v>M2</v>
      </c>
      <c r="E213" s="140">
        <f ca="1">IF($A213&lt;&gt;"Serviço",0,ROUND(SUMIF($F$9:$P$9,"&lt;&gt;",$F213:$P213),15-13*PO!$X$3))</f>
        <v>216.53</v>
      </c>
      <c r="F213" s="361">
        <f ca="1">OFFSET(PO!$P$12,ROW($E213)-ROW(F$12),0)</f>
        <v>216.53</v>
      </c>
      <c r="G213" s="361"/>
      <c r="H213" s="361"/>
      <c r="I213" s="361"/>
      <c r="J213" s="361"/>
      <c r="K213" s="361"/>
      <c r="L213" s="361"/>
      <c r="M213" s="361"/>
      <c r="N213" s="361"/>
      <c r="O213" s="361"/>
      <c r="U213" s="182"/>
    </row>
    <row r="214" spans="1:21" s="1" customFormat="1" ht="26.4" x14ac:dyDescent="0.25">
      <c r="A214" s="110" t="str">
        <f ca="1">OFFSET(PO!J$12,ROW(A214)-ROW($A$12),0)</f>
        <v>Serviço</v>
      </c>
      <c r="B214" s="112" t="str">
        <f ca="1">IF($A214=0,"",OFFSET(PO!K$12,ROW(B214)-ROW(B$12),0))</f>
        <v>10.1.0.7.</v>
      </c>
      <c r="C214" s="109" t="str">
        <f ca="1">IF(OFFSET(PO!N$12,ROW(C214)-ROW(C$12),0)=0,"",OFFSET(PO!N$12,ROW(C214)-ROW(C$12),0))</f>
        <v>NATA DE CIMENTO COM COLA PVA, PARA NIVELAMENTO  DE CONTRAPISO PARA ASSENTAMENTO DE PISO VINÍLICO</v>
      </c>
      <c r="D214" s="111" t="str">
        <f ca="1">IF(OFFSET(PO!O$12,ROW(D214)-ROW(D$12),0)=0,"",OFFSET(PO!O$12,ROW(D214)-ROW(D$12),0))</f>
        <v>M2</v>
      </c>
      <c r="E214" s="140">
        <f ca="1">IF($A214&lt;&gt;"Serviço",0,ROUND(SUMIF($F$9:$P$9,"&lt;&gt;",$F214:$P214),15-13*PO!$X$3))</f>
        <v>216.53</v>
      </c>
      <c r="F214" s="361">
        <f ca="1">OFFSET(PO!$P$12,ROW($E214)-ROW(F$12),0)</f>
        <v>216.53</v>
      </c>
      <c r="G214" s="361"/>
      <c r="H214" s="361"/>
      <c r="I214" s="361"/>
      <c r="J214" s="361"/>
      <c r="K214" s="361"/>
      <c r="L214" s="361"/>
      <c r="M214" s="361"/>
      <c r="N214" s="361"/>
      <c r="O214" s="361"/>
      <c r="U214" s="182"/>
    </row>
    <row r="215" spans="1:21" s="1" customFormat="1" ht="26.4" x14ac:dyDescent="0.25">
      <c r="A215" s="110" t="str">
        <f ca="1">OFFSET(PO!J$12,ROW(A215)-ROW($A$12),0)</f>
        <v>Serviço</v>
      </c>
      <c r="B215" s="112" t="str">
        <f ca="1">IF($A215=0,"",OFFSET(PO!K$12,ROW(B215)-ROW(B$12),0))</f>
        <v>10.1.0.8.</v>
      </c>
      <c r="C215" s="109" t="str">
        <f ca="1">IF(OFFSET(PO!N$12,ROW(C215)-ROW(C$12),0)=0,"",OFFSET(PO!N$12,ROW(C215)-ROW(C$12),0))</f>
        <v>RODAPÉ CERÂMICO DE 7CM DE ALTURA COM PLACAS TIPO ESMALTADA DE DIMENSÕES 60X60CM. AF_02/2023</v>
      </c>
      <c r="D215" s="111" t="str">
        <f ca="1">IF(OFFSET(PO!O$12,ROW(D215)-ROW(D$12),0)=0,"",OFFSET(PO!O$12,ROW(D215)-ROW(D$12),0))</f>
        <v>M</v>
      </c>
      <c r="E215" s="140">
        <f ca="1">IF($A215&lt;&gt;"Serviço",0,ROUND(SUMIF($F$9:$P$9,"&lt;&gt;",$F215:$P215),15-13*PO!$X$3))</f>
        <v>68</v>
      </c>
      <c r="F215" s="361">
        <f ca="1">OFFSET(PO!$P$12,ROW($E215)-ROW(F$12),0)</f>
        <v>68</v>
      </c>
      <c r="G215" s="361"/>
      <c r="H215" s="361"/>
      <c r="I215" s="361"/>
      <c r="J215" s="361"/>
      <c r="K215" s="361"/>
      <c r="L215" s="361"/>
      <c r="M215" s="361"/>
      <c r="N215" s="361"/>
      <c r="O215" s="361"/>
      <c r="U215" s="182"/>
    </row>
    <row r="216" spans="1:21" s="1" customFormat="1" x14ac:dyDescent="0.25">
      <c r="A216" s="110" t="str">
        <f ca="1">OFFSET(PO!J$12,ROW(A216)-ROW($A$12),0)</f>
        <v>Serviço</v>
      </c>
      <c r="B216" s="112" t="str">
        <f ca="1">IF($A216=0,"",OFFSET(PO!K$12,ROW(B216)-ROW(B$12),0))</f>
        <v>10.1.0.9.</v>
      </c>
      <c r="C216" s="109" t="str">
        <f ca="1">IF(OFFSET(PO!N$12,ROW(C216)-ROW(C$12),0)=0,"",OFFSET(PO!N$12,ROW(C216)-ROW(C$12),0))</f>
        <v>RODAPÉ EM POLIESTIRENO, ALTURA 5 CM. AF_09/2020</v>
      </c>
      <c r="D216" s="111" t="str">
        <f ca="1">IF(OFFSET(PO!O$12,ROW(D216)-ROW(D$12),0)=0,"",OFFSET(PO!O$12,ROW(D216)-ROW(D$12),0))</f>
        <v>M</v>
      </c>
      <c r="E216" s="140">
        <f ca="1">IF($A216&lt;&gt;"Serviço",0,ROUND(SUMIF($F$9:$P$9,"&lt;&gt;",$F216:$P216),15-13*PO!$X$3))</f>
        <v>127.2</v>
      </c>
      <c r="F216" s="361">
        <f ca="1">OFFSET(PO!$P$12,ROW($E216)-ROW(F$12),0)</f>
        <v>127.2</v>
      </c>
      <c r="G216" s="361"/>
      <c r="H216" s="361"/>
      <c r="I216" s="361"/>
      <c r="J216" s="361"/>
      <c r="K216" s="361"/>
      <c r="L216" s="361"/>
      <c r="M216" s="361"/>
      <c r="N216" s="361"/>
      <c r="O216" s="361"/>
      <c r="U216" s="182"/>
    </row>
    <row r="217" spans="1:21" s="1" customFormat="1" ht="26.4" x14ac:dyDescent="0.25">
      <c r="A217" s="110" t="str">
        <f ca="1">OFFSET(PO!J$12,ROW(A217)-ROW($A$12),0)</f>
        <v>Serviço</v>
      </c>
      <c r="B217" s="112" t="str">
        <f ca="1">IF($A217=0,"",OFFSET(PO!K$12,ROW(B217)-ROW(B$12),0))</f>
        <v>10.1.0.10.</v>
      </c>
      <c r="C217" s="109" t="str">
        <f ca="1">IF(OFFSET(PO!N$12,ROW(C217)-ROW(C$12),0)=0,"",OFFSET(PO!N$12,ROW(C217)-ROW(C$12),0))</f>
        <v>SOLEIRA EM GRANITO, LARGURA 15 CM, ESPESSURA 2,0 CM. AF_09/2020</v>
      </c>
      <c r="D217" s="111" t="str">
        <f ca="1">IF(OFFSET(PO!O$12,ROW(D217)-ROW(D$12),0)=0,"",OFFSET(PO!O$12,ROW(D217)-ROW(D$12),0))</f>
        <v>M</v>
      </c>
      <c r="E217" s="140">
        <f ca="1">IF($A217&lt;&gt;"Serviço",0,ROUND(SUMIF($F$9:$P$9,"&lt;&gt;",$F217:$P217),15-13*PO!$X$3))</f>
        <v>53.45</v>
      </c>
      <c r="F217" s="361">
        <f ca="1">OFFSET(PO!$P$12,ROW($E217)-ROW(F$12),0)</f>
        <v>53.45</v>
      </c>
      <c r="G217" s="361"/>
      <c r="H217" s="361"/>
      <c r="I217" s="361"/>
      <c r="J217" s="361"/>
      <c r="K217" s="361"/>
      <c r="L217" s="361"/>
      <c r="M217" s="361"/>
      <c r="N217" s="361"/>
      <c r="O217" s="361"/>
      <c r="U217" s="182"/>
    </row>
    <row r="218" spans="1:21" s="1" customFormat="1" x14ac:dyDescent="0.25">
      <c r="A218" s="110" t="str">
        <f ca="1">OFFSET(PO!J$12,ROW(A218)-ROW($A$12),0)</f>
        <v>Serviço</v>
      </c>
      <c r="B218" s="112" t="str">
        <f ca="1">IF($A218=0,"",OFFSET(PO!K$12,ROW(B218)-ROW(B$12),0))</f>
        <v>10.1.0.11.</v>
      </c>
      <c r="C218" s="109" t="str">
        <f ca="1">IF(OFFSET(PO!N$12,ROW(C218)-ROW(C$12),0)=0,"",OFFSET(PO!N$12,ROW(C218)-ROW(C$12),0))</f>
        <v>SOLEIRA EM GRANITO, LARGURA 30 CM, ESPESSURA 2,0 CM</v>
      </c>
      <c r="D218" s="111" t="str">
        <f ca="1">IF(OFFSET(PO!O$12,ROW(D218)-ROW(D$12),0)=0,"",OFFSET(PO!O$12,ROW(D218)-ROW(D$12),0))</f>
        <v>M</v>
      </c>
      <c r="E218" s="140">
        <f ca="1">IF($A218&lt;&gt;"Serviço",0,ROUND(SUMIF($F$9:$P$9,"&lt;&gt;",$F218:$P218),15-13*PO!$X$3))</f>
        <v>1.75</v>
      </c>
      <c r="F218" s="361">
        <f ca="1">OFFSET(PO!$P$12,ROW($E218)-ROW(F$12),0)</f>
        <v>1.75</v>
      </c>
      <c r="G218" s="361"/>
      <c r="H218" s="361"/>
      <c r="I218" s="361"/>
      <c r="J218" s="361"/>
      <c r="K218" s="361"/>
      <c r="L218" s="361"/>
      <c r="M218" s="361"/>
      <c r="N218" s="361"/>
      <c r="O218" s="361"/>
      <c r="U218" s="182"/>
    </row>
    <row r="219" spans="1:21" s="1" customFormat="1" ht="26.4" x14ac:dyDescent="0.25">
      <c r="A219" s="110" t="str">
        <f ca="1">OFFSET(PO!J$12,ROW(A219)-ROW($A$12),0)</f>
        <v>Serviço</v>
      </c>
      <c r="B219" s="112" t="str">
        <f ca="1">IF($A219=0,"",OFFSET(PO!K$12,ROW(B219)-ROW(B$12),0))</f>
        <v>10.1.0.12.</v>
      </c>
      <c r="C219" s="109" t="str">
        <f ca="1">IF(OFFSET(PO!N$12,ROW(C219)-ROW(C$12),0)=0,"",OFFSET(PO!N$12,ROW(C219)-ROW(C$12),0))</f>
        <v>PINTURA DE PISO COM TINTA EPÓXI, APLICAÇÃO MANUAL, 2 DEMÃOS, INCLUSO PRIMER EPÓXI. AF_05/2021</v>
      </c>
      <c r="D219" s="111" t="str">
        <f ca="1">IF(OFFSET(PO!O$12,ROW(D219)-ROW(D$12),0)=0,"",OFFSET(PO!O$12,ROW(D219)-ROW(D$12),0))</f>
        <v>M2</v>
      </c>
      <c r="E219" s="140">
        <f ca="1">IF($A219&lt;&gt;"Serviço",0,ROUND(SUMIF($F$9:$P$9,"&lt;&gt;",$F219:$P219),15-13*PO!$X$3))</f>
        <v>37.42</v>
      </c>
      <c r="F219" s="361">
        <f ca="1">OFFSET(PO!$P$12,ROW($E219)-ROW(F$12),0)</f>
        <v>37.42</v>
      </c>
      <c r="G219" s="361"/>
      <c r="H219" s="361"/>
      <c r="I219" s="361"/>
      <c r="J219" s="361"/>
      <c r="K219" s="361"/>
      <c r="L219" s="361"/>
      <c r="M219" s="361"/>
      <c r="N219" s="361"/>
      <c r="O219" s="361"/>
      <c r="U219" s="182"/>
    </row>
    <row r="220" spans="1:21" s="1" customFormat="1" x14ac:dyDescent="0.25">
      <c r="A220" s="110" t="str">
        <f ca="1">OFFSET(PO!J$12,ROW(A220)-ROW($A$12),0)</f>
        <v>Nível 2</v>
      </c>
      <c r="B220" s="112" t="str">
        <f ca="1">IF($A220=0,"",OFFSET(PO!K$12,ROW(B220)-ROW(B$12),0))</f>
        <v>10.2.</v>
      </c>
      <c r="C220" s="109" t="str">
        <f ca="1">IF(OFFSET(PO!N$12,ROW(C220)-ROW(C$12),0)=0,"",OFFSET(PO!N$12,ROW(C220)-ROW(C$12),0))</f>
        <v>PAVIMENTAÇÃO EXTERNA</v>
      </c>
      <c r="D220" s="111" t="str">
        <f ca="1">IF(OFFSET(PO!O$12,ROW(D220)-ROW(D$12),0)=0,"",OFFSET(PO!O$12,ROW(D220)-ROW(D$12),0))</f>
        <v/>
      </c>
      <c r="E220" s="140">
        <f ca="1">IF($A220&lt;&gt;"Serviço",0,ROUND(SUMIF($F$9:$P$9,"&lt;&gt;",$F220:$P220),15-13*PO!$X$3))</f>
        <v>0</v>
      </c>
      <c r="F220" s="361">
        <f ca="1">OFFSET(PO!$P$12,ROW($E220)-ROW(F$12),0)</f>
        <v>0</v>
      </c>
      <c r="G220" s="361"/>
      <c r="H220" s="361"/>
      <c r="I220" s="361"/>
      <c r="J220" s="361"/>
      <c r="K220" s="361"/>
      <c r="L220" s="361"/>
      <c r="M220" s="361"/>
      <c r="N220" s="361"/>
      <c r="O220" s="361"/>
      <c r="U220" s="182"/>
    </row>
    <row r="221" spans="1:21" s="1" customFormat="1" ht="39.6" x14ac:dyDescent="0.25">
      <c r="A221" s="110" t="str">
        <f ca="1">OFFSET(PO!J$12,ROW(A221)-ROW($A$12),0)</f>
        <v>Serviço</v>
      </c>
      <c r="B221" s="112" t="str">
        <f ca="1">IF($A221=0,"",OFFSET(PO!K$12,ROW(B221)-ROW(B$12),0))</f>
        <v>10.2.0.1.</v>
      </c>
      <c r="C221" s="109" t="str">
        <f ca="1">IF(OFFSET(PO!N$12,ROW(C221)-ROW(C$12),0)=0,"",OFFSET(PO!N$12,ROW(C221)-ROW(C$12),0))</f>
        <v>PISO CIMENTADO, TRAÇO 1:3 (CIMENTO E AREIA), ACABAMENTO RÚSTICO, ESPESSURA 3,0 CM, PREPARO MECÂNICO DA ARGAMASSA. AF_09/2020</v>
      </c>
      <c r="D221" s="111" t="str">
        <f ca="1">IF(OFFSET(PO!O$12,ROW(D221)-ROW(D$12),0)=0,"",OFFSET(PO!O$12,ROW(D221)-ROW(D$12),0))</f>
        <v>M2</v>
      </c>
      <c r="E221" s="140">
        <f ca="1">IF($A221&lt;&gt;"Serviço",0,ROUND(SUMIF($F$9:$P$9,"&lt;&gt;",$F221:$P221),15-13*PO!$X$3))</f>
        <v>254.8</v>
      </c>
      <c r="F221" s="361">
        <f ca="1">OFFSET(PO!$P$12,ROW($E221)-ROW(F$12),0)</f>
        <v>254.8</v>
      </c>
      <c r="G221" s="361"/>
      <c r="H221" s="361"/>
      <c r="I221" s="361"/>
      <c r="J221" s="361"/>
      <c r="K221" s="361"/>
      <c r="L221" s="361"/>
      <c r="M221" s="361"/>
      <c r="N221" s="361"/>
      <c r="O221" s="361"/>
      <c r="U221" s="182"/>
    </row>
    <row r="222" spans="1:21" s="1" customFormat="1" ht="39.6" x14ac:dyDescent="0.25">
      <c r="A222" s="110" t="str">
        <f ca="1">OFFSET(PO!J$12,ROW(A222)-ROW($A$12),0)</f>
        <v>Serviço</v>
      </c>
      <c r="B222" s="112" t="str">
        <f ca="1">IF($A222=0,"",OFFSET(PO!K$12,ROW(B222)-ROW(B$12),0))</f>
        <v>10.2.0.2.</v>
      </c>
      <c r="C222" s="109" t="str">
        <f ca="1">IF(OFFSET(PO!N$12,ROW(C222)-ROW(C$12),0)=0,"",OFFSET(PO!N$12,ROW(C222)-ROW(C$12),0))</f>
        <v>EXECUÇÃO DE PASSEIO EM PISO INTERTRAVADO, COM BLOCO RETANGULAR COR NATURAL DE 20 X 10 CM, ESPESSURA 6 CM. AF_10/2022</v>
      </c>
      <c r="D222" s="111" t="str">
        <f ca="1">IF(OFFSET(PO!O$12,ROW(D222)-ROW(D$12),0)=0,"",OFFSET(PO!O$12,ROW(D222)-ROW(D$12),0))</f>
        <v>M2</v>
      </c>
      <c r="E222" s="140">
        <f ca="1">IF($A222&lt;&gt;"Serviço",0,ROUND(SUMIF($F$9:$P$9,"&lt;&gt;",$F222:$P222),15-13*PO!$X$3))</f>
        <v>27.74</v>
      </c>
      <c r="F222" s="361">
        <f ca="1">OFFSET(PO!$P$12,ROW($E222)-ROW(F$12),0)</f>
        <v>27.74</v>
      </c>
      <c r="G222" s="361"/>
      <c r="H222" s="361"/>
      <c r="I222" s="361"/>
      <c r="J222" s="361"/>
      <c r="K222" s="361"/>
      <c r="L222" s="361"/>
      <c r="M222" s="361"/>
      <c r="N222" s="361"/>
      <c r="O222" s="361"/>
      <c r="U222" s="182"/>
    </row>
    <row r="223" spans="1:21" s="1" customFormat="1" ht="26.4" x14ac:dyDescent="0.25">
      <c r="A223" s="110" t="str">
        <f ca="1">OFFSET(PO!J$12,ROW(A223)-ROW($A$12),0)</f>
        <v>Serviço</v>
      </c>
      <c r="B223" s="112" t="str">
        <f ca="1">IF($A223=0,"",OFFSET(PO!K$12,ROW(B223)-ROW(B$12),0))</f>
        <v>10.2.0.3.</v>
      </c>
      <c r="C223" s="109" t="str">
        <f ca="1">IF(OFFSET(PO!N$12,ROW(C223)-ROW(C$12),0)=0,"",OFFSET(PO!N$12,ROW(C223)-ROW(C$12),0))</f>
        <v>PISO PODOTÁTIL DE ALERTA, COR VERMELHA, DE CONCRETO, ASSENTADO SOBRE ARGAMASSA</v>
      </c>
      <c r="D223" s="111" t="str">
        <f ca="1">IF(OFFSET(PO!O$12,ROW(D223)-ROW(D$12),0)=0,"",OFFSET(PO!O$12,ROW(D223)-ROW(D$12),0))</f>
        <v>M2</v>
      </c>
      <c r="E223" s="140">
        <f ca="1">IF($A223&lt;&gt;"Serviço",0,ROUND(SUMIF($F$9:$P$9,"&lt;&gt;",$F223:$P223),15-13*PO!$X$3))</f>
        <v>4.88</v>
      </c>
      <c r="F223" s="361">
        <f ca="1">OFFSET(PO!$P$12,ROW($E223)-ROW(F$12),0)</f>
        <v>4.88</v>
      </c>
      <c r="G223" s="361"/>
      <c r="H223" s="361"/>
      <c r="I223" s="361"/>
      <c r="J223" s="361"/>
      <c r="K223" s="361"/>
      <c r="L223" s="361"/>
      <c r="M223" s="361"/>
      <c r="N223" s="361"/>
      <c r="O223" s="361"/>
      <c r="U223" s="182"/>
    </row>
    <row r="224" spans="1:21" s="1" customFormat="1" ht="26.4" x14ac:dyDescent="0.25">
      <c r="A224" s="110" t="str">
        <f ca="1">OFFSET(PO!J$12,ROW(A224)-ROW($A$12),0)</f>
        <v>Serviço</v>
      </c>
      <c r="B224" s="112" t="str">
        <f ca="1">IF($A224=0,"",OFFSET(PO!K$12,ROW(B224)-ROW(B$12),0))</f>
        <v>10.2.0.4.</v>
      </c>
      <c r="C224" s="109" t="str">
        <f ca="1">IF(OFFSET(PO!N$12,ROW(C224)-ROW(C$12),0)=0,"",OFFSET(PO!N$12,ROW(C224)-ROW(C$12),0))</f>
        <v>PISO PODOTÁTIL DIRECIONAL, , COR VERMELHA, DE CONCRETO, ASSENTADO SOBRE ARGAMASSA</v>
      </c>
      <c r="D224" s="111" t="str">
        <f ca="1">IF(OFFSET(PO!O$12,ROW(D224)-ROW(D$12),0)=0,"",OFFSET(PO!O$12,ROW(D224)-ROW(D$12),0))</f>
        <v>M2</v>
      </c>
      <c r="E224" s="140">
        <f ca="1">IF($A224&lt;&gt;"Serviço",0,ROUND(SUMIF($F$9:$P$9,"&lt;&gt;",$F224:$P224),15-13*PO!$X$3))</f>
        <v>7.5</v>
      </c>
      <c r="F224" s="361">
        <f ca="1">OFFSET(PO!$P$12,ROW($E224)-ROW(F$12),0)</f>
        <v>7.5</v>
      </c>
      <c r="G224" s="361"/>
      <c r="H224" s="361"/>
      <c r="I224" s="361"/>
      <c r="J224" s="361"/>
      <c r="K224" s="361"/>
      <c r="L224" s="361"/>
      <c r="M224" s="361"/>
      <c r="N224" s="361"/>
      <c r="O224" s="361"/>
      <c r="U224" s="182"/>
    </row>
    <row r="225" spans="1:21" s="1" customFormat="1" x14ac:dyDescent="0.25">
      <c r="A225" s="110" t="str">
        <f ca="1">OFFSET(PO!J$12,ROW(A225)-ROW($A$12),0)</f>
        <v>Serviço</v>
      </c>
      <c r="B225" s="112" t="str">
        <f ca="1">IF($A225=0,"",OFFSET(PO!K$12,ROW(B225)-ROW(B$12),0))</f>
        <v>10.2.0.5.</v>
      </c>
      <c r="C225" s="109" t="str">
        <f ca="1">IF(OFFSET(PO!N$12,ROW(C225)-ROW(C$12),0)=0,"",OFFSET(PO!N$12,ROW(C225)-ROW(C$12),0))</f>
        <v>COLCHÃO DRENANTE DE AREIA H= 30 CM</v>
      </c>
      <c r="D225" s="111" t="str">
        <f ca="1">IF(OFFSET(PO!O$12,ROW(D225)-ROW(D$12),0)=0,"",OFFSET(PO!O$12,ROW(D225)-ROW(D$12),0))</f>
        <v>M3</v>
      </c>
      <c r="E225" s="140">
        <f ca="1">IF($A225&lt;&gt;"Serviço",0,ROUND(SUMIF($F$9:$P$9,"&lt;&gt;",$F225:$P225),15-13*PO!$X$3))</f>
        <v>21.96</v>
      </c>
      <c r="F225" s="361">
        <f ca="1">OFFSET(PO!$P$12,ROW($E225)-ROW(F$12),0)</f>
        <v>21.96</v>
      </c>
      <c r="G225" s="361"/>
      <c r="H225" s="361"/>
      <c r="I225" s="361"/>
      <c r="J225" s="361"/>
      <c r="K225" s="361"/>
      <c r="L225" s="361"/>
      <c r="M225" s="361"/>
      <c r="N225" s="361"/>
      <c r="O225" s="361"/>
      <c r="U225" s="182"/>
    </row>
    <row r="226" spans="1:21" s="1" customFormat="1" x14ac:dyDescent="0.25">
      <c r="A226" s="110" t="str">
        <f ca="1">OFFSET(PO!J$12,ROW(A226)-ROW($A$12),0)</f>
        <v>Serviço</v>
      </c>
      <c r="B226" s="112" t="str">
        <f ca="1">IF($A226=0,"",OFFSET(PO!K$12,ROW(B226)-ROW(B$12),0))</f>
        <v>10.2.0.6.</v>
      </c>
      <c r="C226" s="109" t="str">
        <f ca="1">IF(OFFSET(PO!N$12,ROW(C226)-ROW(C$12),0)=0,"",OFFSET(PO!N$12,ROW(C226)-ROW(C$12),0))</f>
        <v>PLANTIO DE GRAMA BATATAIS EM PLACAS. AF_07/2024</v>
      </c>
      <c r="D226" s="111" t="str">
        <f ca="1">IF(OFFSET(PO!O$12,ROW(D226)-ROW(D$12),0)=0,"",OFFSET(PO!O$12,ROW(D226)-ROW(D$12),0))</f>
        <v>M2</v>
      </c>
      <c r="E226" s="140">
        <f ca="1">IF($A226&lt;&gt;"Serviço",0,ROUND(SUMIF($F$9:$P$9,"&lt;&gt;",$F226:$P226),15-13*PO!$X$3))</f>
        <v>344.81</v>
      </c>
      <c r="F226" s="361">
        <f ca="1">OFFSET(PO!$P$12,ROW($E226)-ROW(F$12),0)</f>
        <v>344.81</v>
      </c>
      <c r="G226" s="361"/>
      <c r="H226" s="361"/>
      <c r="I226" s="361"/>
      <c r="J226" s="361"/>
      <c r="K226" s="361"/>
      <c r="L226" s="361"/>
      <c r="M226" s="361"/>
      <c r="N226" s="361"/>
      <c r="O226" s="361"/>
      <c r="U226" s="182"/>
    </row>
    <row r="227" spans="1:21" s="1" customFormat="1" ht="39.6" x14ac:dyDescent="0.25">
      <c r="A227" s="110" t="str">
        <f ca="1">OFFSET(PO!J$12,ROW(A227)-ROW($A$12),0)</f>
        <v>Serviço</v>
      </c>
      <c r="B227" s="112" t="str">
        <f ca="1">IF($A227=0,"",OFFSET(PO!K$12,ROW(B227)-ROW(B$12),0))</f>
        <v>10.2.0.7.</v>
      </c>
      <c r="C227" s="109" t="str">
        <f ca="1">IF(OFFSET(PO!N$12,ROW(C227)-ROW(C$12),0)=0,"",OFFSET(PO!N$12,ROW(C227)-ROW(C$12),0))</f>
        <v>GUIA (MEIO-FIO) CONCRETO, MOLDADA  IN LOCO  EM TRECHO RETO COM EXTRUSORA, 13 CM BASE X 22 CM ALTURA. AF_01/2024</v>
      </c>
      <c r="D227" s="111" t="str">
        <f ca="1">IF(OFFSET(PO!O$12,ROW(D227)-ROW(D$12),0)=0,"",OFFSET(PO!O$12,ROW(D227)-ROW(D$12),0))</f>
        <v>M</v>
      </c>
      <c r="E227" s="140">
        <f ca="1">IF($A227&lt;&gt;"Serviço",0,ROUND(SUMIF($F$9:$P$9,"&lt;&gt;",$F227:$P227),15-13*PO!$X$3))</f>
        <v>8.06</v>
      </c>
      <c r="F227" s="361">
        <f ca="1">OFFSET(PO!$P$12,ROW($E227)-ROW(F$12),0)</f>
        <v>8.06</v>
      </c>
      <c r="G227" s="361"/>
      <c r="H227" s="361"/>
      <c r="I227" s="361"/>
      <c r="J227" s="361"/>
      <c r="K227" s="361"/>
      <c r="L227" s="361"/>
      <c r="M227" s="361"/>
      <c r="N227" s="361"/>
      <c r="O227" s="361"/>
      <c r="U227" s="182"/>
    </row>
    <row r="228" spans="1:21" s="1" customFormat="1" x14ac:dyDescent="0.25">
      <c r="A228" s="110" t="str">
        <f ca="1">OFFSET(PO!J$12,ROW(A228)-ROW($A$12),0)</f>
        <v>Meta</v>
      </c>
      <c r="B228" s="112" t="str">
        <f ca="1">IF($A228=0,"",OFFSET(PO!K$12,ROW(B228)-ROW(B$12),0))</f>
        <v>11.</v>
      </c>
      <c r="C228" s="109" t="str">
        <f ca="1">IF(OFFSET(PO!N$12,ROW(C228)-ROW(C$12),0)=0,"",OFFSET(PO!N$12,ROW(C228)-ROW(C$12),0))</f>
        <v>PINTURAS E ACABAMENTOS</v>
      </c>
      <c r="D228" s="111" t="str">
        <f ca="1">IF(OFFSET(PO!O$12,ROW(D228)-ROW(D$12),0)=0,"",OFFSET(PO!O$12,ROW(D228)-ROW(D$12),0))</f>
        <v/>
      </c>
      <c r="E228" s="140">
        <f ca="1">IF($A228&lt;&gt;"Serviço",0,ROUND(SUMIF($F$9:$P$9,"&lt;&gt;",$F228:$P228),15-13*PO!$X$3))</f>
        <v>0</v>
      </c>
      <c r="F228" s="361">
        <f ca="1">OFFSET(PO!$P$12,ROW($E228)-ROW(F$12),0)</f>
        <v>0</v>
      </c>
      <c r="G228" s="361"/>
      <c r="H228" s="361"/>
      <c r="I228" s="361"/>
      <c r="J228" s="361"/>
      <c r="K228" s="361"/>
      <c r="L228" s="361"/>
      <c r="M228" s="361"/>
      <c r="N228" s="361"/>
      <c r="O228" s="361"/>
      <c r="U228" s="182"/>
    </row>
    <row r="229" spans="1:21" s="1" customFormat="1" x14ac:dyDescent="0.25">
      <c r="A229" s="110" t="str">
        <f ca="1">OFFSET(PO!J$12,ROW(A229)-ROW($A$12),0)</f>
        <v>Nível 2</v>
      </c>
      <c r="B229" s="112" t="str">
        <f ca="1">IF($A229=0,"",OFFSET(PO!K$12,ROW(B229)-ROW(B$12),0))</f>
        <v>11.1.</v>
      </c>
      <c r="C229" s="109" t="str">
        <f ca="1">IF(OFFSET(PO!N$12,ROW(C229)-ROW(C$12),0)=0,"",OFFSET(PO!N$12,ROW(C229)-ROW(C$12),0))</f>
        <v>PINTURA DA EDIFICAÇÃO</v>
      </c>
      <c r="D229" s="111" t="str">
        <f ca="1">IF(OFFSET(PO!O$12,ROW(D229)-ROW(D$12),0)=0,"",OFFSET(PO!O$12,ROW(D229)-ROW(D$12),0))</f>
        <v/>
      </c>
      <c r="E229" s="140">
        <f ca="1">IF($A229&lt;&gt;"Serviço",0,ROUND(SUMIF($F$9:$P$9,"&lt;&gt;",$F229:$P229),15-13*PO!$X$3))</f>
        <v>0</v>
      </c>
      <c r="F229" s="361">
        <f ca="1">OFFSET(PO!$P$12,ROW($E229)-ROW(F$12),0)</f>
        <v>0</v>
      </c>
      <c r="G229" s="361"/>
      <c r="H229" s="361"/>
      <c r="I229" s="361"/>
      <c r="J229" s="361"/>
      <c r="K229" s="361"/>
      <c r="L229" s="361"/>
      <c r="M229" s="361"/>
      <c r="N229" s="361"/>
      <c r="O229" s="361"/>
      <c r="U229" s="182"/>
    </row>
    <row r="230" spans="1:21" s="1" customFormat="1" ht="26.4" x14ac:dyDescent="0.25">
      <c r="A230" s="110" t="str">
        <f ca="1">OFFSET(PO!J$12,ROW(A230)-ROW($A$12),0)</f>
        <v>Serviço</v>
      </c>
      <c r="B230" s="112" t="str">
        <f ca="1">IF($A230=0,"",OFFSET(PO!K$12,ROW(B230)-ROW(B$12),0))</f>
        <v>11.1.0.1.</v>
      </c>
      <c r="C230" s="109" t="str">
        <f ca="1">IF(OFFSET(PO!N$12,ROW(C230)-ROW(C$12),0)=0,"",OFFSET(PO!N$12,ROW(C230)-ROW(C$12),0))</f>
        <v>EMASSAMENTO COM MASSA LÁTEX, APLICAÇÃO EM PAREDE, DUAS DEMÃOS, LIXAMENTO MANUAL. AF_04/2023</v>
      </c>
      <c r="D230" s="111" t="str">
        <f ca="1">IF(OFFSET(PO!O$12,ROW(D230)-ROW(D$12),0)=0,"",OFFSET(PO!O$12,ROW(D230)-ROW(D$12),0))</f>
        <v>M2</v>
      </c>
      <c r="E230" s="140">
        <f ca="1">IF($A230&lt;&gt;"Serviço",0,ROUND(SUMIF($F$9:$P$9,"&lt;&gt;",$F230:$P230),15-13*PO!$X$3))</f>
        <v>2004.59</v>
      </c>
      <c r="F230" s="361">
        <f ca="1">OFFSET(PO!$P$12,ROW($E230)-ROW(F$12),0)</f>
        <v>2004.59</v>
      </c>
      <c r="G230" s="361"/>
      <c r="H230" s="361"/>
      <c r="I230" s="361"/>
      <c r="J230" s="361"/>
      <c r="K230" s="361"/>
      <c r="L230" s="361"/>
      <c r="M230" s="361"/>
      <c r="N230" s="361"/>
      <c r="O230" s="361"/>
      <c r="U230" s="182"/>
    </row>
    <row r="231" spans="1:21" s="1" customFormat="1" ht="26.4" x14ac:dyDescent="0.25">
      <c r="A231" s="110" t="str">
        <f ca="1">OFFSET(PO!J$12,ROW(A231)-ROW($A$12),0)</f>
        <v>Serviço</v>
      </c>
      <c r="B231" s="112" t="str">
        <f ca="1">IF($A231=0,"",OFFSET(PO!K$12,ROW(B231)-ROW(B$12),0))</f>
        <v>11.1.0.2.</v>
      </c>
      <c r="C231" s="109" t="str">
        <f ca="1">IF(OFFSET(PO!N$12,ROW(C231)-ROW(C$12),0)=0,"",OFFSET(PO!N$12,ROW(C231)-ROW(C$12),0))</f>
        <v>PINTURA LÁTEX ACRÍLICA, COR BRANCO GELO, APLICAÇÃO MANUAL EM PAREDES, DUAS DEMÃOS (M2)</v>
      </c>
      <c r="D231" s="111" t="str">
        <f ca="1">IF(OFFSET(PO!O$12,ROW(D231)-ROW(D$12),0)=0,"",OFFSET(PO!O$12,ROW(D231)-ROW(D$12),0))</f>
        <v>M2</v>
      </c>
      <c r="E231" s="140">
        <f ca="1">IF($A231&lt;&gt;"Serviço",0,ROUND(SUMIF($F$9:$P$9,"&lt;&gt;",$F231:$P231),15-13*PO!$X$3))</f>
        <v>1902.96</v>
      </c>
      <c r="F231" s="361">
        <f ca="1">OFFSET(PO!$P$12,ROW($E231)-ROW(F$12),0)</f>
        <v>1902.96</v>
      </c>
      <c r="G231" s="361"/>
      <c r="H231" s="361"/>
      <c r="I231" s="361"/>
      <c r="J231" s="361"/>
      <c r="K231" s="361"/>
      <c r="L231" s="361"/>
      <c r="M231" s="361"/>
      <c r="N231" s="361"/>
      <c r="O231" s="361"/>
      <c r="U231" s="182"/>
    </row>
    <row r="232" spans="1:21" s="1" customFormat="1" ht="26.4" x14ac:dyDescent="0.25">
      <c r="A232" s="110" t="str">
        <f ca="1">OFFSET(PO!J$12,ROW(A232)-ROW($A$12),0)</f>
        <v>Serviço</v>
      </c>
      <c r="B232" s="112" t="str">
        <f ca="1">IF($A232=0,"",OFFSET(PO!K$12,ROW(B232)-ROW(B$12),0))</f>
        <v>11.1.0.3.</v>
      </c>
      <c r="C232" s="109" t="str">
        <f ca="1">IF(OFFSET(PO!N$12,ROW(C232)-ROW(C$12),0)=0,"",OFFSET(PO!N$12,ROW(C232)-ROW(C$12),0))</f>
        <v>PINTURA TINTA DE ACABAMENTO (PIGMENTADA) ESMALTE SINTÉTICO ACETINADO EM MADEIRA, 2 DEMÃOS. AF_01/2021</v>
      </c>
      <c r="D232" s="111" t="str">
        <f ca="1">IF(OFFSET(PO!O$12,ROW(D232)-ROW(D$12),0)=0,"",OFFSET(PO!O$12,ROW(D232)-ROW(D$12),0))</f>
        <v>M2</v>
      </c>
      <c r="E232" s="140">
        <f ca="1">IF($A232&lt;&gt;"Serviço",0,ROUND(SUMIF($F$9:$P$9,"&lt;&gt;",$F232:$P232),15-13*PO!$X$3))</f>
        <v>126.01</v>
      </c>
      <c r="F232" s="361">
        <f ca="1">OFFSET(PO!$P$12,ROW($E232)-ROW(F$12),0)</f>
        <v>126.01</v>
      </c>
      <c r="G232" s="361"/>
      <c r="H232" s="361"/>
      <c r="I232" s="361"/>
      <c r="J232" s="361"/>
      <c r="K232" s="361"/>
      <c r="L232" s="361"/>
      <c r="M232" s="361"/>
      <c r="N232" s="361"/>
      <c r="O232" s="361"/>
      <c r="U232" s="182"/>
    </row>
    <row r="233" spans="1:21" s="1" customFormat="1" ht="26.4" x14ac:dyDescent="0.25">
      <c r="A233" s="110" t="str">
        <f ca="1">OFFSET(PO!J$12,ROW(A233)-ROW($A$12),0)</f>
        <v>Serviço</v>
      </c>
      <c r="B233" s="112" t="str">
        <f ca="1">IF($A233=0,"",OFFSET(PO!K$12,ROW(B233)-ROW(B$12),0))</f>
        <v>11.1.0.4.</v>
      </c>
      <c r="C233" s="109" t="str">
        <f ca="1">IF(OFFSET(PO!N$12,ROW(C233)-ROW(C$12),0)=0,"",OFFSET(PO!N$12,ROW(C233)-ROW(C$12),0))</f>
        <v>PINTURA EM ESMALTE SINTÉTICO EM RODAMEIO DE MADEIRA, 2 DEMÃOS - COR BRANCO (M2)</v>
      </c>
      <c r="D233" s="111" t="str">
        <f ca="1">IF(OFFSET(PO!O$12,ROW(D233)-ROW(D$12),0)=0,"",OFFSET(PO!O$12,ROW(D233)-ROW(D$12),0))</f>
        <v>M2</v>
      </c>
      <c r="E233" s="140">
        <f ca="1">IF($A233&lt;&gt;"Serviço",0,ROUND(SUMIF($F$9:$P$9,"&lt;&gt;",$F233:$P233),15-13*PO!$X$3))</f>
        <v>12.72</v>
      </c>
      <c r="F233" s="361">
        <f ca="1">OFFSET(PO!$P$12,ROW($E233)-ROW(F$12),0)</f>
        <v>12.72</v>
      </c>
      <c r="G233" s="361"/>
      <c r="H233" s="361"/>
      <c r="I233" s="361"/>
      <c r="J233" s="361"/>
      <c r="K233" s="361"/>
      <c r="L233" s="361"/>
      <c r="M233" s="361"/>
      <c r="N233" s="361"/>
      <c r="O233" s="361"/>
      <c r="U233" s="182"/>
    </row>
    <row r="234" spans="1:21" s="1" customFormat="1" ht="26.4" x14ac:dyDescent="0.25">
      <c r="A234" s="110" t="str">
        <f ca="1">OFFSET(PO!J$12,ROW(A234)-ROW($A$12),0)</f>
        <v>Serviço</v>
      </c>
      <c r="B234" s="112" t="str">
        <f ca="1">IF($A234=0,"",OFFSET(PO!K$12,ROW(B234)-ROW(B$12),0))</f>
        <v>11.1.0.5.</v>
      </c>
      <c r="C234" s="109" t="str">
        <f ca="1">IF(OFFSET(PO!N$12,ROW(C234)-ROW(C$12),0)=0,"",OFFSET(PO!N$12,ROW(C234)-ROW(C$12),0))</f>
        <v>PINTURA COM TINTA EPÓXI EM PAREDES,ÁREAS MOLHADAS,  APLICAÇÃO MANUAL, 2 DEMÃOS, INCLUSO PRIMER EPÓXI (M2)</v>
      </c>
      <c r="D234" s="111" t="str">
        <f ca="1">IF(OFFSET(PO!O$12,ROW(D234)-ROW(D$12),0)=0,"",OFFSET(PO!O$12,ROW(D234)-ROW(D$12),0))</f>
        <v>M2</v>
      </c>
      <c r="E234" s="140">
        <f ca="1">IF($A234&lt;&gt;"Serviço",0,ROUND(SUMIF($F$9:$P$9,"&lt;&gt;",$F234:$P234),15-13*PO!$X$3))</f>
        <v>101.63</v>
      </c>
      <c r="F234" s="361">
        <f ca="1">OFFSET(PO!$P$12,ROW($E234)-ROW(F$12),0)</f>
        <v>101.63</v>
      </c>
      <c r="G234" s="361"/>
      <c r="H234" s="361"/>
      <c r="I234" s="361"/>
      <c r="J234" s="361"/>
      <c r="K234" s="361"/>
      <c r="L234" s="361"/>
      <c r="M234" s="361"/>
      <c r="N234" s="361"/>
      <c r="O234" s="361"/>
      <c r="U234" s="182"/>
    </row>
    <row r="235" spans="1:21" s="1" customFormat="1" ht="52.8" x14ac:dyDescent="0.25">
      <c r="A235" s="110" t="str">
        <f ca="1">OFFSET(PO!J$12,ROW(A235)-ROW($A$12),0)</f>
        <v>Serviço</v>
      </c>
      <c r="B235" s="112" t="str">
        <f ca="1">IF($A235=0,"",OFFSET(PO!K$12,ROW(B235)-ROW(B$12),0))</f>
        <v>11.1.0.6.</v>
      </c>
      <c r="C235" s="109" t="str">
        <f ca="1">IF(OFFSET(PO!N$12,ROW(C235)-ROW(C$12),0)=0,"",OFFSET(PO!N$12,ROW(C235)-ROW(C$12),0))</f>
        <v>PINTURA COM TINTA ALQUÍDICA DE ACABAMENTO (ESMALTE SINTÉTICO ACETINADO) APLICADA A ROLO OU PINCEL SOBRE SUPERFÍCIES METÁLICAS (EXCETO PERFIL) EXECUTADO EM OBRA (POR DEMÃO). AF_01/2020</v>
      </c>
      <c r="D235" s="111" t="str">
        <f ca="1">IF(OFFSET(PO!O$12,ROW(D235)-ROW(D$12),0)=0,"",OFFSET(PO!O$12,ROW(D235)-ROW(D$12),0))</f>
        <v>M2</v>
      </c>
      <c r="E235" s="140">
        <f ca="1">IF($A235&lt;&gt;"Serviço",0,ROUND(SUMIF($F$9:$P$9,"&lt;&gt;",$F235:$P235),15-13*PO!$X$3))</f>
        <v>593.16</v>
      </c>
      <c r="F235" s="361">
        <f ca="1">OFFSET(PO!$P$12,ROW($E235)-ROW(F$12),0)</f>
        <v>593.16</v>
      </c>
      <c r="G235" s="361"/>
      <c r="H235" s="361"/>
      <c r="I235" s="361"/>
      <c r="J235" s="361"/>
      <c r="K235" s="361"/>
      <c r="L235" s="361"/>
      <c r="M235" s="361"/>
      <c r="N235" s="361"/>
      <c r="O235" s="361"/>
      <c r="U235" s="182"/>
    </row>
    <row r="236" spans="1:21" s="1" customFormat="1" x14ac:dyDescent="0.25">
      <c r="A236" s="110" t="str">
        <f ca="1">OFFSET(PO!J$12,ROW(A236)-ROW($A$12),0)</f>
        <v>Nível 2</v>
      </c>
      <c r="B236" s="112" t="str">
        <f ca="1">IF($A236=0,"",OFFSET(PO!K$12,ROW(B236)-ROW(B$12),0))</f>
        <v>11.2.</v>
      </c>
      <c r="C236" s="109" t="str">
        <f ca="1">IF(OFFSET(PO!N$12,ROW(C236)-ROW(C$12),0)=0,"",OFFSET(PO!N$12,ROW(C236)-ROW(C$12),0))</f>
        <v>PINTURA DE FORRO</v>
      </c>
      <c r="D236" s="111" t="str">
        <f ca="1">IF(OFFSET(PO!O$12,ROW(D236)-ROW(D$12),0)=0,"",OFFSET(PO!O$12,ROW(D236)-ROW(D$12),0))</f>
        <v/>
      </c>
      <c r="E236" s="140">
        <f ca="1">IF($A236&lt;&gt;"Serviço",0,ROUND(SUMIF($F$9:$P$9,"&lt;&gt;",$F236:$P236),15-13*PO!$X$3))</f>
        <v>0</v>
      </c>
      <c r="F236" s="361">
        <f ca="1">OFFSET(PO!$P$12,ROW($E236)-ROW(F$12),0)</f>
        <v>0</v>
      </c>
      <c r="G236" s="361"/>
      <c r="H236" s="361"/>
      <c r="I236" s="361"/>
      <c r="J236" s="361"/>
      <c r="K236" s="361"/>
      <c r="L236" s="361"/>
      <c r="M236" s="361"/>
      <c r="N236" s="361"/>
      <c r="O236" s="361"/>
      <c r="U236" s="182"/>
    </row>
    <row r="237" spans="1:21" s="1" customFormat="1" ht="26.4" x14ac:dyDescent="0.25">
      <c r="A237" s="110" t="str">
        <f ca="1">OFFSET(PO!J$12,ROW(A237)-ROW($A$12),0)</f>
        <v>Serviço</v>
      </c>
      <c r="B237" s="112" t="str">
        <f ca="1">IF($A237=0,"",OFFSET(PO!K$12,ROW(B237)-ROW(B$12),0))</f>
        <v>11.2.0.1.</v>
      </c>
      <c r="C237" s="109" t="str">
        <f ca="1">IF(OFFSET(PO!N$12,ROW(C237)-ROW(C$12),0)=0,"",OFFSET(PO!N$12,ROW(C237)-ROW(C$12),0))</f>
        <v>EMASSAMENTO COM MASSA LÁTEX, APLICAÇÃO EM TETO, UMA DEMÃO, LIXAMENTO MANUAL. AF_04/2023</v>
      </c>
      <c r="D237" s="111" t="str">
        <f ca="1">IF(OFFSET(PO!O$12,ROW(D237)-ROW(D$12),0)=0,"",OFFSET(PO!O$12,ROW(D237)-ROW(D$12),0))</f>
        <v>M2</v>
      </c>
      <c r="E237" s="140">
        <f ca="1">IF($A237&lt;&gt;"Serviço",0,ROUND(SUMIF($F$9:$P$9,"&lt;&gt;",$F237:$P237),15-13*PO!$X$3))</f>
        <v>442.55</v>
      </c>
      <c r="F237" s="361">
        <f ca="1">OFFSET(PO!$P$12,ROW($E237)-ROW(F$12),0)</f>
        <v>442.55</v>
      </c>
      <c r="G237" s="361"/>
      <c r="H237" s="361"/>
      <c r="I237" s="361"/>
      <c r="J237" s="361"/>
      <c r="K237" s="361"/>
      <c r="L237" s="361"/>
      <c r="M237" s="361"/>
      <c r="N237" s="361"/>
      <c r="O237" s="361"/>
      <c r="U237" s="182"/>
    </row>
    <row r="238" spans="1:21" s="1" customFormat="1" ht="26.4" x14ac:dyDescent="0.25">
      <c r="A238" s="110" t="str">
        <f ca="1">OFFSET(PO!J$12,ROW(A238)-ROW($A$12),0)</f>
        <v>Serviço</v>
      </c>
      <c r="B238" s="112" t="str">
        <f ca="1">IF($A238=0,"",OFFSET(PO!K$12,ROW(B238)-ROW(B$12),0))</f>
        <v>11.2.0.2.</v>
      </c>
      <c r="C238" s="109" t="str">
        <f ca="1">IF(OFFSET(PO!N$12,ROW(C238)-ROW(C$12),0)=0,"",OFFSET(PO!N$12,ROW(C238)-ROW(C$12),0))</f>
        <v>PINTURA LÁTEX ACRÍLICA PREMIUM, APLICAÇÃO MANUAL EM TETO, DUAS DEMÃOS. AF_04/2023</v>
      </c>
      <c r="D238" s="111" t="str">
        <f ca="1">IF(OFFSET(PO!O$12,ROW(D238)-ROW(D$12),0)=0,"",OFFSET(PO!O$12,ROW(D238)-ROW(D$12),0))</f>
        <v>M2</v>
      </c>
      <c r="E238" s="140">
        <f ca="1">IF($A238&lt;&gt;"Serviço",0,ROUND(SUMIF($F$9:$P$9,"&lt;&gt;",$F238:$P238),15-13*PO!$X$3))</f>
        <v>442.55</v>
      </c>
      <c r="F238" s="361">
        <f ca="1">OFFSET(PO!$P$12,ROW($E238)-ROW(F$12),0)</f>
        <v>442.55</v>
      </c>
      <c r="G238" s="361"/>
      <c r="H238" s="361"/>
      <c r="I238" s="361"/>
      <c r="J238" s="361"/>
      <c r="K238" s="361"/>
      <c r="L238" s="361"/>
      <c r="M238" s="361"/>
      <c r="N238" s="361"/>
      <c r="O238" s="361"/>
      <c r="U238" s="182"/>
    </row>
    <row r="239" spans="1:21" s="1" customFormat="1" x14ac:dyDescent="0.25">
      <c r="A239" s="110" t="str">
        <f ca="1">OFFSET(PO!J$12,ROW(A239)-ROW($A$12),0)</f>
        <v>Nível 2</v>
      </c>
      <c r="B239" s="112" t="str">
        <f ca="1">IF($A239=0,"",OFFSET(PO!K$12,ROW(B239)-ROW(B$12),0))</f>
        <v>11.3.</v>
      </c>
      <c r="C239" s="109" t="str">
        <f ca="1">IF(OFFSET(PO!N$12,ROW(C239)-ROW(C$12),0)=0,"",OFFSET(PO!N$12,ROW(C239)-ROW(C$12),0))</f>
        <v>PINTURA DIVERSOS</v>
      </c>
      <c r="D239" s="111" t="str">
        <f ca="1">IF(OFFSET(PO!O$12,ROW(D239)-ROW(D$12),0)=0,"",OFFSET(PO!O$12,ROW(D239)-ROW(D$12),0))</f>
        <v/>
      </c>
      <c r="E239" s="140">
        <f ca="1">IF($A239&lt;&gt;"Serviço",0,ROUND(SUMIF($F$9:$P$9,"&lt;&gt;",$F239:$P239),15-13*PO!$X$3))</f>
        <v>0</v>
      </c>
      <c r="F239" s="361" t="str">
        <f ca="1">OFFSET(PO!$P$12,ROW($E239)-ROW(F$12),0)</f>
        <v>.</v>
      </c>
      <c r="G239" s="361"/>
      <c r="H239" s="361"/>
      <c r="I239" s="361"/>
      <c r="J239" s="361"/>
      <c r="K239" s="361"/>
      <c r="L239" s="361"/>
      <c r="M239" s="361"/>
      <c r="N239" s="361"/>
      <c r="O239" s="361"/>
      <c r="U239" s="182"/>
    </row>
    <row r="240" spans="1:21" s="1" customFormat="1" x14ac:dyDescent="0.25">
      <c r="A240" s="110" t="str">
        <f ca="1">OFFSET(PO!J$12,ROW(A240)-ROW($A$12),0)</f>
        <v>Nível 3</v>
      </c>
      <c r="B240" s="112" t="str">
        <f ca="1">IF($A240=0,"",OFFSET(PO!K$12,ROW(B240)-ROW(B$12),0))</f>
        <v>11.3.1.</v>
      </c>
      <c r="C240" s="109" t="str">
        <f ca="1">IF(OFFSET(PO!N$12,ROW(C240)-ROW(C$12),0)=0,"",OFFSET(PO!N$12,ROW(C240)-ROW(C$12),0))</f>
        <v>ESTRUTURA METÁLICA</v>
      </c>
      <c r="D240" s="111" t="str">
        <f ca="1">IF(OFFSET(PO!O$12,ROW(D240)-ROW(D$12),0)=0,"",OFFSET(PO!O$12,ROW(D240)-ROW(D$12),0))</f>
        <v/>
      </c>
      <c r="E240" s="140">
        <f ca="1">IF($A240&lt;&gt;"Serviço",0,ROUND(SUMIF($F$9:$P$9,"&lt;&gt;",$F240:$P240),15-13*PO!$X$3))</f>
        <v>0</v>
      </c>
      <c r="F240" s="361">
        <f ca="1">OFFSET(PO!$P$12,ROW($E240)-ROW(F$12),0)</f>
        <v>0</v>
      </c>
      <c r="G240" s="361"/>
      <c r="H240" s="361"/>
      <c r="I240" s="361"/>
      <c r="J240" s="361"/>
      <c r="K240" s="361"/>
      <c r="L240" s="361"/>
      <c r="M240" s="361"/>
      <c r="N240" s="361"/>
      <c r="O240" s="361"/>
      <c r="U240" s="182"/>
    </row>
    <row r="241" spans="1:21" s="1" customFormat="1" ht="52.8" x14ac:dyDescent="0.25">
      <c r="A241" s="110" t="str">
        <f ca="1">OFFSET(PO!J$12,ROW(A241)-ROW($A$12),0)</f>
        <v>Serviço</v>
      </c>
      <c r="B241" s="112" t="str">
        <f ca="1">IF($A241=0,"",OFFSET(PO!K$12,ROW(B241)-ROW(B$12),0))</f>
        <v>11.3.1.1.</v>
      </c>
      <c r="C241" s="109" t="str">
        <f ca="1">IF(OFFSET(PO!N$12,ROW(C241)-ROW(C$12),0)=0,"",OFFSET(PO!N$12,ROW(C241)-ROW(C$12),0))</f>
        <v>PINTURA COM TINTA ALQUÍDICA DE FUNDO E ACABAMENTO (ESMALTE SINTÉTICO GRAFITE) APLICADA A ROLO OU PINCEL SOBRE PERFIL METÁLICO EXECUTADO EM FÁBRICA (POR DEMÃO). AF_01/2020</v>
      </c>
      <c r="D241" s="111" t="str">
        <f ca="1">IF(OFFSET(PO!O$12,ROW(D241)-ROW(D$12),0)=0,"",OFFSET(PO!O$12,ROW(D241)-ROW(D$12),0))</f>
        <v>M2</v>
      </c>
      <c r="E241" s="140">
        <f ca="1">IF($A241&lt;&gt;"Serviço",0,ROUND(SUMIF($F$9:$P$9,"&lt;&gt;",$F241:$P241),15-13*PO!$X$3))</f>
        <v>1285.48</v>
      </c>
      <c r="F241" s="361">
        <f ca="1">OFFSET(PO!$P$12,ROW($E241)-ROW(F$12),0)</f>
        <v>1285.48</v>
      </c>
      <c r="G241" s="361"/>
      <c r="H241" s="361"/>
      <c r="I241" s="361"/>
      <c r="J241" s="361"/>
      <c r="K241" s="361"/>
      <c r="L241" s="361"/>
      <c r="M241" s="361"/>
      <c r="N241" s="361"/>
      <c r="O241" s="361"/>
      <c r="U241" s="182"/>
    </row>
    <row r="242" spans="1:21" s="1" customFormat="1" x14ac:dyDescent="0.25">
      <c r="A242" s="110" t="str">
        <f ca="1">OFFSET(PO!J$12,ROW(A242)-ROW($A$12),0)</f>
        <v>Nível 2</v>
      </c>
      <c r="B242" s="112" t="str">
        <f ca="1">IF($A242=0,"",OFFSET(PO!K$12,ROW(B242)-ROW(B$12),0))</f>
        <v>11.4.</v>
      </c>
      <c r="C242" s="109" t="str">
        <f ca="1">IF(OFFSET(PO!N$12,ROW(C242)-ROW(C$12),0)=0,"",OFFSET(PO!N$12,ROW(C242)-ROW(C$12),0))</f>
        <v>MURETA</v>
      </c>
      <c r="D242" s="111" t="str">
        <f ca="1">IF(OFFSET(PO!O$12,ROW(D242)-ROW(D$12),0)=0,"",OFFSET(PO!O$12,ROW(D242)-ROW(D$12),0))</f>
        <v/>
      </c>
      <c r="E242" s="140">
        <f ca="1">IF($A242&lt;&gt;"Serviço",0,ROUND(SUMIF($F$9:$P$9,"&lt;&gt;",$F242:$P242),15-13*PO!$X$3))</f>
        <v>0</v>
      </c>
      <c r="F242" s="361">
        <f ca="1">OFFSET(PO!$P$12,ROW($E242)-ROW(F$12),0)</f>
        <v>0</v>
      </c>
      <c r="G242" s="361"/>
      <c r="H242" s="361"/>
      <c r="I242" s="361"/>
      <c r="J242" s="361"/>
      <c r="K242" s="361"/>
      <c r="L242" s="361"/>
      <c r="M242" s="361"/>
      <c r="N242" s="361"/>
      <c r="O242" s="361"/>
      <c r="U242" s="182"/>
    </row>
    <row r="243" spans="1:21" s="1" customFormat="1" ht="39.6" x14ac:dyDescent="0.25">
      <c r="A243" s="110" t="str">
        <f ca="1">OFFSET(PO!J$12,ROW(A243)-ROW($A$12),0)</f>
        <v>Serviço</v>
      </c>
      <c r="B243" s="112" t="str">
        <f ca="1">IF($A243=0,"",OFFSET(PO!K$12,ROW(B243)-ROW(B$12),0))</f>
        <v>11.4.0.1.</v>
      </c>
      <c r="C243" s="109" t="str">
        <f ca="1">IF(OFFSET(PO!N$12,ROW(C243)-ROW(C$12),0)=0,"",OFFSET(PO!N$12,ROW(C243)-ROW(C$12),0))</f>
        <v>APLICAÇÃO MANUAL DE MASSA ACRÍLICA EM PANOS DE FACHADA SEM PRESENÇA DE VÃOS, DE EDIFÍCIOS DE MÚLTIPLOS PAVIMENTOS, DUAS DEMÃOS. AF_03/2024</v>
      </c>
      <c r="D243" s="111" t="str">
        <f ca="1">IF(OFFSET(PO!O$12,ROW(D243)-ROW(D$12),0)=0,"",OFFSET(PO!O$12,ROW(D243)-ROW(D$12),0))</f>
        <v>M2</v>
      </c>
      <c r="E243" s="140">
        <f ca="1">IF($A243&lt;&gt;"Serviço",0,ROUND(SUMIF($F$9:$P$9,"&lt;&gt;",$F243:$P243),15-13*PO!$X$3))</f>
        <v>221.28</v>
      </c>
      <c r="F243" s="361">
        <f ca="1">OFFSET(PO!$P$12,ROW($E243)-ROW(F$12),0)</f>
        <v>221.28</v>
      </c>
      <c r="G243" s="361"/>
      <c r="H243" s="361"/>
      <c r="I243" s="361"/>
      <c r="J243" s="361"/>
      <c r="K243" s="361"/>
      <c r="L243" s="361"/>
      <c r="M243" s="361"/>
      <c r="N243" s="361"/>
      <c r="O243" s="361"/>
      <c r="U243" s="182"/>
    </row>
    <row r="244" spans="1:21" s="1" customFormat="1" ht="26.4" x14ac:dyDescent="0.25">
      <c r="A244" s="110" t="str">
        <f ca="1">OFFSET(PO!J$12,ROW(A244)-ROW($A$12),0)</f>
        <v>Serviço</v>
      </c>
      <c r="B244" s="112" t="str">
        <f ca="1">IF($A244=0,"",OFFSET(PO!K$12,ROW(B244)-ROW(B$12),0))</f>
        <v>11.4.0.2.</v>
      </c>
      <c r="C244" s="109" t="str">
        <f ca="1">IF(OFFSET(PO!N$12,ROW(C244)-ROW(C$12),0)=0,"",OFFSET(PO!N$12,ROW(C244)-ROW(C$12),0))</f>
        <v>PINTURA LÁTEX ACRÍLICA PREMIUM, APLICAÇÃO MANUAL EM PAREDES, DUAS DEMÃOS. AF_04/2023</v>
      </c>
      <c r="D244" s="111" t="str">
        <f ca="1">IF(OFFSET(PO!O$12,ROW(D244)-ROW(D$12),0)=0,"",OFFSET(PO!O$12,ROW(D244)-ROW(D$12),0))</f>
        <v>M2</v>
      </c>
      <c r="E244" s="140">
        <f ca="1">IF($A244&lt;&gt;"Serviço",0,ROUND(SUMIF($F$9:$P$9,"&lt;&gt;",$F244:$P244),15-13*PO!$X$3))</f>
        <v>221.28</v>
      </c>
      <c r="F244" s="361">
        <f ca="1">OFFSET(PO!$P$12,ROW($E244)-ROW(F$12),0)</f>
        <v>221.28</v>
      </c>
      <c r="G244" s="361"/>
      <c r="H244" s="361"/>
      <c r="I244" s="361"/>
      <c r="J244" s="361"/>
      <c r="K244" s="361"/>
      <c r="L244" s="361"/>
      <c r="M244" s="361"/>
      <c r="N244" s="361"/>
      <c r="O244" s="361"/>
      <c r="U244" s="182"/>
    </row>
    <row r="245" spans="1:21" s="1" customFormat="1" x14ac:dyDescent="0.25">
      <c r="A245" s="110" t="str">
        <f ca="1">OFFSET(PO!J$12,ROW(A245)-ROW($A$12),0)</f>
        <v>Meta</v>
      </c>
      <c r="B245" s="112" t="str">
        <f ca="1">IF($A245=0,"",OFFSET(PO!K$12,ROW(B245)-ROW(B$12),0))</f>
        <v>12.</v>
      </c>
      <c r="C245" s="109" t="str">
        <f ca="1">IF(OFFSET(PO!N$12,ROW(C245)-ROW(C$12),0)=0,"",OFFSET(PO!N$12,ROW(C245)-ROW(C$12),0))</f>
        <v>INSTALAÇÕES HIDRÁULICAS</v>
      </c>
      <c r="D245" s="111" t="str">
        <f ca="1">IF(OFFSET(PO!O$12,ROW(D245)-ROW(D$12),0)=0,"",OFFSET(PO!O$12,ROW(D245)-ROW(D$12),0))</f>
        <v/>
      </c>
      <c r="E245" s="140">
        <f ca="1">IF($A245&lt;&gt;"Serviço",0,ROUND(SUMIF($F$9:$P$9,"&lt;&gt;",$F245:$P245),15-13*PO!$X$3))</f>
        <v>0</v>
      </c>
      <c r="F245" s="361">
        <f ca="1">OFFSET(PO!$P$12,ROW($E245)-ROW(F$12),0)</f>
        <v>0</v>
      </c>
      <c r="G245" s="361"/>
      <c r="H245" s="361"/>
      <c r="I245" s="361"/>
      <c r="J245" s="361"/>
      <c r="K245" s="361"/>
      <c r="L245" s="361"/>
      <c r="M245" s="361"/>
      <c r="N245" s="361"/>
      <c r="O245" s="361"/>
      <c r="U245" s="182"/>
    </row>
    <row r="246" spans="1:21" s="1" customFormat="1" x14ac:dyDescent="0.25">
      <c r="A246" s="110" t="str">
        <f ca="1">OFFSET(PO!J$12,ROW(A246)-ROW($A$12),0)</f>
        <v>Nível 2</v>
      </c>
      <c r="B246" s="112" t="str">
        <f ca="1">IF($A246=0,"",OFFSET(PO!K$12,ROW(B246)-ROW(B$12),0))</f>
        <v>12.1.</v>
      </c>
      <c r="C246" s="109" t="str">
        <f ca="1">IF(OFFSET(PO!N$12,ROW(C246)-ROW(C$12),0)=0,"",OFFSET(PO!N$12,ROW(C246)-ROW(C$12),0))</f>
        <v>TUBULAÇÕES E CONEXÕES PVC</v>
      </c>
      <c r="D246" s="111" t="str">
        <f ca="1">IF(OFFSET(PO!O$12,ROW(D246)-ROW(D$12),0)=0,"",OFFSET(PO!O$12,ROW(D246)-ROW(D$12),0))</f>
        <v/>
      </c>
      <c r="E246" s="140">
        <f ca="1">IF($A246&lt;&gt;"Serviço",0,ROUND(SUMIF($F$9:$P$9,"&lt;&gt;",$F246:$P246),15-13*PO!$X$3))</f>
        <v>0</v>
      </c>
      <c r="F246" s="361">
        <f ca="1">OFFSET(PO!$P$12,ROW($E246)-ROW(F$12),0)</f>
        <v>0</v>
      </c>
      <c r="G246" s="361"/>
      <c r="H246" s="361"/>
      <c r="I246" s="361"/>
      <c r="J246" s="361"/>
      <c r="K246" s="361"/>
      <c r="L246" s="361"/>
      <c r="M246" s="361"/>
      <c r="N246" s="361"/>
      <c r="O246" s="361"/>
      <c r="U246" s="182"/>
    </row>
    <row r="247" spans="1:21" s="1" customFormat="1" ht="39.6" x14ac:dyDescent="0.25">
      <c r="A247" s="110" t="str">
        <f ca="1">OFFSET(PO!J$12,ROW(A247)-ROW($A$12),0)</f>
        <v>Serviço</v>
      </c>
      <c r="B247" s="112" t="str">
        <f ca="1">IF($A247=0,"",OFFSET(PO!K$12,ROW(B247)-ROW(B$12),0))</f>
        <v>12.1.0.1.</v>
      </c>
      <c r="C247" s="109" t="str">
        <f ca="1">IF(OFFSET(PO!N$12,ROW(C247)-ROW(C$12),0)=0,"",OFFSET(PO!N$12,ROW(C247)-ROW(C$12),0))</f>
        <v>TUBO, PVC, SOLDÁVEL, DE 20MM, INSTALADO EM RAMAL DE DISTRIBUIÇÃO DE ÁGUA - FORNECIMENTO E INSTALAÇÃO. AF_06/2022</v>
      </c>
      <c r="D247" s="111" t="str">
        <f ca="1">IF(OFFSET(PO!O$12,ROW(D247)-ROW(D$12),0)=0,"",OFFSET(PO!O$12,ROW(D247)-ROW(D$12),0))</f>
        <v>M</v>
      </c>
      <c r="E247" s="140">
        <f ca="1">IF($A247&lt;&gt;"Serviço",0,ROUND(SUMIF($F$9:$P$9,"&lt;&gt;",$F247:$P247),15-13*PO!$X$3))</f>
        <v>27.6</v>
      </c>
      <c r="F247" s="361">
        <f ca="1">OFFSET(PO!$P$12,ROW($E247)-ROW(F$12),0)</f>
        <v>27.6</v>
      </c>
      <c r="G247" s="361"/>
      <c r="H247" s="361"/>
      <c r="I247" s="361"/>
      <c r="J247" s="361"/>
      <c r="K247" s="361"/>
      <c r="L247" s="361"/>
      <c r="M247" s="361"/>
      <c r="N247" s="361"/>
      <c r="O247" s="361"/>
      <c r="U247" s="182"/>
    </row>
    <row r="248" spans="1:21" s="1" customFormat="1" ht="39.6" x14ac:dyDescent="0.25">
      <c r="A248" s="110" t="str">
        <f ca="1">OFFSET(PO!J$12,ROW(A248)-ROW($A$12),0)</f>
        <v>Serviço</v>
      </c>
      <c r="B248" s="112" t="str">
        <f ca="1">IF($A248=0,"",OFFSET(PO!K$12,ROW(B248)-ROW(B$12),0))</f>
        <v>12.1.0.2.</v>
      </c>
      <c r="C248" s="109" t="str">
        <f ca="1">IF(OFFSET(PO!N$12,ROW(C248)-ROW(C$12),0)=0,"",OFFSET(PO!N$12,ROW(C248)-ROW(C$12),0))</f>
        <v>TUBO, PVC, SOLDÁVEL, DE 25MM, INSTALADO EM RAMAL OU SUB-RAMAL DE ÁGUA - FORNECIMENTO E INSTALAÇÃO. AF_06/2022</v>
      </c>
      <c r="D248" s="111" t="str">
        <f ca="1">IF(OFFSET(PO!O$12,ROW(D248)-ROW(D$12),0)=0,"",OFFSET(PO!O$12,ROW(D248)-ROW(D$12),0))</f>
        <v>M</v>
      </c>
      <c r="E248" s="140">
        <f ca="1">IF($A248&lt;&gt;"Serviço",0,ROUND(SUMIF($F$9:$P$9,"&lt;&gt;",$F248:$P248),15-13*PO!$X$3))</f>
        <v>166.9</v>
      </c>
      <c r="F248" s="361">
        <f ca="1">OFFSET(PO!$P$12,ROW($E248)-ROW(F$12),0)</f>
        <v>166.9</v>
      </c>
      <c r="G248" s="361"/>
      <c r="H248" s="361"/>
      <c r="I248" s="361"/>
      <c r="J248" s="361"/>
      <c r="K248" s="361"/>
      <c r="L248" s="361"/>
      <c r="M248" s="361"/>
      <c r="N248" s="361"/>
      <c r="O248" s="361"/>
      <c r="U248" s="182"/>
    </row>
    <row r="249" spans="1:21" s="1" customFormat="1" ht="39.6" x14ac:dyDescent="0.25">
      <c r="A249" s="110" t="str">
        <f ca="1">OFFSET(PO!J$12,ROW(A249)-ROW($A$12),0)</f>
        <v>Serviço</v>
      </c>
      <c r="B249" s="112" t="str">
        <f ca="1">IF($A249=0,"",OFFSET(PO!K$12,ROW(B249)-ROW(B$12),0))</f>
        <v>12.1.0.3.</v>
      </c>
      <c r="C249" s="109" t="str">
        <f ca="1">IF(OFFSET(PO!N$12,ROW(C249)-ROW(C$12),0)=0,"",OFFSET(PO!N$12,ROW(C249)-ROW(C$12),0))</f>
        <v>TUBO, PVC, SOLDÁVEL, DE 50MM, INSTALADO EM RAMAL DE DISTRIBUIÇÃO DE ÁGUA - FORNECIMENTO E INSTALAÇÃO. AF_06/2022</v>
      </c>
      <c r="D249" s="111" t="str">
        <f ca="1">IF(OFFSET(PO!O$12,ROW(D249)-ROW(D$12),0)=0,"",OFFSET(PO!O$12,ROW(D249)-ROW(D$12),0))</f>
        <v>M</v>
      </c>
      <c r="E249" s="140">
        <f ca="1">IF($A249&lt;&gt;"Serviço",0,ROUND(SUMIF($F$9:$P$9,"&lt;&gt;",$F249:$P249),15-13*PO!$X$3))</f>
        <v>81.05</v>
      </c>
      <c r="F249" s="361">
        <f ca="1">OFFSET(PO!$P$12,ROW($E249)-ROW(F$12),0)</f>
        <v>81.05</v>
      </c>
      <c r="G249" s="361"/>
      <c r="H249" s="361"/>
      <c r="I249" s="361"/>
      <c r="J249" s="361"/>
      <c r="K249" s="361"/>
      <c r="L249" s="361"/>
      <c r="M249" s="361"/>
      <c r="N249" s="361"/>
      <c r="O249" s="361"/>
      <c r="U249" s="182"/>
    </row>
    <row r="250" spans="1:21" s="1" customFormat="1" ht="26.4" x14ac:dyDescent="0.25">
      <c r="A250" s="110" t="str">
        <f ca="1">OFFSET(PO!J$12,ROW(A250)-ROW($A$12),0)</f>
        <v>Serviço</v>
      </c>
      <c r="B250" s="112" t="str">
        <f ca="1">IF($A250=0,"",OFFSET(PO!K$12,ROW(B250)-ROW(B$12),0))</f>
        <v>12.1.0.4.</v>
      </c>
      <c r="C250" s="109" t="str">
        <f ca="1">IF(OFFSET(PO!N$12,ROW(C250)-ROW(C$12),0)=0,"",OFFSET(PO!N$12,ROW(C250)-ROW(C$12),0))</f>
        <v>TUBO, PVC, SOLDÁVEL, DE 60MM, INSTALADO EM PRUMADA DE ÁGUA - FORNECIMENTO E INSTALAÇÃO. AF_06/2022</v>
      </c>
      <c r="D250" s="111" t="str">
        <f ca="1">IF(OFFSET(PO!O$12,ROW(D250)-ROW(D$12),0)=0,"",OFFSET(PO!O$12,ROW(D250)-ROW(D$12),0))</f>
        <v>M</v>
      </c>
      <c r="E250" s="140">
        <f ca="1">IF($A250&lt;&gt;"Serviço",0,ROUND(SUMIF($F$9:$P$9,"&lt;&gt;",$F250:$P250),15-13*PO!$X$3))</f>
        <v>11</v>
      </c>
      <c r="F250" s="361">
        <f ca="1">OFFSET(PO!$P$12,ROW($E250)-ROW(F$12),0)</f>
        <v>11</v>
      </c>
      <c r="G250" s="361"/>
      <c r="H250" s="361"/>
      <c r="I250" s="361"/>
      <c r="J250" s="361"/>
      <c r="K250" s="361"/>
      <c r="L250" s="361"/>
      <c r="M250" s="361"/>
      <c r="N250" s="361"/>
      <c r="O250" s="361"/>
      <c r="U250" s="182"/>
    </row>
    <row r="251" spans="1:21" s="1" customFormat="1" ht="26.4" x14ac:dyDescent="0.25">
      <c r="A251" s="110" t="str">
        <f ca="1">OFFSET(PO!J$12,ROW(A251)-ROW($A$12),0)</f>
        <v>Serviço</v>
      </c>
      <c r="B251" s="112" t="str">
        <f ca="1">IF($A251=0,"",OFFSET(PO!K$12,ROW(B251)-ROW(B$12),0))</f>
        <v>12.1.0.5.</v>
      </c>
      <c r="C251" s="109" t="str">
        <f ca="1">IF(OFFSET(PO!N$12,ROW(C251)-ROW(C$12),0)=0,"",OFFSET(PO!N$12,ROW(C251)-ROW(C$12),0))</f>
        <v>TUBO, PVC, SOLDÁVEL, DE 75MM, INSTALADO EM PRUMADA DE ÁGUA - FORNECIMENTO E INSTALAÇÃO. AF_06/2022</v>
      </c>
      <c r="D251" s="111" t="str">
        <f ca="1">IF(OFFSET(PO!O$12,ROW(D251)-ROW(D$12),0)=0,"",OFFSET(PO!O$12,ROW(D251)-ROW(D$12),0))</f>
        <v>M</v>
      </c>
      <c r="E251" s="140">
        <f ca="1">IF($A251&lt;&gt;"Serviço",0,ROUND(SUMIF($F$9:$P$9,"&lt;&gt;",$F251:$P251),15-13*PO!$X$3))</f>
        <v>134.6</v>
      </c>
      <c r="F251" s="361">
        <f ca="1">OFFSET(PO!$P$12,ROW($E251)-ROW(F$12),0)</f>
        <v>134.6</v>
      </c>
      <c r="G251" s="361"/>
      <c r="H251" s="361"/>
      <c r="I251" s="361"/>
      <c r="J251" s="361"/>
      <c r="K251" s="361"/>
      <c r="L251" s="361"/>
      <c r="M251" s="361"/>
      <c r="N251" s="361"/>
      <c r="O251" s="361"/>
      <c r="U251" s="182"/>
    </row>
    <row r="252" spans="1:21" s="1" customFormat="1" ht="26.4" x14ac:dyDescent="0.25">
      <c r="A252" s="110" t="str">
        <f ca="1">OFFSET(PO!J$12,ROW(A252)-ROW($A$12),0)</f>
        <v>Serviço</v>
      </c>
      <c r="B252" s="112" t="str">
        <f ca="1">IF($A252=0,"",OFFSET(PO!K$12,ROW(B252)-ROW(B$12),0))</f>
        <v>12.1.0.6.</v>
      </c>
      <c r="C252" s="109" t="str">
        <f ca="1">IF(OFFSET(PO!N$12,ROW(C252)-ROW(C$12),0)=0,"",OFFSET(PO!N$12,ROW(C252)-ROW(C$12),0))</f>
        <v>TUBO, PVC, SOLDÁVEL, DE 85MM, INSTALADO EM PRUMADA DE ÁGUA - FORNECIMENTO E INSTALAÇÃO. AF_06/2022</v>
      </c>
      <c r="D252" s="111" t="str">
        <f ca="1">IF(OFFSET(PO!O$12,ROW(D252)-ROW(D$12),0)=0,"",OFFSET(PO!O$12,ROW(D252)-ROW(D$12),0))</f>
        <v>M</v>
      </c>
      <c r="E252" s="140">
        <f ca="1">IF($A252&lt;&gt;"Serviço",0,ROUND(SUMIF($F$9:$P$9,"&lt;&gt;",$F252:$P252),15-13*PO!$X$3))</f>
        <v>54.55</v>
      </c>
      <c r="F252" s="361">
        <f ca="1">OFFSET(PO!$P$12,ROW($E252)-ROW(F$12),0)</f>
        <v>54.55</v>
      </c>
      <c r="G252" s="361"/>
      <c r="H252" s="361"/>
      <c r="I252" s="361"/>
      <c r="J252" s="361"/>
      <c r="K252" s="361"/>
      <c r="L252" s="361"/>
      <c r="M252" s="361"/>
      <c r="N252" s="361"/>
      <c r="O252" s="361"/>
      <c r="U252" s="182"/>
    </row>
    <row r="253" spans="1:21" s="1" customFormat="1" ht="39.6" x14ac:dyDescent="0.25">
      <c r="A253" s="110" t="str">
        <f ca="1">OFFSET(PO!J$12,ROW(A253)-ROW($A$12),0)</f>
        <v>Serviço</v>
      </c>
      <c r="B253" s="112" t="str">
        <f ca="1">IF($A253=0,"",OFFSET(PO!K$12,ROW(B253)-ROW(B$12),0))</f>
        <v>12.1.0.7.</v>
      </c>
      <c r="C253" s="109" t="str">
        <f ca="1">IF(OFFSET(PO!N$12,ROW(C253)-ROW(C$12),0)=0,"",OFFSET(PO!N$12,ROW(C253)-ROW(C$12),0))</f>
        <v>ADAPTADOR COM FLANGES LIVRES, PVC, SOLDÁVEL, DN 22MM, INSTALADO EM RESERVAÇÃO PREDIAL DE ÁGUA - FORNECIMENTO E INSTALAÇÃO. AF_04/2024</v>
      </c>
      <c r="D253" s="111" t="str">
        <f ca="1">IF(OFFSET(PO!O$12,ROW(D253)-ROW(D$12),0)=0,"",OFFSET(PO!O$12,ROW(D253)-ROW(D$12),0))</f>
        <v/>
      </c>
      <c r="E253" s="140">
        <f ca="1">IF($A253&lt;&gt;"Serviço",0,ROUND(SUMIF($F$9:$P$9,"&lt;&gt;",$F253:$P253),15-13*PO!$X$3))</f>
        <v>3</v>
      </c>
      <c r="F253" s="361">
        <f ca="1">OFFSET(PO!$P$12,ROW($E253)-ROW(F$12),0)</f>
        <v>3</v>
      </c>
      <c r="G253" s="361"/>
      <c r="H253" s="361"/>
      <c r="I253" s="361"/>
      <c r="J253" s="361"/>
      <c r="K253" s="361"/>
      <c r="L253" s="361"/>
      <c r="M253" s="361"/>
      <c r="N253" s="361"/>
      <c r="O253" s="361"/>
      <c r="U253" s="182"/>
    </row>
    <row r="254" spans="1:21" s="1" customFormat="1" ht="39.6" x14ac:dyDescent="0.25">
      <c r="A254" s="110" t="str">
        <f ca="1">OFFSET(PO!J$12,ROW(A254)-ROW($A$12),0)</f>
        <v>Serviço</v>
      </c>
      <c r="B254" s="112" t="str">
        <f ca="1">IF($A254=0,"",OFFSET(PO!K$12,ROW(B254)-ROW(B$12),0))</f>
        <v>12.1.0.8.</v>
      </c>
      <c r="C254" s="109" t="str">
        <f ca="1">IF(OFFSET(PO!N$12,ROW(C254)-ROW(C$12),0)=0,"",OFFSET(PO!N$12,ROW(C254)-ROW(C$12),0))</f>
        <v>ADAPTADOR COM FLANGES LIVRES, PVC, SOLDÁVEL, DN 75 MM X 2 1/2", INSTALADO EM RESERVAÇÃO PREDIAL DE ÁGUA - FORNECIMENTO E INSTALAÇÃO. AF_04/2024</v>
      </c>
      <c r="D254" s="111" t="str">
        <f ca="1">IF(OFFSET(PO!O$12,ROW(D254)-ROW(D$12),0)=0,"",OFFSET(PO!O$12,ROW(D254)-ROW(D$12),0))</f>
        <v>UN</v>
      </c>
      <c r="E254" s="140">
        <f ca="1">IF($A254&lt;&gt;"Serviço",0,ROUND(SUMIF($F$9:$P$9,"&lt;&gt;",$F254:$P254),15-13*PO!$X$3))</f>
        <v>6</v>
      </c>
      <c r="F254" s="361">
        <f ca="1">OFFSET(PO!$P$12,ROW($E254)-ROW(F$12),0)</f>
        <v>6</v>
      </c>
      <c r="G254" s="361"/>
      <c r="H254" s="361"/>
      <c r="I254" s="361"/>
      <c r="J254" s="361"/>
      <c r="K254" s="361"/>
      <c r="L254" s="361"/>
      <c r="M254" s="361"/>
      <c r="N254" s="361"/>
      <c r="O254" s="361"/>
      <c r="U254" s="182"/>
    </row>
    <row r="255" spans="1:21" s="1" customFormat="1" ht="39.6" x14ac:dyDescent="0.25">
      <c r="A255" s="110" t="str">
        <f ca="1">OFFSET(PO!J$12,ROW(A255)-ROW($A$12),0)</f>
        <v>Serviço</v>
      </c>
      <c r="B255" s="112" t="str">
        <f ca="1">IF($A255=0,"",OFFSET(PO!K$12,ROW(B255)-ROW(B$12),0))</f>
        <v>12.1.0.9.</v>
      </c>
      <c r="C255" s="109" t="str">
        <f ca="1">IF(OFFSET(PO!N$12,ROW(C255)-ROW(C$12),0)=0,"",OFFSET(PO!N$12,ROW(C255)-ROW(C$12),0))</f>
        <v>ADAPTADOR COM FLANGES LIVRES, PVC, SOLDÁVEL, DN 85 MM X 3", INSTALADO EM RESERVAÇÃO PREDIAL DE ÁGUA - FORNECIMENTO E INSTALAÇÃO. AF_04/2024</v>
      </c>
      <c r="D255" s="111" t="str">
        <f ca="1">IF(OFFSET(PO!O$12,ROW(D255)-ROW(D$12),0)=0,"",OFFSET(PO!O$12,ROW(D255)-ROW(D$12),0))</f>
        <v>UN</v>
      </c>
      <c r="E255" s="140">
        <f ca="1">IF($A255&lt;&gt;"Serviço",0,ROUND(SUMIF($F$9:$P$9,"&lt;&gt;",$F255:$P255),15-13*PO!$X$3))</f>
        <v>2</v>
      </c>
      <c r="F255" s="361">
        <f ca="1">OFFSET(PO!$P$12,ROW($E255)-ROW(F$12),0)</f>
        <v>2</v>
      </c>
      <c r="G255" s="361"/>
      <c r="H255" s="361"/>
      <c r="I255" s="361"/>
      <c r="J255" s="361"/>
      <c r="K255" s="361"/>
      <c r="L255" s="361"/>
      <c r="M255" s="361"/>
      <c r="N255" s="361"/>
      <c r="O255" s="361"/>
      <c r="U255" s="182"/>
    </row>
    <row r="256" spans="1:21" s="1" customFormat="1" ht="39.6" x14ac:dyDescent="0.25">
      <c r="A256" s="110" t="str">
        <f ca="1">OFFSET(PO!J$12,ROW(A256)-ROW($A$12),0)</f>
        <v>Serviço</v>
      </c>
      <c r="B256" s="112" t="str">
        <f ca="1">IF($A256=0,"",OFFSET(PO!K$12,ROW(B256)-ROW(B$12),0))</f>
        <v>12.1.0.10.</v>
      </c>
      <c r="C256" s="109" t="str">
        <f ca="1">IF(OFFSET(PO!N$12,ROW(C256)-ROW(C$12),0)=0,"",OFFSET(PO!N$12,ROW(C256)-ROW(C$12),0))</f>
        <v>ADAPTADOR CURTO COM BOLSA E ROSCA PARA REGISTRO, PVC, SOLDÁVEL, DN 20MM X 1/2 , INSTALADO EM RAMAL OU SUB-RAMAL DE ÁGUA - FORNECIMENTO E INSTALAÇÃO. AF_06/2022</v>
      </c>
      <c r="D256" s="111" t="str">
        <f ca="1">IF(OFFSET(PO!O$12,ROW(D256)-ROW(D$12),0)=0,"",OFFSET(PO!O$12,ROW(D256)-ROW(D$12),0))</f>
        <v>UN</v>
      </c>
      <c r="E256" s="140">
        <f ca="1">IF($A256&lt;&gt;"Serviço",0,ROUND(SUMIF($F$9:$P$9,"&lt;&gt;",$F256:$P256),15-13*PO!$X$3))</f>
        <v>4</v>
      </c>
      <c r="F256" s="361">
        <f ca="1">OFFSET(PO!$P$12,ROW($E256)-ROW(F$12),0)</f>
        <v>4</v>
      </c>
      <c r="G256" s="361"/>
      <c r="H256" s="361"/>
      <c r="I256" s="361"/>
      <c r="J256" s="361"/>
      <c r="K256" s="361"/>
      <c r="L256" s="361"/>
      <c r="M256" s="361"/>
      <c r="N256" s="361"/>
      <c r="O256" s="361"/>
      <c r="U256" s="182"/>
    </row>
    <row r="257" spans="1:21" s="1" customFormat="1" ht="39.6" x14ac:dyDescent="0.25">
      <c r="A257" s="110" t="str">
        <f ca="1">OFFSET(PO!J$12,ROW(A257)-ROW($A$12),0)</f>
        <v>Serviço</v>
      </c>
      <c r="B257" s="112" t="str">
        <f ca="1">IF($A257=0,"",OFFSET(PO!K$12,ROW(B257)-ROW(B$12),0))</f>
        <v>12.1.0.11.</v>
      </c>
      <c r="C257" s="109" t="str">
        <f ca="1">IF(OFFSET(PO!N$12,ROW(C257)-ROW(C$12),0)=0,"",OFFSET(PO!N$12,ROW(C257)-ROW(C$12),0))</f>
        <v>ADAPTADOR CURTO COM BOLSA E ROSCA PARA REGISTRO, PVC, SOLDÁVEL, DN 25MM X 3/4 , INSTALADO EM RAMAL OU SUB-RAMAL DE ÁGUA - FORNECIMENTO E INSTALAÇÃO. AF_06/2022</v>
      </c>
      <c r="D257" s="111" t="str">
        <f ca="1">IF(OFFSET(PO!O$12,ROW(D257)-ROW(D$12),0)=0,"",OFFSET(PO!O$12,ROW(D257)-ROW(D$12),0))</f>
        <v>UN</v>
      </c>
      <c r="E257" s="140">
        <f ca="1">IF($A257&lt;&gt;"Serviço",0,ROUND(SUMIF($F$9:$P$9,"&lt;&gt;",$F257:$P257),15-13*PO!$X$3))</f>
        <v>72</v>
      </c>
      <c r="F257" s="361">
        <f ca="1">OFFSET(PO!$P$12,ROW($E257)-ROW(F$12),0)</f>
        <v>72</v>
      </c>
      <c r="G257" s="361"/>
      <c r="H257" s="361"/>
      <c r="I257" s="361"/>
      <c r="J257" s="361"/>
      <c r="K257" s="361"/>
      <c r="L257" s="361"/>
      <c r="M257" s="361"/>
      <c r="N257" s="361"/>
      <c r="O257" s="361"/>
      <c r="U257" s="182"/>
    </row>
    <row r="258" spans="1:21" s="1" customFormat="1" ht="52.8" x14ac:dyDescent="0.25">
      <c r="A258" s="110" t="str">
        <f ca="1">OFFSET(PO!J$12,ROW(A258)-ROW($A$12),0)</f>
        <v>Serviço</v>
      </c>
      <c r="B258" s="112" t="str">
        <f ca="1">IF($A258=0,"",OFFSET(PO!K$12,ROW(B258)-ROW(B$12),0))</f>
        <v>12.1.0.12.</v>
      </c>
      <c r="C258" s="109" t="str">
        <f ca="1">IF(OFFSET(PO!N$12,ROW(C258)-ROW(C$12),0)=0,"",OFFSET(PO!N$12,ROW(C258)-ROW(C$12),0))</f>
        <v>ADAPTADOR CURTO COM BOLSA E ROSCA PARA REGISTRO, PVC, SOLDÁVEL, DN 50MM X 1.1/4", INSTALADO EM RAMAL DE DISTRIBUIÇÃO DE ÁGUA - FORNECIMENTO E INSTALAÇÃO. AF_06/2022</v>
      </c>
      <c r="D258" s="111" t="str">
        <f ca="1">IF(OFFSET(PO!O$12,ROW(D258)-ROW(D$12),0)=0,"",OFFSET(PO!O$12,ROW(D258)-ROW(D$12),0))</f>
        <v>UN</v>
      </c>
      <c r="E258" s="140">
        <f ca="1">IF($A258&lt;&gt;"Serviço",0,ROUND(SUMIF($F$9:$P$9,"&lt;&gt;",$F258:$P258),15-13*PO!$X$3))</f>
        <v>40</v>
      </c>
      <c r="F258" s="361">
        <f ca="1">OFFSET(PO!$P$12,ROW($E258)-ROW(F$12),0)</f>
        <v>40</v>
      </c>
      <c r="G258" s="361"/>
      <c r="H258" s="361"/>
      <c r="I258" s="361"/>
      <c r="J258" s="361"/>
      <c r="K258" s="361"/>
      <c r="L258" s="361"/>
      <c r="M258" s="361"/>
      <c r="N258" s="361"/>
      <c r="O258" s="361"/>
      <c r="U258" s="182"/>
    </row>
    <row r="259" spans="1:21" s="1" customFormat="1" ht="39.6" x14ac:dyDescent="0.25">
      <c r="A259" s="110" t="str">
        <f ca="1">OFFSET(PO!J$12,ROW(A259)-ROW($A$12),0)</f>
        <v>Serviço</v>
      </c>
      <c r="B259" s="112" t="str">
        <f ca="1">IF($A259=0,"",OFFSET(PO!K$12,ROW(B259)-ROW(B$12),0))</f>
        <v>12.1.0.13.</v>
      </c>
      <c r="C259" s="109" t="str">
        <f ca="1">IF(OFFSET(PO!N$12,ROW(C259)-ROW(C$12),0)=0,"",OFFSET(PO!N$12,ROW(C259)-ROW(C$12),0))</f>
        <v>ADAPTADOR CURTO COM BOLSA E ROSCA PARA REGISTRO, PVC, SOLDÁVEL, DN 75MM X 2.1/2", INSTALADO EM PRUMADA DE ÁGUA - FORNECIMENTO E INSTALAÇÃO. AF_12/2014</v>
      </c>
      <c r="D259" s="111" t="str">
        <f ca="1">IF(OFFSET(PO!O$12,ROW(D259)-ROW(D$12),0)=0,"",OFFSET(PO!O$12,ROW(D259)-ROW(D$12),0))</f>
        <v>UN</v>
      </c>
      <c r="E259" s="140">
        <f ca="1">IF($A259&lt;&gt;"Serviço",0,ROUND(SUMIF($F$9:$P$9,"&lt;&gt;",$F259:$P259),15-13*PO!$X$3))</f>
        <v>6</v>
      </c>
      <c r="F259" s="361">
        <f ca="1">OFFSET(PO!$P$12,ROW($E259)-ROW(F$12),0)</f>
        <v>6</v>
      </c>
      <c r="G259" s="361"/>
      <c r="H259" s="361"/>
      <c r="I259" s="361"/>
      <c r="J259" s="361"/>
      <c r="K259" s="361"/>
      <c r="L259" s="361"/>
      <c r="M259" s="361"/>
      <c r="N259" s="361"/>
      <c r="O259" s="361"/>
      <c r="U259" s="182"/>
    </row>
    <row r="260" spans="1:21" s="1" customFormat="1" ht="39.6" x14ac:dyDescent="0.25">
      <c r="A260" s="110" t="str">
        <f ca="1">OFFSET(PO!J$12,ROW(A260)-ROW($A$12),0)</f>
        <v>Serviço</v>
      </c>
      <c r="B260" s="112" t="str">
        <f ca="1">IF($A260=0,"",OFFSET(PO!K$12,ROW(B260)-ROW(B$12),0))</f>
        <v>12.1.0.14.</v>
      </c>
      <c r="C260" s="109" t="str">
        <f ca="1">IF(OFFSET(PO!N$12,ROW(C260)-ROW(C$12),0)=0,"",OFFSET(PO!N$12,ROW(C260)-ROW(C$12),0))</f>
        <v>ADAPTADOR CURTO COM BOLSA E ROSCA PARA REGISTRO, PVC, SOLDÁVEL, DN 85MM X 3 , INSTALADO EM PRUMADA DE ÁGUA - FORNECIMENTO E INSTALAÇÃO. AF_06/2022</v>
      </c>
      <c r="D260" s="111" t="str">
        <f ca="1">IF(OFFSET(PO!O$12,ROW(D260)-ROW(D$12),0)=0,"",OFFSET(PO!O$12,ROW(D260)-ROW(D$12),0))</f>
        <v>UN</v>
      </c>
      <c r="E260" s="140">
        <f ca="1">IF($A260&lt;&gt;"Serviço",0,ROUND(SUMIF($F$9:$P$9,"&lt;&gt;",$F260:$P260),15-13*PO!$X$3))</f>
        <v>2</v>
      </c>
      <c r="F260" s="361">
        <f ca="1">OFFSET(PO!$P$12,ROW($E260)-ROW(F$12),0)</f>
        <v>2</v>
      </c>
      <c r="G260" s="361"/>
      <c r="H260" s="361"/>
      <c r="I260" s="361"/>
      <c r="J260" s="361"/>
      <c r="K260" s="361"/>
      <c r="L260" s="361"/>
      <c r="M260" s="361"/>
      <c r="N260" s="361"/>
      <c r="O260" s="361"/>
      <c r="U260" s="182"/>
    </row>
    <row r="261" spans="1:21" s="1" customFormat="1" ht="39.6" x14ac:dyDescent="0.25">
      <c r="A261" s="110" t="str">
        <f ca="1">OFFSET(PO!J$12,ROW(A261)-ROW($A$12),0)</f>
        <v>Serviço</v>
      </c>
      <c r="B261" s="112" t="str">
        <f ca="1">IF($A261=0,"",OFFSET(PO!K$12,ROW(B261)-ROW(B$12),0))</f>
        <v>12.1.0.15.</v>
      </c>
      <c r="C261" s="109" t="str">
        <f ca="1">IF(OFFSET(PO!N$12,ROW(C261)-ROW(C$12),0)=0,"",OFFSET(PO!N$12,ROW(C261)-ROW(C$12),0))</f>
        <v>LUVA DE REDUÇÃO, PVC, SOLDÁVEL, DN 60MM X 50MM, INSTALADO EM PRUMADA DE ÁGUA - FORNECIMENTO E INSTALAÇÃO. AF_06/2022</v>
      </c>
      <c r="D261" s="111" t="str">
        <f ca="1">IF(OFFSET(PO!O$12,ROW(D261)-ROW(D$12),0)=0,"",OFFSET(PO!O$12,ROW(D261)-ROW(D$12),0))</f>
        <v>UN</v>
      </c>
      <c r="E261" s="140">
        <f ca="1">IF($A261&lt;&gt;"Serviço",0,ROUND(SUMIF($F$9:$P$9,"&lt;&gt;",$F261:$P261),15-13*PO!$X$3))</f>
        <v>6</v>
      </c>
      <c r="F261" s="361">
        <f ca="1">OFFSET(PO!$P$12,ROW($E261)-ROW(F$12),0)</f>
        <v>6</v>
      </c>
      <c r="G261" s="361"/>
      <c r="H261" s="361"/>
      <c r="I261" s="361"/>
      <c r="J261" s="361"/>
      <c r="K261" s="361"/>
      <c r="L261" s="361"/>
      <c r="M261" s="361"/>
      <c r="N261" s="361"/>
      <c r="O261" s="361"/>
      <c r="U261" s="182"/>
    </row>
    <row r="262" spans="1:21" s="1" customFormat="1" ht="39.6" x14ac:dyDescent="0.25">
      <c r="A262" s="110" t="str">
        <f ca="1">OFFSET(PO!J$12,ROW(A262)-ROW($A$12),0)</f>
        <v>Serviço</v>
      </c>
      <c r="B262" s="112" t="str">
        <f ca="1">IF($A262=0,"",OFFSET(PO!K$12,ROW(B262)-ROW(B$12),0))</f>
        <v>12.1.0.16.</v>
      </c>
      <c r="C262" s="109" t="str">
        <f ca="1">IF(OFFSET(PO!N$12,ROW(C262)-ROW(C$12),0)=0,"",OFFSET(PO!N$12,ROW(C262)-ROW(C$12),0))</f>
        <v>BUCHA DE REDUÇÃO, CURTA, PVC, SOLDÁVEL, DN 75 X 60 MM, INSTALADO EM PRUMADA DE ÁGUA - FORNECIMENTO E INSTALAÇÃO (UN)</v>
      </c>
      <c r="D262" s="111" t="str">
        <f ca="1">IF(OFFSET(PO!O$12,ROW(D262)-ROW(D$12),0)=0,"",OFFSET(PO!O$12,ROW(D262)-ROW(D$12),0))</f>
        <v>U N</v>
      </c>
      <c r="E262" s="140">
        <f ca="1">IF($A262&lt;&gt;"Serviço",0,ROUND(SUMIF($F$9:$P$9,"&lt;&gt;",$F262:$P262),15-13*PO!$X$3))</f>
        <v>2</v>
      </c>
      <c r="F262" s="361">
        <f ca="1">OFFSET(PO!$P$12,ROW($E262)-ROW(F$12),0)</f>
        <v>2</v>
      </c>
      <c r="G262" s="361"/>
      <c r="H262" s="361"/>
      <c r="I262" s="361"/>
      <c r="J262" s="361"/>
      <c r="K262" s="361"/>
      <c r="L262" s="361"/>
      <c r="M262" s="361"/>
      <c r="N262" s="361"/>
      <c r="O262" s="361"/>
      <c r="U262" s="182"/>
    </row>
    <row r="263" spans="1:21" s="1" customFormat="1" ht="39.6" x14ac:dyDescent="0.25">
      <c r="A263" s="110" t="str">
        <f ca="1">OFFSET(PO!J$12,ROW(A263)-ROW($A$12),0)</f>
        <v>Serviço</v>
      </c>
      <c r="B263" s="112" t="str">
        <f ca="1">IF($A263=0,"",OFFSET(PO!K$12,ROW(B263)-ROW(B$12),0))</f>
        <v>12.1.0.17.</v>
      </c>
      <c r="C263" s="109" t="str">
        <f ca="1">IF(OFFSET(PO!N$12,ROW(C263)-ROW(C$12),0)=0,"",OFFSET(PO!N$12,ROW(C263)-ROW(C$12),0))</f>
        <v>BUCHA DE REDUÇÃO, CURTA, PVC, SOLDÁVEL, DN 85 X 75 MM, INSTALADO EM PRUMADA DE ÁGUA - FORNECIMENTO E INSTALAÇÃO (UN)</v>
      </c>
      <c r="D263" s="111" t="str">
        <f ca="1">IF(OFFSET(PO!O$12,ROW(D263)-ROW(D$12),0)=0,"",OFFSET(PO!O$12,ROW(D263)-ROW(D$12),0))</f>
        <v>U N</v>
      </c>
      <c r="E263" s="140">
        <f ca="1">IF($A263&lt;&gt;"Serviço",0,ROUND(SUMIF($F$9:$P$9,"&lt;&gt;",$F263:$P263),15-13*PO!$X$3))</f>
        <v>4</v>
      </c>
      <c r="F263" s="361">
        <f ca="1">OFFSET(PO!$P$12,ROW($E263)-ROW(F$12),0)</f>
        <v>4</v>
      </c>
      <c r="G263" s="361"/>
      <c r="H263" s="361"/>
      <c r="I263" s="361"/>
      <c r="J263" s="361"/>
      <c r="K263" s="361"/>
      <c r="L263" s="361"/>
      <c r="M263" s="361"/>
      <c r="N263" s="361"/>
      <c r="O263" s="361"/>
      <c r="U263" s="182"/>
    </row>
    <row r="264" spans="1:21" s="1" customFormat="1" ht="39.6" x14ac:dyDescent="0.25">
      <c r="A264" s="110" t="str">
        <f ca="1">OFFSET(PO!J$12,ROW(A264)-ROW($A$12),0)</f>
        <v>Serviço</v>
      </c>
      <c r="B264" s="112" t="str">
        <f ca="1">IF($A264=0,"",OFFSET(PO!K$12,ROW(B264)-ROW(B$12),0))</f>
        <v>12.1.0.18.</v>
      </c>
      <c r="C264" s="109" t="str">
        <f ca="1">IF(OFFSET(PO!N$12,ROW(C264)-ROW(C$12),0)=0,"",OFFSET(PO!N$12,ROW(C264)-ROW(C$12),0))</f>
        <v>LUVA DE REDUÇÃO, PVC, SOLDÁVEL, DN 50MM X 25MM, INSTALADO EM RAMAL DE DISTRIBUIÇÃO DE ÁGUA   FORNECIMENTO E INSTALAÇÃO. AF_06/2022</v>
      </c>
      <c r="D264" s="111" t="str">
        <f ca="1">IF(OFFSET(PO!O$12,ROW(D264)-ROW(D$12),0)=0,"",OFFSET(PO!O$12,ROW(D264)-ROW(D$12),0))</f>
        <v>UN</v>
      </c>
      <c r="E264" s="140">
        <f ca="1">IF($A264&lt;&gt;"Serviço",0,ROUND(SUMIF($F$9:$P$9,"&lt;&gt;",$F264:$P264),15-13*PO!$X$3))</f>
        <v>30</v>
      </c>
      <c r="F264" s="361">
        <f ca="1">OFFSET(PO!$P$12,ROW($E264)-ROW(F$12),0)</f>
        <v>30</v>
      </c>
      <c r="G264" s="361"/>
      <c r="H264" s="361"/>
      <c r="I264" s="361"/>
      <c r="J264" s="361"/>
      <c r="K264" s="361"/>
      <c r="L264" s="361"/>
      <c r="M264" s="361"/>
      <c r="N264" s="361"/>
      <c r="O264" s="361"/>
      <c r="U264" s="182"/>
    </row>
    <row r="265" spans="1:21" s="1" customFormat="1" ht="39.6" x14ac:dyDescent="0.25">
      <c r="A265" s="110" t="str">
        <f ca="1">OFFSET(PO!J$12,ROW(A265)-ROW($A$12),0)</f>
        <v>Serviço</v>
      </c>
      <c r="B265" s="112" t="str">
        <f ca="1">IF($A265=0,"",OFFSET(PO!K$12,ROW(B265)-ROW(B$12),0))</f>
        <v>12.1.0.19.</v>
      </c>
      <c r="C265" s="109" t="str">
        <f ca="1">IF(OFFSET(PO!N$12,ROW(C265)-ROW(C$12),0)=0,"",OFFSET(PO!N$12,ROW(C265)-ROW(C$12),0))</f>
        <v>BUCHA DE REDUÇÃO, LONGA, PVC, SOLDÁVEL, DN 60 X 32 MM, INSTALADO EM PRUMADA DE ÁGUA - FORNECIMENTO E INSTALAÇÃO. AF_06/2022</v>
      </c>
      <c r="D265" s="111" t="str">
        <f ca="1">IF(OFFSET(PO!O$12,ROW(D265)-ROW(D$12),0)=0,"",OFFSET(PO!O$12,ROW(D265)-ROW(D$12),0))</f>
        <v>UN</v>
      </c>
      <c r="E265" s="140">
        <f ca="1">IF($A265&lt;&gt;"Serviço",0,ROUND(SUMIF($F$9:$P$9,"&lt;&gt;",$F265:$P265),15-13*PO!$X$3))</f>
        <v>1</v>
      </c>
      <c r="F265" s="361">
        <f ca="1">OFFSET(PO!$P$12,ROW($E265)-ROW(F$12),0)</f>
        <v>1</v>
      </c>
      <c r="G265" s="361"/>
      <c r="H265" s="361"/>
      <c r="I265" s="361"/>
      <c r="J265" s="361"/>
      <c r="K265" s="361"/>
      <c r="L265" s="361"/>
      <c r="M265" s="361"/>
      <c r="N265" s="361"/>
      <c r="O265" s="361"/>
      <c r="U265" s="182"/>
    </row>
    <row r="266" spans="1:21" s="1" customFormat="1" ht="39.6" x14ac:dyDescent="0.25">
      <c r="A266" s="110" t="str">
        <f ca="1">OFFSET(PO!J$12,ROW(A266)-ROW($A$12),0)</f>
        <v>Serviço</v>
      </c>
      <c r="B266" s="112" t="str">
        <f ca="1">IF($A266=0,"",OFFSET(PO!K$12,ROW(B266)-ROW(B$12),0))</f>
        <v>12.1.0.20.</v>
      </c>
      <c r="C266" s="109" t="str">
        <f ca="1">IF(OFFSET(PO!N$12,ROW(C266)-ROW(C$12),0)=0,"",OFFSET(PO!N$12,ROW(C266)-ROW(C$12),0))</f>
        <v>BUCHA DE REDUÇÃO, LONGA, PVC, SOLDÁVEL, DN 75 X 50 MM, INSTALADO EM PRUMADA DE ÁGUA - FORNECIMENTO E INSTALAÇÃO. AF_06/2022</v>
      </c>
      <c r="D266" s="111" t="str">
        <f ca="1">IF(OFFSET(PO!O$12,ROW(D266)-ROW(D$12),0)=0,"",OFFSET(PO!O$12,ROW(D266)-ROW(D$12),0))</f>
        <v>UN</v>
      </c>
      <c r="E266" s="140">
        <f ca="1">IF($A266&lt;&gt;"Serviço",0,ROUND(SUMIF($F$9:$P$9,"&lt;&gt;",$F266:$P266),15-13*PO!$X$3))</f>
        <v>5</v>
      </c>
      <c r="F266" s="361">
        <f ca="1">OFFSET(PO!$P$12,ROW($E266)-ROW(F$12),0)</f>
        <v>5</v>
      </c>
      <c r="G266" s="361"/>
      <c r="H266" s="361"/>
      <c r="I266" s="361"/>
      <c r="J266" s="361"/>
      <c r="K266" s="361"/>
      <c r="L266" s="361"/>
      <c r="M266" s="361"/>
      <c r="N266" s="361"/>
      <c r="O266" s="361"/>
      <c r="U266" s="182"/>
    </row>
    <row r="267" spans="1:21" s="1" customFormat="1" ht="39.6" x14ac:dyDescent="0.25">
      <c r="A267" s="110" t="str">
        <f ca="1">OFFSET(PO!J$12,ROW(A267)-ROW($A$12),0)</f>
        <v>Serviço</v>
      </c>
      <c r="B267" s="112" t="str">
        <f ca="1">IF($A267=0,"",OFFSET(PO!K$12,ROW(B267)-ROW(B$12),0))</f>
        <v>12.1.0.21.</v>
      </c>
      <c r="C267" s="109" t="str">
        <f ca="1">IF(OFFSET(PO!N$12,ROW(C267)-ROW(C$12),0)=0,"",OFFSET(PO!N$12,ROW(C267)-ROW(C$12),0))</f>
        <v>JOELHO 45 GRAUS, PVC, SOLDÁVEL, DN 25MM, INSTALADO EM PRUMADA DE ÁGUA - FORNECIMENTO E INSTALAÇÃO. AF_06/2022</v>
      </c>
      <c r="D267" s="111" t="str">
        <f ca="1">IF(OFFSET(PO!O$12,ROW(D267)-ROW(D$12),0)=0,"",OFFSET(PO!O$12,ROW(D267)-ROW(D$12),0))</f>
        <v>UN</v>
      </c>
      <c r="E267" s="140">
        <f ca="1">IF($A267&lt;&gt;"Serviço",0,ROUND(SUMIF($F$9:$P$9,"&lt;&gt;",$F267:$P267),15-13*PO!$X$3))</f>
        <v>3</v>
      </c>
      <c r="F267" s="361">
        <f ca="1">OFFSET(PO!$P$12,ROW($E267)-ROW(F$12),0)</f>
        <v>3</v>
      </c>
      <c r="G267" s="361"/>
      <c r="H267" s="361"/>
      <c r="I267" s="361"/>
      <c r="J267" s="361"/>
      <c r="K267" s="361"/>
      <c r="L267" s="361"/>
      <c r="M267" s="361"/>
      <c r="N267" s="361"/>
      <c r="O267" s="361"/>
      <c r="U267" s="182"/>
    </row>
    <row r="268" spans="1:21" s="1" customFormat="1" ht="39.6" x14ac:dyDescent="0.25">
      <c r="A268" s="110" t="str">
        <f ca="1">OFFSET(PO!J$12,ROW(A268)-ROW($A$12),0)</f>
        <v>Serviço</v>
      </c>
      <c r="B268" s="112" t="str">
        <f ca="1">IF($A268=0,"",OFFSET(PO!K$12,ROW(B268)-ROW(B$12),0))</f>
        <v>12.1.0.22.</v>
      </c>
      <c r="C268" s="109" t="str">
        <f ca="1">IF(OFFSET(PO!N$12,ROW(C268)-ROW(C$12),0)=0,"",OFFSET(PO!N$12,ROW(C268)-ROW(C$12),0))</f>
        <v>JOELHO 45 GRAUS, PVC, SOLDÁVEL, DN 50MM, INSTALADO EM PRUMADA DE ÁGUA - FORNECIMENTO E INSTALAÇÃO. AF_06/2022</v>
      </c>
      <c r="D268" s="111" t="str">
        <f ca="1">IF(OFFSET(PO!O$12,ROW(D268)-ROW(D$12),0)=0,"",OFFSET(PO!O$12,ROW(D268)-ROW(D$12),0))</f>
        <v>UN</v>
      </c>
      <c r="E268" s="140">
        <f ca="1">IF($A268&lt;&gt;"Serviço",0,ROUND(SUMIF($F$9:$P$9,"&lt;&gt;",$F268:$P268),15-13*PO!$X$3))</f>
        <v>2</v>
      </c>
      <c r="F268" s="361">
        <f ca="1">OFFSET(PO!$P$12,ROW($E268)-ROW(F$12),0)</f>
        <v>2</v>
      </c>
      <c r="G268" s="361"/>
      <c r="H268" s="361"/>
      <c r="I268" s="361"/>
      <c r="J268" s="361"/>
      <c r="K268" s="361"/>
      <c r="L268" s="361"/>
      <c r="M268" s="361"/>
      <c r="N268" s="361"/>
      <c r="O268" s="361"/>
      <c r="U268" s="182"/>
    </row>
    <row r="269" spans="1:21" s="1" customFormat="1" ht="39.6" x14ac:dyDescent="0.25">
      <c r="A269" s="110" t="str">
        <f ca="1">OFFSET(PO!J$12,ROW(A269)-ROW($A$12),0)</f>
        <v>Serviço</v>
      </c>
      <c r="B269" s="112" t="str">
        <f ca="1">IF($A269=0,"",OFFSET(PO!K$12,ROW(B269)-ROW(B$12),0))</f>
        <v>12.1.0.23.</v>
      </c>
      <c r="C269" s="109" t="str">
        <f ca="1">IF(OFFSET(PO!N$12,ROW(C269)-ROW(C$12),0)=0,"",OFFSET(PO!N$12,ROW(C269)-ROW(C$12),0))</f>
        <v>JOELHO 45 GRAUS, PVC, SOLDÁVEL, DN 75MM, INSTALADO EM PRUMADA DE ÁGUA - FORNECIMENTO E INSTALAÇÃO. AF_06/2022</v>
      </c>
      <c r="D269" s="111" t="str">
        <f ca="1">IF(OFFSET(PO!O$12,ROW(D269)-ROW(D$12),0)=0,"",OFFSET(PO!O$12,ROW(D269)-ROW(D$12),0))</f>
        <v>UN</v>
      </c>
      <c r="E269" s="140">
        <f ca="1">IF($A269&lt;&gt;"Serviço",0,ROUND(SUMIF($F$9:$P$9,"&lt;&gt;",$F269:$P269),15-13*PO!$X$3))</f>
        <v>8</v>
      </c>
      <c r="F269" s="361">
        <f ca="1">OFFSET(PO!$P$12,ROW($E269)-ROW(F$12),0)</f>
        <v>8</v>
      </c>
      <c r="G269" s="361"/>
      <c r="H269" s="361"/>
      <c r="I269" s="361"/>
      <c r="J269" s="361"/>
      <c r="K269" s="361"/>
      <c r="L269" s="361"/>
      <c r="M269" s="361"/>
      <c r="N269" s="361"/>
      <c r="O269" s="361"/>
      <c r="U269" s="182"/>
    </row>
    <row r="270" spans="1:21" s="1" customFormat="1" ht="39.6" x14ac:dyDescent="0.25">
      <c r="A270" s="110" t="str">
        <f ca="1">OFFSET(PO!J$12,ROW(A270)-ROW($A$12),0)</f>
        <v>Serviço</v>
      </c>
      <c r="B270" s="112" t="str">
        <f ca="1">IF($A270=0,"",OFFSET(PO!K$12,ROW(B270)-ROW(B$12),0))</f>
        <v>12.1.0.24.</v>
      </c>
      <c r="C270" s="109" t="str">
        <f ca="1">IF(OFFSET(PO!N$12,ROW(C270)-ROW(C$12),0)=0,"",OFFSET(PO!N$12,ROW(C270)-ROW(C$12),0))</f>
        <v>JOELHO 45 GRAUS, PVC, SOLDÁVEL, DN 85MM, INSTALADO EM PRUMADA DE ÁGUA - FORNECIMENTO E INSTALAÇÃO. AF_06/2022</v>
      </c>
      <c r="D270" s="111" t="str">
        <f ca="1">IF(OFFSET(PO!O$12,ROW(D270)-ROW(D$12),0)=0,"",OFFSET(PO!O$12,ROW(D270)-ROW(D$12),0))</f>
        <v>UN</v>
      </c>
      <c r="E270" s="140">
        <f ca="1">IF($A270&lt;&gt;"Serviço",0,ROUND(SUMIF($F$9:$P$9,"&lt;&gt;",$F270:$P270),15-13*PO!$X$3))</f>
        <v>2</v>
      </c>
      <c r="F270" s="361">
        <f ca="1">OFFSET(PO!$P$12,ROW($E270)-ROW(F$12),0)</f>
        <v>2</v>
      </c>
      <c r="G270" s="361"/>
      <c r="H270" s="361"/>
      <c r="I270" s="361"/>
      <c r="J270" s="361"/>
      <c r="K270" s="361"/>
      <c r="L270" s="361"/>
      <c r="M270" s="361"/>
      <c r="N270" s="361"/>
      <c r="O270" s="361"/>
      <c r="U270" s="182"/>
    </row>
    <row r="271" spans="1:21" s="1" customFormat="1" ht="39.6" x14ac:dyDescent="0.25">
      <c r="A271" s="110" t="str">
        <f ca="1">OFFSET(PO!J$12,ROW(A271)-ROW($A$12),0)</f>
        <v>Serviço</v>
      </c>
      <c r="B271" s="112" t="str">
        <f ca="1">IF($A271=0,"",OFFSET(PO!K$12,ROW(B271)-ROW(B$12),0))</f>
        <v>12.1.0.25.</v>
      </c>
      <c r="C271" s="109" t="str">
        <f ca="1">IF(OFFSET(PO!N$12,ROW(C271)-ROW(C$12),0)=0,"",OFFSET(PO!N$12,ROW(C271)-ROW(C$12),0))</f>
        <v>JOELHO 90 GRAUS, PVC, SOLDÁVEL, DN 20MM, INSTALADO EM RAMAL OU SUB-RAMAL DE ÁGUA - FORNECIMENTO E INSTALAÇÃO. AF_06/2022</v>
      </c>
      <c r="D271" s="111" t="str">
        <f ca="1">IF(OFFSET(PO!O$12,ROW(D271)-ROW(D$12),0)=0,"",OFFSET(PO!O$12,ROW(D271)-ROW(D$12),0))</f>
        <v>UN</v>
      </c>
      <c r="E271" s="140">
        <f ca="1">IF($A271&lt;&gt;"Serviço",0,ROUND(SUMIF($F$9:$P$9,"&lt;&gt;",$F271:$P271),15-13*PO!$X$3))</f>
        <v>4</v>
      </c>
      <c r="F271" s="361">
        <f ca="1">OFFSET(PO!$P$12,ROW($E271)-ROW(F$12),0)</f>
        <v>4</v>
      </c>
      <c r="G271" s="361"/>
      <c r="H271" s="361"/>
      <c r="I271" s="361"/>
      <c r="J271" s="361"/>
      <c r="K271" s="361"/>
      <c r="L271" s="361"/>
      <c r="M271" s="361"/>
      <c r="N271" s="361"/>
      <c r="O271" s="361"/>
      <c r="U271" s="182"/>
    </row>
    <row r="272" spans="1:21" s="1" customFormat="1" ht="39.6" x14ac:dyDescent="0.25">
      <c r="A272" s="110" t="str">
        <f ca="1">OFFSET(PO!J$12,ROW(A272)-ROW($A$12),0)</f>
        <v>Serviço</v>
      </c>
      <c r="B272" s="112" t="str">
        <f ca="1">IF($A272=0,"",OFFSET(PO!K$12,ROW(B272)-ROW(B$12),0))</f>
        <v>12.1.0.26.</v>
      </c>
      <c r="C272" s="109" t="str">
        <f ca="1">IF(OFFSET(PO!N$12,ROW(C272)-ROW(C$12),0)=0,"",OFFSET(PO!N$12,ROW(C272)-ROW(C$12),0))</f>
        <v>JOELHO 90 GRAUS, PVC, SOLDÁVEL, DN 20MM, INSTALADO EM RAMAL OU SUB-RAMAL DE ÁGUA - FORNECIMENTO E INSTALAÇÃO. AF_06/2022</v>
      </c>
      <c r="D272" s="111" t="str">
        <f ca="1">IF(OFFSET(PO!O$12,ROW(D272)-ROW(D$12),0)=0,"",OFFSET(PO!O$12,ROW(D272)-ROW(D$12),0))</f>
        <v>UN</v>
      </c>
      <c r="E272" s="140">
        <f ca="1">IF($A272&lt;&gt;"Serviço",0,ROUND(SUMIF($F$9:$P$9,"&lt;&gt;",$F272:$P272),15-13*PO!$X$3))</f>
        <v>4</v>
      </c>
      <c r="F272" s="361">
        <f ca="1">OFFSET(PO!$P$12,ROW($E272)-ROW(F$12),0)</f>
        <v>4</v>
      </c>
      <c r="G272" s="361"/>
      <c r="H272" s="361"/>
      <c r="I272" s="361"/>
      <c r="J272" s="361"/>
      <c r="K272" s="361"/>
      <c r="L272" s="361"/>
      <c r="M272" s="361"/>
      <c r="N272" s="361"/>
      <c r="O272" s="361"/>
      <c r="U272" s="182"/>
    </row>
    <row r="273" spans="1:21" s="1" customFormat="1" ht="39.6" x14ac:dyDescent="0.25">
      <c r="A273" s="110" t="str">
        <f ca="1">OFFSET(PO!J$12,ROW(A273)-ROW($A$12),0)</f>
        <v>Serviço</v>
      </c>
      <c r="B273" s="112" t="str">
        <f ca="1">IF($A273=0,"",OFFSET(PO!K$12,ROW(B273)-ROW(B$12),0))</f>
        <v>12.1.0.27.</v>
      </c>
      <c r="C273" s="109" t="str">
        <f ca="1">IF(OFFSET(PO!N$12,ROW(C273)-ROW(C$12),0)=0,"",OFFSET(PO!N$12,ROW(C273)-ROW(C$12),0))</f>
        <v>JOELHO 90 GRAUS, PVC, SOLDÁVEL, DN 50MM, INSTALADO EM PRUMADA DE ÁGUA - FORNECIMENTO E INSTALAÇÃO. AF_06/2022</v>
      </c>
      <c r="D273" s="111" t="str">
        <f ca="1">IF(OFFSET(PO!O$12,ROW(D273)-ROW(D$12),0)=0,"",OFFSET(PO!O$12,ROW(D273)-ROW(D$12),0))</f>
        <v>UN</v>
      </c>
      <c r="E273" s="140">
        <f ca="1">IF($A273&lt;&gt;"Serviço",0,ROUND(SUMIF($F$9:$P$9,"&lt;&gt;",$F273:$P273),15-13*PO!$X$3))</f>
        <v>28</v>
      </c>
      <c r="F273" s="361">
        <f ca="1">OFFSET(PO!$P$12,ROW($E273)-ROW(F$12),0)</f>
        <v>28</v>
      </c>
      <c r="G273" s="361"/>
      <c r="H273" s="361"/>
      <c r="I273" s="361"/>
      <c r="J273" s="361"/>
      <c r="K273" s="361"/>
      <c r="L273" s="361"/>
      <c r="M273" s="361"/>
      <c r="N273" s="361"/>
      <c r="O273" s="361"/>
      <c r="U273" s="182"/>
    </row>
    <row r="274" spans="1:21" s="1" customFormat="1" ht="39.6" x14ac:dyDescent="0.25">
      <c r="A274" s="110" t="str">
        <f ca="1">OFFSET(PO!J$12,ROW(A274)-ROW($A$12),0)</f>
        <v>Serviço</v>
      </c>
      <c r="B274" s="112" t="str">
        <f ca="1">IF($A274=0,"",OFFSET(PO!K$12,ROW(B274)-ROW(B$12),0))</f>
        <v>12.1.0.28.</v>
      </c>
      <c r="C274" s="109" t="str">
        <f ca="1">IF(OFFSET(PO!N$12,ROW(C274)-ROW(C$12),0)=0,"",OFFSET(PO!N$12,ROW(C274)-ROW(C$12),0))</f>
        <v>JOELHO 90 GRAUS, PVC, SOLDÁVEL, DN 60MM, INSTALADO EM PRUMADA DE ÁGUA - FORNECIMENTO E INSTALAÇÃO. AF_06/2022</v>
      </c>
      <c r="D274" s="111" t="str">
        <f ca="1">IF(OFFSET(PO!O$12,ROW(D274)-ROW(D$12),0)=0,"",OFFSET(PO!O$12,ROW(D274)-ROW(D$12),0))</f>
        <v>UN</v>
      </c>
      <c r="E274" s="140">
        <f ca="1">IF($A274&lt;&gt;"Serviço",0,ROUND(SUMIF($F$9:$P$9,"&lt;&gt;",$F274:$P274),15-13*PO!$X$3))</f>
        <v>4</v>
      </c>
      <c r="F274" s="361">
        <f ca="1">OFFSET(PO!$P$12,ROW($E274)-ROW(F$12),0)</f>
        <v>4</v>
      </c>
      <c r="G274" s="361"/>
      <c r="H274" s="361"/>
      <c r="I274" s="361"/>
      <c r="J274" s="361"/>
      <c r="K274" s="361"/>
      <c r="L274" s="361"/>
      <c r="M274" s="361"/>
      <c r="N274" s="361"/>
      <c r="O274" s="361"/>
      <c r="U274" s="182"/>
    </row>
    <row r="275" spans="1:21" s="1" customFormat="1" ht="39.6" x14ac:dyDescent="0.25">
      <c r="A275" s="110" t="str">
        <f ca="1">OFFSET(PO!J$12,ROW(A275)-ROW($A$12),0)</f>
        <v>Serviço</v>
      </c>
      <c r="B275" s="112" t="str">
        <f ca="1">IF($A275=0,"",OFFSET(PO!K$12,ROW(B275)-ROW(B$12),0))</f>
        <v>12.1.0.29.</v>
      </c>
      <c r="C275" s="109" t="str">
        <f ca="1">IF(OFFSET(PO!N$12,ROW(C275)-ROW(C$12),0)=0,"",OFFSET(PO!N$12,ROW(C275)-ROW(C$12),0))</f>
        <v>JOELHO 90 GRAUS, PVC, SOLDÁVEL, DN 75 MM INSTALADO EM RESERVAÇÃO PREDIAL DE ÁGUA - FORNECIMENTO E INSTALAÇÃO. AF_04/2024</v>
      </c>
      <c r="D275" s="111" t="str">
        <f ca="1">IF(OFFSET(PO!O$12,ROW(D275)-ROW(D$12),0)=0,"",OFFSET(PO!O$12,ROW(D275)-ROW(D$12),0))</f>
        <v>UN</v>
      </c>
      <c r="E275" s="140">
        <f ca="1">IF($A275&lt;&gt;"Serviço",0,ROUND(SUMIF($F$9:$P$9,"&lt;&gt;",$F275:$P275),15-13*PO!$X$3))</f>
        <v>26</v>
      </c>
      <c r="F275" s="361">
        <f ca="1">OFFSET(PO!$P$12,ROW($E275)-ROW(F$12),0)</f>
        <v>26</v>
      </c>
      <c r="G275" s="361"/>
      <c r="H275" s="361"/>
      <c r="I275" s="361"/>
      <c r="J275" s="361"/>
      <c r="K275" s="361"/>
      <c r="L275" s="361"/>
      <c r="M275" s="361"/>
      <c r="N275" s="361"/>
      <c r="O275" s="361"/>
      <c r="U275" s="182"/>
    </row>
    <row r="276" spans="1:21" s="1" customFormat="1" ht="39.6" x14ac:dyDescent="0.25">
      <c r="A276" s="110" t="str">
        <f ca="1">OFFSET(PO!J$12,ROW(A276)-ROW($A$12),0)</f>
        <v>Serviço</v>
      </c>
      <c r="B276" s="112" t="str">
        <f ca="1">IF($A276=0,"",OFFSET(PO!K$12,ROW(B276)-ROW(B$12),0))</f>
        <v>12.1.0.30.</v>
      </c>
      <c r="C276" s="109" t="str">
        <f ca="1">IF(OFFSET(PO!N$12,ROW(C276)-ROW(C$12),0)=0,"",OFFSET(PO!N$12,ROW(C276)-ROW(C$12),0))</f>
        <v>JOELHO 90 GRAUS, PVC, SOLDÁVEL, DN 85 MM INSTALADO EM RESERVAÇÃO PREDIAL DE ÁGUA - FORNECIMENTO E INSTALAÇÃO. AF_04/2024</v>
      </c>
      <c r="D276" s="111" t="str">
        <f ca="1">IF(OFFSET(PO!O$12,ROW(D276)-ROW(D$12),0)=0,"",OFFSET(PO!O$12,ROW(D276)-ROW(D$12),0))</f>
        <v>UN</v>
      </c>
      <c r="E276" s="140">
        <f ca="1">IF($A276&lt;&gt;"Serviço",0,ROUND(SUMIF($F$9:$P$9,"&lt;&gt;",$F276:$P276),15-13*PO!$X$3))</f>
        <v>6</v>
      </c>
      <c r="F276" s="361">
        <f ca="1">OFFSET(PO!$P$12,ROW($E276)-ROW(F$12),0)</f>
        <v>6</v>
      </c>
      <c r="G276" s="361"/>
      <c r="H276" s="361"/>
      <c r="I276" s="361"/>
      <c r="J276" s="361"/>
      <c r="K276" s="361"/>
      <c r="L276" s="361"/>
      <c r="M276" s="361"/>
      <c r="N276" s="361"/>
      <c r="O276" s="361"/>
      <c r="U276" s="182"/>
    </row>
    <row r="277" spans="1:21" s="1" customFormat="1" ht="39.6" x14ac:dyDescent="0.25">
      <c r="A277" s="110" t="str">
        <f ca="1">OFFSET(PO!J$12,ROW(A277)-ROW($A$12),0)</f>
        <v>Serviço</v>
      </c>
      <c r="B277" s="112" t="str">
        <f ca="1">IF($A277=0,"",OFFSET(PO!K$12,ROW(B277)-ROW(B$12),0))</f>
        <v>12.1.0.31.</v>
      </c>
      <c r="C277" s="109" t="str">
        <f ca="1">IF(OFFSET(PO!N$12,ROW(C277)-ROW(C$12),0)=0,"",OFFSET(PO!N$12,ROW(C277)-ROW(C$12),0))</f>
        <v>JOELHO 90 GRAUS COM BUCHA DE LATÃO, PVC, SOLDÁVEL, DN 25MM, X 1/2  INSTALADO EM RAMAL OU SUB-RAMAL DE ÁGUA - FORNECIMENTO E INSTALAÇÃO. AF_06/2022</v>
      </c>
      <c r="D277" s="111" t="str">
        <f ca="1">IF(OFFSET(PO!O$12,ROW(D277)-ROW(D$12),0)=0,"",OFFSET(PO!O$12,ROW(D277)-ROW(D$12),0))</f>
        <v>UN</v>
      </c>
      <c r="E277" s="140">
        <f ca="1">IF($A277&lt;&gt;"Serviço",0,ROUND(SUMIF($F$9:$P$9,"&lt;&gt;",$F277:$P277),15-13*PO!$X$3))</f>
        <v>47</v>
      </c>
      <c r="F277" s="361">
        <f ca="1">OFFSET(PO!$P$12,ROW($E277)-ROW(F$12),0)</f>
        <v>47</v>
      </c>
      <c r="G277" s="361"/>
      <c r="H277" s="361"/>
      <c r="I277" s="361"/>
      <c r="J277" s="361"/>
      <c r="K277" s="361"/>
      <c r="L277" s="361"/>
      <c r="M277" s="361"/>
      <c r="N277" s="361"/>
      <c r="O277" s="361"/>
      <c r="U277" s="182"/>
    </row>
    <row r="278" spans="1:21" s="1" customFormat="1" ht="39.6" x14ac:dyDescent="0.25">
      <c r="A278" s="110" t="str">
        <f ca="1">OFFSET(PO!J$12,ROW(A278)-ROW($A$12),0)</f>
        <v>Serviço</v>
      </c>
      <c r="B278" s="112" t="str">
        <f ca="1">IF($A278=0,"",OFFSET(PO!K$12,ROW(B278)-ROW(B$12),0))</f>
        <v>12.1.0.32.</v>
      </c>
      <c r="C278" s="109" t="str">
        <f ca="1">IF(OFFSET(PO!N$12,ROW(C278)-ROW(C$12),0)=0,"",OFFSET(PO!N$12,ROW(C278)-ROW(C$12),0))</f>
        <v>JOELHO 90 GRAUS COM BUCHA DE LATÃO, PVC, SOLDÁVEL, DN 25MM, X 1/2  INSTALADO EM RAMAL OU SUB-RAMAL DE ÁGUA - FORNECIMENTO E INSTALAÇÃO. AF_06/2022</v>
      </c>
      <c r="D278" s="111" t="str">
        <f ca="1">IF(OFFSET(PO!O$12,ROW(D278)-ROW(D$12),0)=0,"",OFFSET(PO!O$12,ROW(D278)-ROW(D$12),0))</f>
        <v>UN</v>
      </c>
      <c r="E278" s="140">
        <f ca="1">IF($A278&lt;&gt;"Serviço",0,ROUND(SUMIF($F$9:$P$9,"&lt;&gt;",$F278:$P278),15-13*PO!$X$3))</f>
        <v>12</v>
      </c>
      <c r="F278" s="361">
        <f ca="1">OFFSET(PO!$P$12,ROW($E278)-ROW(F$12),0)</f>
        <v>12</v>
      </c>
      <c r="G278" s="361"/>
      <c r="H278" s="361"/>
      <c r="I278" s="361"/>
      <c r="J278" s="361"/>
      <c r="K278" s="361"/>
      <c r="L278" s="361"/>
      <c r="M278" s="361"/>
      <c r="N278" s="361"/>
      <c r="O278" s="361"/>
      <c r="U278" s="182"/>
    </row>
    <row r="279" spans="1:21" s="1" customFormat="1" ht="26.4" x14ac:dyDescent="0.25">
      <c r="A279" s="110" t="str">
        <f ca="1">OFFSET(PO!J$12,ROW(A279)-ROW($A$12),0)</f>
        <v>Serviço</v>
      </c>
      <c r="B279" s="112" t="str">
        <f ca="1">IF($A279=0,"",OFFSET(PO!K$12,ROW(B279)-ROW(B$12),0))</f>
        <v>12.1.0.33.</v>
      </c>
      <c r="C279" s="109" t="str">
        <f ca="1">IF(OFFSET(PO!N$12,ROW(C279)-ROW(C$12),0)=0,"",OFFSET(PO!N$12,ROW(C279)-ROW(C$12),0))</f>
        <v>TE, PVC, SOLDÁVEL, DN 25MM, INSTALADO EM RAMAL OU SUB-RAMAL DE ÁGUA - FORNECIMENTO E INSTALAÇÃO. AF_06/2022</v>
      </c>
      <c r="D279" s="111" t="str">
        <f ca="1">IF(OFFSET(PO!O$12,ROW(D279)-ROW(D$12),0)=0,"",OFFSET(PO!O$12,ROW(D279)-ROW(D$12),0))</f>
        <v>UN</v>
      </c>
      <c r="E279" s="140">
        <f ca="1">IF($A279&lt;&gt;"Serviço",0,ROUND(SUMIF($F$9:$P$9,"&lt;&gt;",$F279:$P279),15-13*PO!$X$3))</f>
        <v>17</v>
      </c>
      <c r="F279" s="361">
        <f ca="1">OFFSET(PO!$P$12,ROW($E279)-ROW(F$12),0)</f>
        <v>17</v>
      </c>
      <c r="G279" s="361"/>
      <c r="H279" s="361"/>
      <c r="I279" s="361"/>
      <c r="J279" s="361"/>
      <c r="K279" s="361"/>
      <c r="L279" s="361"/>
      <c r="M279" s="361"/>
      <c r="N279" s="361"/>
      <c r="O279" s="361"/>
      <c r="U279" s="182"/>
    </row>
    <row r="280" spans="1:21" s="1" customFormat="1" ht="26.4" x14ac:dyDescent="0.25">
      <c r="A280" s="110" t="str">
        <f ca="1">OFFSET(PO!J$12,ROW(A280)-ROW($A$12),0)</f>
        <v>Serviço</v>
      </c>
      <c r="B280" s="112" t="str">
        <f ca="1">IF($A280=0,"",OFFSET(PO!K$12,ROW(B280)-ROW(B$12),0))</f>
        <v>12.1.0.34.</v>
      </c>
      <c r="C280" s="109" t="str">
        <f ca="1">IF(OFFSET(PO!N$12,ROW(C280)-ROW(C$12),0)=0,"",OFFSET(PO!N$12,ROW(C280)-ROW(C$12),0))</f>
        <v>TE, PVC, SOLDÁVEL, DN 50MM, INSTALADO EM PRUMADA DE ÁGUA - FORNECIMENTO E INSTALAÇÃO. AF_06/2022</v>
      </c>
      <c r="D280" s="111" t="str">
        <f ca="1">IF(OFFSET(PO!O$12,ROW(D280)-ROW(D$12),0)=0,"",OFFSET(PO!O$12,ROW(D280)-ROW(D$12),0))</f>
        <v>UN</v>
      </c>
      <c r="E280" s="140">
        <f ca="1">IF($A280&lt;&gt;"Serviço",0,ROUND(SUMIF($F$9:$P$9,"&lt;&gt;",$F280:$P280),15-13*PO!$X$3))</f>
        <v>14</v>
      </c>
      <c r="F280" s="361">
        <f ca="1">OFFSET(PO!$P$12,ROW($E280)-ROW(F$12),0)</f>
        <v>14</v>
      </c>
      <c r="G280" s="361"/>
      <c r="H280" s="361"/>
      <c r="I280" s="361"/>
      <c r="J280" s="361"/>
      <c r="K280" s="361"/>
      <c r="L280" s="361"/>
      <c r="M280" s="361"/>
      <c r="N280" s="361"/>
      <c r="O280" s="361"/>
      <c r="U280" s="182"/>
    </row>
    <row r="281" spans="1:21" s="1" customFormat="1" ht="26.4" x14ac:dyDescent="0.25">
      <c r="A281" s="110" t="str">
        <f ca="1">OFFSET(PO!J$12,ROW(A281)-ROW($A$12),0)</f>
        <v>Serviço</v>
      </c>
      <c r="B281" s="112" t="str">
        <f ca="1">IF($A281=0,"",OFFSET(PO!K$12,ROW(B281)-ROW(B$12),0))</f>
        <v>12.1.0.35.</v>
      </c>
      <c r="C281" s="109" t="str">
        <f ca="1">IF(OFFSET(PO!N$12,ROW(C281)-ROW(C$12),0)=0,"",OFFSET(PO!N$12,ROW(C281)-ROW(C$12),0))</f>
        <v>TE, PVC, SOLDÁVEL, DN 75MM, INSTALADO EM PRUMADA DE ÁGUA - FORNECIMENTO E INSTALAÇÃO. AF_06/2022</v>
      </c>
      <c r="D281" s="111" t="str">
        <f ca="1">IF(OFFSET(PO!O$12,ROW(D281)-ROW(D$12),0)=0,"",OFFSET(PO!O$12,ROW(D281)-ROW(D$12),0))</f>
        <v>UN</v>
      </c>
      <c r="E281" s="140">
        <f ca="1">IF($A281&lt;&gt;"Serviço",0,ROUND(SUMIF($F$9:$P$9,"&lt;&gt;",$F281:$P281),15-13*PO!$X$3))</f>
        <v>7</v>
      </c>
      <c r="F281" s="361">
        <f ca="1">OFFSET(PO!$P$12,ROW($E281)-ROW(F$12),0)</f>
        <v>7</v>
      </c>
      <c r="G281" s="361"/>
      <c r="H281" s="361"/>
      <c r="I281" s="361"/>
      <c r="J281" s="361"/>
      <c r="K281" s="361"/>
      <c r="L281" s="361"/>
      <c r="M281" s="361"/>
      <c r="N281" s="361"/>
      <c r="O281" s="361"/>
      <c r="U281" s="182"/>
    </row>
    <row r="282" spans="1:21" s="1" customFormat="1" ht="26.4" x14ac:dyDescent="0.25">
      <c r="A282" s="110" t="str">
        <f ca="1">OFFSET(PO!J$12,ROW(A282)-ROW($A$12),0)</f>
        <v>Serviço</v>
      </c>
      <c r="B282" s="112" t="str">
        <f ca="1">IF($A282=0,"",OFFSET(PO!K$12,ROW(B282)-ROW(B$12),0))</f>
        <v>12.1.0.36.</v>
      </c>
      <c r="C282" s="109" t="str">
        <f ca="1">IF(OFFSET(PO!N$12,ROW(C282)-ROW(C$12),0)=0,"",OFFSET(PO!N$12,ROW(C282)-ROW(C$12),0))</f>
        <v>TE, PVC, SOLDÁVEL, DN 85MM, INSTALADO EM PRUMADA DE ÁGUA - FORNECIMENTO E INSTALAÇÃO. AF_06/2022</v>
      </c>
      <c r="D282" s="111" t="str">
        <f ca="1">IF(OFFSET(PO!O$12,ROW(D282)-ROW(D$12),0)=0,"",OFFSET(PO!O$12,ROW(D282)-ROW(D$12),0))</f>
        <v>UN</v>
      </c>
      <c r="E282" s="140">
        <f ca="1">IF($A282&lt;&gt;"Serviço",0,ROUND(SUMIF($F$9:$P$9,"&lt;&gt;",$F282:$P282),15-13*PO!$X$3))</f>
        <v>4</v>
      </c>
      <c r="F282" s="361">
        <f ca="1">OFFSET(PO!$P$12,ROW($E282)-ROW(F$12),0)</f>
        <v>4</v>
      </c>
      <c r="G282" s="361"/>
      <c r="H282" s="361"/>
      <c r="I282" s="361"/>
      <c r="J282" s="361"/>
      <c r="K282" s="361"/>
      <c r="L282" s="361"/>
      <c r="M282" s="361"/>
      <c r="N282" s="361"/>
      <c r="O282" s="361"/>
      <c r="U282" s="182"/>
    </row>
    <row r="283" spans="1:21" s="1" customFormat="1" ht="39.6" x14ac:dyDescent="0.25">
      <c r="A283" s="110" t="str">
        <f ca="1">OFFSET(PO!J$12,ROW(A283)-ROW($A$12),0)</f>
        <v>Serviço</v>
      </c>
      <c r="B283" s="112" t="str">
        <f ca="1">IF($A283=0,"",OFFSET(PO!K$12,ROW(B283)-ROW(B$12),0))</f>
        <v>12.1.0.37.</v>
      </c>
      <c r="C283" s="109" t="str">
        <f ca="1">IF(OFFSET(PO!N$12,ROW(C283)-ROW(C$12),0)=0,"",OFFSET(PO!N$12,ROW(C283)-ROW(C$12),0))</f>
        <v>TÊ DE REDUÇÃO, PVC, SOLDÁVEL, DN 50MM X 25MM, INSTALADO EM PRUMADA DE ÁGUA - FORNECIMENTO E INSTALAÇÃO. AF_06/2022</v>
      </c>
      <c r="D283" s="111" t="str">
        <f ca="1">IF(OFFSET(PO!O$12,ROW(D283)-ROW(D$12),0)=0,"",OFFSET(PO!O$12,ROW(D283)-ROW(D$12),0))</f>
        <v>UN</v>
      </c>
      <c r="E283" s="140">
        <f ca="1">IF($A283&lt;&gt;"Serviço",0,ROUND(SUMIF($F$9:$P$9,"&lt;&gt;",$F283:$P283),15-13*PO!$X$3))</f>
        <v>10</v>
      </c>
      <c r="F283" s="361">
        <f ca="1">OFFSET(PO!$P$12,ROW($E283)-ROW(F$12),0)</f>
        <v>10</v>
      </c>
      <c r="G283" s="361"/>
      <c r="H283" s="361"/>
      <c r="I283" s="361"/>
      <c r="J283" s="361"/>
      <c r="K283" s="361"/>
      <c r="L283" s="361"/>
      <c r="M283" s="361"/>
      <c r="N283" s="361"/>
      <c r="O283" s="361"/>
      <c r="U283" s="182"/>
    </row>
    <row r="284" spans="1:21" s="1" customFormat="1" ht="39.6" x14ac:dyDescent="0.25">
      <c r="A284" s="110" t="str">
        <f ca="1">OFFSET(PO!J$12,ROW(A284)-ROW($A$12),0)</f>
        <v>Serviço</v>
      </c>
      <c r="B284" s="112" t="str">
        <f ca="1">IF($A284=0,"",OFFSET(PO!K$12,ROW(B284)-ROW(B$12),0))</f>
        <v>12.1.0.38.</v>
      </c>
      <c r="C284" s="109" t="str">
        <f ca="1">IF(OFFSET(PO!N$12,ROW(C284)-ROW(C$12),0)=0,"",OFFSET(PO!N$12,ROW(C284)-ROW(C$12),0))</f>
        <v>TE DE REDUÇÃO, PVC, SOLDÁVEL, DN 75MM X 50MM, INSTALADO EM PRUMADA DE ÁGUA - FORNECIMENTO E INSTALAÇÃO. AF_06/2022</v>
      </c>
      <c r="D284" s="111" t="str">
        <f ca="1">IF(OFFSET(PO!O$12,ROW(D284)-ROW(D$12),0)=0,"",OFFSET(PO!O$12,ROW(D284)-ROW(D$12),0))</f>
        <v>UN</v>
      </c>
      <c r="E284" s="140">
        <f ca="1">IF($A284&lt;&gt;"Serviço",0,ROUND(SUMIF($F$9:$P$9,"&lt;&gt;",$F284:$P284),15-13*PO!$X$3))</f>
        <v>2</v>
      </c>
      <c r="F284" s="361">
        <f ca="1">OFFSET(PO!$P$12,ROW($E284)-ROW(F$12),0)</f>
        <v>2</v>
      </c>
      <c r="G284" s="361"/>
      <c r="H284" s="361"/>
      <c r="I284" s="361"/>
      <c r="J284" s="361"/>
      <c r="K284" s="361"/>
      <c r="L284" s="361"/>
      <c r="M284" s="361"/>
      <c r="N284" s="361"/>
      <c r="O284" s="361"/>
      <c r="U284" s="182"/>
    </row>
    <row r="285" spans="1:21" s="1" customFormat="1" ht="39.6" x14ac:dyDescent="0.25">
      <c r="A285" s="110" t="str">
        <f ca="1">OFFSET(PO!J$12,ROW(A285)-ROW($A$12),0)</f>
        <v>Serviço</v>
      </c>
      <c r="B285" s="112" t="str">
        <f ca="1">IF($A285=0,"",OFFSET(PO!K$12,ROW(B285)-ROW(B$12),0))</f>
        <v>12.1.0.39.</v>
      </c>
      <c r="C285" s="109" t="str">
        <f ca="1">IF(OFFSET(PO!N$12,ROW(C285)-ROW(C$12),0)=0,"",OFFSET(PO!N$12,ROW(C285)-ROW(C$12),0))</f>
        <v>TE DE REDUÇÃO, PVC, SOLDÁVEL, DN 75MM X 50MM, INSTALADO EM PRUMADA DE ÁGUA - FORNECIMENTO E INSTALAÇÃO. AF_06/2022</v>
      </c>
      <c r="D285" s="111" t="str">
        <f ca="1">IF(OFFSET(PO!O$12,ROW(D285)-ROW(D$12),0)=0,"",OFFSET(PO!O$12,ROW(D285)-ROW(D$12),0))</f>
        <v>UN</v>
      </c>
      <c r="E285" s="140">
        <f ca="1">IF($A285&lt;&gt;"Serviço",0,ROUND(SUMIF($F$9:$P$9,"&lt;&gt;",$F285:$P285),15-13*PO!$X$3))</f>
        <v>13</v>
      </c>
      <c r="F285" s="361">
        <f ca="1">OFFSET(PO!$P$12,ROW($E285)-ROW(F$12),0)</f>
        <v>13</v>
      </c>
      <c r="G285" s="361"/>
      <c r="H285" s="361"/>
      <c r="I285" s="361"/>
      <c r="J285" s="361"/>
      <c r="K285" s="361"/>
      <c r="L285" s="361"/>
      <c r="M285" s="361"/>
      <c r="N285" s="361"/>
      <c r="O285" s="361"/>
      <c r="U285" s="182"/>
    </row>
    <row r="286" spans="1:21" s="1" customFormat="1" ht="39.6" x14ac:dyDescent="0.25">
      <c r="A286" s="110" t="str">
        <f ca="1">OFFSET(PO!J$12,ROW(A286)-ROW($A$12),0)</f>
        <v>Serviço</v>
      </c>
      <c r="B286" s="112" t="str">
        <f ca="1">IF($A286=0,"",OFFSET(PO!K$12,ROW(B286)-ROW(B$12),0))</f>
        <v>12.1.0.40.</v>
      </c>
      <c r="C286" s="109" t="str">
        <f ca="1">IF(OFFSET(PO!N$12,ROW(C286)-ROW(C$12),0)=0,"",OFFSET(PO!N$12,ROW(C286)-ROW(C$12),0))</f>
        <v>TÊ DE REDUÇÃO, PVC, SOLDÁVEL, DN 75MM X 60 MM, INSTALADO EM PRUMADA DE ÁGUA - FORNECIMENTO E INSTALAÇÃO. (UN)</v>
      </c>
      <c r="D286" s="111" t="str">
        <f ca="1">IF(OFFSET(PO!O$12,ROW(D286)-ROW(D$12),0)=0,"",OFFSET(PO!O$12,ROW(D286)-ROW(D$12),0))</f>
        <v>U N</v>
      </c>
      <c r="E286" s="140">
        <f ca="1">IF($A286&lt;&gt;"Serviço",0,ROUND(SUMIF($F$9:$P$9,"&lt;&gt;",$F286:$P286),15-13*PO!$X$3))</f>
        <v>3</v>
      </c>
      <c r="F286" s="361">
        <f ca="1">OFFSET(PO!$P$12,ROW($E286)-ROW(F$12),0)</f>
        <v>3</v>
      </c>
      <c r="G286" s="361"/>
      <c r="H286" s="361"/>
      <c r="I286" s="361"/>
      <c r="J286" s="361"/>
      <c r="K286" s="361"/>
      <c r="L286" s="361"/>
      <c r="M286" s="361"/>
      <c r="N286" s="361"/>
      <c r="O286" s="361"/>
      <c r="U286" s="182"/>
    </row>
    <row r="287" spans="1:21" s="1" customFormat="1" ht="39.6" x14ac:dyDescent="0.25">
      <c r="A287" s="110" t="str">
        <f ca="1">OFFSET(PO!J$12,ROW(A287)-ROW($A$12),0)</f>
        <v>Serviço</v>
      </c>
      <c r="B287" s="112" t="str">
        <f ca="1">IF($A287=0,"",OFFSET(PO!K$12,ROW(B287)-ROW(B$12),0))</f>
        <v>12.1.0.41.</v>
      </c>
      <c r="C287" s="109" t="str">
        <f ca="1">IF(OFFSET(PO!N$12,ROW(C287)-ROW(C$12),0)=0,"",OFFSET(PO!N$12,ROW(C287)-ROW(C$12),0))</f>
        <v>TÊ COM BUCHA DE LATÃO NA BOLSA CENTRAL, PVC, SOLDÁVEL, DN 25MM X 3/4 , INSTALADO EM RAMAL OU SUB-RAMAL DE ÁGUA - FORNECIMENTO E INSTALAÇÃO. AF_06/2022</v>
      </c>
      <c r="D287" s="111" t="str">
        <f ca="1">IF(OFFSET(PO!O$12,ROW(D287)-ROW(D$12),0)=0,"",OFFSET(PO!O$12,ROW(D287)-ROW(D$12),0))</f>
        <v>UN</v>
      </c>
      <c r="E287" s="140">
        <f ca="1">IF($A287&lt;&gt;"Serviço",0,ROUND(SUMIF($F$9:$P$9,"&lt;&gt;",$F287:$P287),15-13*PO!$X$3))</f>
        <v>8</v>
      </c>
      <c r="F287" s="361">
        <f ca="1">OFFSET(PO!$P$12,ROW($E287)-ROW(F$12),0)</f>
        <v>8</v>
      </c>
      <c r="G287" s="361"/>
      <c r="H287" s="361"/>
      <c r="I287" s="361"/>
      <c r="J287" s="361"/>
      <c r="K287" s="361"/>
      <c r="L287" s="361"/>
      <c r="M287" s="361"/>
      <c r="N287" s="361"/>
      <c r="O287" s="361"/>
      <c r="U287" s="182"/>
    </row>
    <row r="288" spans="1:21" s="1" customFormat="1" ht="39.6" x14ac:dyDescent="0.25">
      <c r="A288" s="110" t="str">
        <f ca="1">OFFSET(PO!J$12,ROW(A288)-ROW($A$12),0)</f>
        <v>Serviço</v>
      </c>
      <c r="B288" s="112" t="str">
        <f ca="1">IF($A288=0,"",OFFSET(PO!K$12,ROW(B288)-ROW(B$12),0))</f>
        <v>12.1.0.42.</v>
      </c>
      <c r="C288" s="109" t="str">
        <f ca="1">IF(OFFSET(PO!N$12,ROW(C288)-ROW(C$12),0)=0,"",OFFSET(PO!N$12,ROW(C288)-ROW(C$12),0))</f>
        <v>TÊ COM BUCHA DE LATÃO NA BOLSA CENTRAL, PVC, SOLDÁVEL, DN 25MM X 1/2 , INSTALADO EM RAMAL OU SUB-RAMAL DE ÁGUA - FORNECIMENTO E INSTALAÇÃO. AF_06/2022</v>
      </c>
      <c r="D288" s="111" t="str">
        <f ca="1">IF(OFFSET(PO!O$12,ROW(D288)-ROW(D$12),0)=0,"",OFFSET(PO!O$12,ROW(D288)-ROW(D$12),0))</f>
        <v>UN</v>
      </c>
      <c r="E288" s="140">
        <f ca="1">IF($A288&lt;&gt;"Serviço",0,ROUND(SUMIF($F$9:$P$9,"&lt;&gt;",$F288:$P288),15-13*PO!$X$3))</f>
        <v>9</v>
      </c>
      <c r="F288" s="361">
        <f ca="1">OFFSET(PO!$P$12,ROW($E288)-ROW(F$12),0)</f>
        <v>9</v>
      </c>
      <c r="G288" s="361"/>
      <c r="H288" s="361"/>
      <c r="I288" s="361"/>
      <c r="J288" s="361"/>
      <c r="K288" s="361"/>
      <c r="L288" s="361"/>
      <c r="M288" s="361"/>
      <c r="N288" s="361"/>
      <c r="O288" s="361"/>
      <c r="U288" s="182"/>
    </row>
    <row r="289" spans="1:21" s="1" customFormat="1" x14ac:dyDescent="0.25">
      <c r="A289" s="110" t="str">
        <f ca="1">OFFSET(PO!J$12,ROW(A289)-ROW($A$12),0)</f>
        <v>Nível 2</v>
      </c>
      <c r="B289" s="112" t="str">
        <f ca="1">IF($A289=0,"",OFFSET(PO!K$12,ROW(B289)-ROW(B$12),0))</f>
        <v>12.2.</v>
      </c>
      <c r="C289" s="109" t="str">
        <f ca="1">IF(OFFSET(PO!N$12,ROW(C289)-ROW(C$12),0)=0,"",OFFSET(PO!N$12,ROW(C289)-ROW(C$12),0))</f>
        <v>TUBULAÇÕES E CONEXÕES METAIS</v>
      </c>
      <c r="D289" s="111" t="str">
        <f ca="1">IF(OFFSET(PO!O$12,ROW(D289)-ROW(D$12),0)=0,"",OFFSET(PO!O$12,ROW(D289)-ROW(D$12),0))</f>
        <v/>
      </c>
      <c r="E289" s="140">
        <f ca="1">IF($A289&lt;&gt;"Serviço",0,ROUND(SUMIF($F$9:$P$9,"&lt;&gt;",$F289:$P289),15-13*PO!$X$3))</f>
        <v>0</v>
      </c>
      <c r="F289" s="361">
        <f ca="1">OFFSET(PO!$P$12,ROW($E289)-ROW(F$12),0)</f>
        <v>0</v>
      </c>
      <c r="G289" s="361"/>
      <c r="H289" s="361"/>
      <c r="I289" s="361"/>
      <c r="J289" s="361"/>
      <c r="K289" s="361"/>
      <c r="L289" s="361"/>
      <c r="M289" s="361"/>
      <c r="N289" s="361"/>
      <c r="O289" s="361"/>
      <c r="U289" s="182"/>
    </row>
    <row r="290" spans="1:21" s="1" customFormat="1" ht="26.4" x14ac:dyDescent="0.25">
      <c r="A290" s="110" t="str">
        <f ca="1">OFFSET(PO!J$12,ROW(A290)-ROW($A$12),0)</f>
        <v>Serviço</v>
      </c>
      <c r="B290" s="112" t="str">
        <f ca="1">IF($A290=0,"",OFFSET(PO!K$12,ROW(B290)-ROW(B$12),0))</f>
        <v>12.2.0.1.</v>
      </c>
      <c r="C290" s="109" t="str">
        <f ca="1">IF(OFFSET(PO!N$12,ROW(C290)-ROW(C$12),0)=0,"",OFFSET(PO!N$12,ROW(C290)-ROW(C$12),0))</f>
        <v>REGISTRO DE GAVETA BRUTO, LATÃO, ROSCÁVEL, 2 1/2" - FORNECIMENTO E INSTALAÇÃO. AF_08/2021</v>
      </c>
      <c r="D290" s="111" t="str">
        <f ca="1">IF(OFFSET(PO!O$12,ROW(D290)-ROW(D$12),0)=0,"",OFFSET(PO!O$12,ROW(D290)-ROW(D$12),0))</f>
        <v>UN</v>
      </c>
      <c r="E290" s="140">
        <f ca="1">IF($A290&lt;&gt;"Serviço",0,ROUND(SUMIF($F$9:$P$9,"&lt;&gt;",$F290:$P290),15-13*PO!$X$3))</f>
        <v>3</v>
      </c>
      <c r="F290" s="361">
        <f ca="1">OFFSET(PO!$P$12,ROW($E290)-ROW(F$12),0)</f>
        <v>3</v>
      </c>
      <c r="G290" s="361"/>
      <c r="H290" s="361"/>
      <c r="I290" s="361"/>
      <c r="J290" s="361"/>
      <c r="K290" s="361"/>
      <c r="L290" s="361"/>
      <c r="M290" s="361"/>
      <c r="N290" s="361"/>
      <c r="O290" s="361"/>
      <c r="U290" s="182"/>
    </row>
    <row r="291" spans="1:21" s="1" customFormat="1" ht="26.4" x14ac:dyDescent="0.25">
      <c r="A291" s="110" t="str">
        <f ca="1">OFFSET(PO!J$12,ROW(A291)-ROW($A$12),0)</f>
        <v>Serviço</v>
      </c>
      <c r="B291" s="112" t="str">
        <f ca="1">IF($A291=0,"",OFFSET(PO!K$12,ROW(B291)-ROW(B$12),0))</f>
        <v>12.2.0.2.</v>
      </c>
      <c r="C291" s="109" t="str">
        <f ca="1">IF(OFFSET(PO!N$12,ROW(C291)-ROW(C$12),0)=0,"",OFFSET(PO!N$12,ROW(C291)-ROW(C$12),0))</f>
        <v>REGISTRO DE GAVETA BRUTO, LATÃO, ROSCÁVEL, 3" - FORNECIMENTO E INSTALAÇÃO. AF_08/2021</v>
      </c>
      <c r="D291" s="111" t="str">
        <f ca="1">IF(OFFSET(PO!O$12,ROW(D291)-ROW(D$12),0)=0,"",OFFSET(PO!O$12,ROW(D291)-ROW(D$12),0))</f>
        <v>UN</v>
      </c>
      <c r="E291" s="140">
        <f ca="1">IF($A291&lt;&gt;"Serviço",0,ROUND(SUMIF($F$9:$P$9,"&lt;&gt;",$F291:$P291),15-13*PO!$X$3))</f>
        <v>1</v>
      </c>
      <c r="F291" s="361">
        <f ca="1">OFFSET(PO!$P$12,ROW($E291)-ROW(F$12),0)</f>
        <v>1</v>
      </c>
      <c r="G291" s="361"/>
      <c r="H291" s="361"/>
      <c r="I291" s="361"/>
      <c r="J291" s="361"/>
      <c r="K291" s="361"/>
      <c r="L291" s="361"/>
      <c r="M291" s="361"/>
      <c r="N291" s="361"/>
      <c r="O291" s="361"/>
      <c r="U291" s="182"/>
    </row>
    <row r="292" spans="1:21" s="1" customFormat="1" ht="39.6" x14ac:dyDescent="0.25">
      <c r="A292" s="110" t="str">
        <f ca="1">OFFSET(PO!J$12,ROW(A292)-ROW($A$12),0)</f>
        <v>Serviço</v>
      </c>
      <c r="B292" s="112" t="str">
        <f ca="1">IF($A292=0,"",OFFSET(PO!K$12,ROW(B292)-ROW(B$12),0))</f>
        <v>12.2.0.3.</v>
      </c>
      <c r="C292" s="109" t="str">
        <f ca="1">IF(OFFSET(PO!N$12,ROW(C292)-ROW(C$12),0)=0,"",OFFSET(PO!N$12,ROW(C292)-ROW(C$12),0))</f>
        <v>REGISTRO DE GAVETA BRUTO, LATÃO, ROSCÁVEL, 1/2", COM ACABAMENTO E CANOPLA CROMADOS - FORNECIMENTO E INSTALAÇÃO. AF_08/2021</v>
      </c>
      <c r="D292" s="111" t="str">
        <f ca="1">IF(OFFSET(PO!O$12,ROW(D292)-ROW(D$12),0)=0,"",OFFSET(PO!O$12,ROW(D292)-ROW(D$12),0))</f>
        <v>UN</v>
      </c>
      <c r="E292" s="140">
        <f ca="1">IF($A292&lt;&gt;"Serviço",0,ROUND(SUMIF($F$9:$P$9,"&lt;&gt;",$F292:$P292),15-13*PO!$X$3))</f>
        <v>2</v>
      </c>
      <c r="F292" s="361">
        <f ca="1">OFFSET(PO!$P$12,ROW($E292)-ROW(F$12),0)</f>
        <v>2</v>
      </c>
      <c r="G292" s="361"/>
      <c r="H292" s="361"/>
      <c r="I292" s="361"/>
      <c r="J292" s="361"/>
      <c r="K292" s="361"/>
      <c r="L292" s="361"/>
      <c r="M292" s="361"/>
      <c r="N292" s="361"/>
      <c r="O292" s="361"/>
      <c r="U292" s="182"/>
    </row>
    <row r="293" spans="1:21" s="1" customFormat="1" ht="39.6" x14ac:dyDescent="0.25">
      <c r="A293" s="110" t="str">
        <f ca="1">OFFSET(PO!J$12,ROW(A293)-ROW($A$12),0)</f>
        <v>Serviço</v>
      </c>
      <c r="B293" s="112" t="str">
        <f ca="1">IF($A293=0,"",OFFSET(PO!K$12,ROW(B293)-ROW(B$12),0))</f>
        <v>12.2.0.4.</v>
      </c>
      <c r="C293" s="109" t="str">
        <f ca="1">IF(OFFSET(PO!N$12,ROW(C293)-ROW(C$12),0)=0,"",OFFSET(PO!N$12,ROW(C293)-ROW(C$12),0))</f>
        <v>REGISTRO DE GAVETA BRUTO, LATÃO, ROSCÁVEL, 1 1/2", COM ACABAMENTO E CANOPLA CROMADOS - FORNECIMENTO E INSTALAÇÃO. AF_08/2021</v>
      </c>
      <c r="D293" s="111" t="str">
        <f ca="1">IF(OFFSET(PO!O$12,ROW(D293)-ROW(D$12),0)=0,"",OFFSET(PO!O$12,ROW(D293)-ROW(D$12),0))</f>
        <v>UN</v>
      </c>
      <c r="E293" s="140">
        <f ca="1">IF($A293&lt;&gt;"Serviço",0,ROUND(SUMIF($F$9:$P$9,"&lt;&gt;",$F293:$P293),15-13*PO!$X$3))</f>
        <v>8</v>
      </c>
      <c r="F293" s="361">
        <f ca="1">OFFSET(PO!$P$12,ROW($E293)-ROW(F$12),0)</f>
        <v>8</v>
      </c>
      <c r="G293" s="361"/>
      <c r="H293" s="361"/>
      <c r="I293" s="361"/>
      <c r="J293" s="361"/>
      <c r="K293" s="361"/>
      <c r="L293" s="361"/>
      <c r="M293" s="361"/>
      <c r="N293" s="361"/>
      <c r="O293" s="361"/>
      <c r="U293" s="182"/>
    </row>
    <row r="294" spans="1:21" s="1" customFormat="1" ht="39.6" x14ac:dyDescent="0.25">
      <c r="A294" s="110" t="str">
        <f ca="1">OFFSET(PO!J$12,ROW(A294)-ROW($A$12),0)</f>
        <v>Serviço</v>
      </c>
      <c r="B294" s="112" t="str">
        <f ca="1">IF($A294=0,"",OFFSET(PO!K$12,ROW(B294)-ROW(B$12),0))</f>
        <v>12.2.0.5.</v>
      </c>
      <c r="C294" s="109" t="str">
        <f ca="1">IF(OFFSET(PO!N$12,ROW(C294)-ROW(C$12),0)=0,"",OFFSET(PO!N$12,ROW(C294)-ROW(C$12),0))</f>
        <v>REGISTRO DE GAVETA BRUTO, LATÃO, ROSCÁVEL, 3/4", COM ACABAMENTO E CANOPLA CROMADOS - FORNECIMENTO E INSTALAÇÃO. AF_08/2021</v>
      </c>
      <c r="D294" s="111" t="str">
        <f ca="1">IF(OFFSET(PO!O$12,ROW(D294)-ROW(D$12),0)=0,"",OFFSET(PO!O$12,ROW(D294)-ROW(D$12),0))</f>
        <v>UN</v>
      </c>
      <c r="E294" s="140">
        <f ca="1">IF($A294&lt;&gt;"Serviço",0,ROUND(SUMIF($F$9:$P$9,"&lt;&gt;",$F294:$P294),15-13*PO!$X$3))</f>
        <v>30</v>
      </c>
      <c r="F294" s="361">
        <f ca="1">OFFSET(PO!$P$12,ROW($E294)-ROW(F$12),0)</f>
        <v>30</v>
      </c>
      <c r="G294" s="361"/>
      <c r="H294" s="361"/>
      <c r="I294" s="361"/>
      <c r="J294" s="361"/>
      <c r="K294" s="361"/>
      <c r="L294" s="361"/>
      <c r="M294" s="361"/>
      <c r="N294" s="361"/>
      <c r="O294" s="361"/>
      <c r="U294" s="182"/>
    </row>
    <row r="295" spans="1:21" s="1" customFormat="1" ht="39.6" x14ac:dyDescent="0.25">
      <c r="A295" s="110" t="str">
        <f ca="1">OFFSET(PO!J$12,ROW(A295)-ROW($A$12),0)</f>
        <v>Serviço</v>
      </c>
      <c r="B295" s="112" t="str">
        <f ca="1">IF($A295=0,"",OFFSET(PO!K$12,ROW(B295)-ROW(B$12),0))</f>
        <v>12.2.0.6.</v>
      </c>
      <c r="C295" s="109" t="str">
        <f ca="1">IF(OFFSET(PO!N$12,ROW(C295)-ROW(C$12),0)=0,"",OFFSET(PO!N$12,ROW(C295)-ROW(C$12),0))</f>
        <v>REGISTRO DE PRESSÃO BRUTO, LATÃO, ROSCÁVEL, 3/4", COM ACABAMENTO E CANOPLA CROMADOS - FORNECIMENTO E INSTALAÇÃO. AF_08/2021</v>
      </c>
      <c r="D295" s="111" t="str">
        <f ca="1">IF(OFFSET(PO!O$12,ROW(D295)-ROW(D$12),0)=0,"",OFFSET(PO!O$12,ROW(D295)-ROW(D$12),0))</f>
        <v>UN</v>
      </c>
      <c r="E295" s="140">
        <f ca="1">IF($A295&lt;&gt;"Serviço",0,ROUND(SUMIF($F$9:$P$9,"&lt;&gt;",$F295:$P295),15-13*PO!$X$3))</f>
        <v>6</v>
      </c>
      <c r="F295" s="361">
        <f ca="1">OFFSET(PO!$P$12,ROW($E295)-ROW(F$12),0)</f>
        <v>6</v>
      </c>
      <c r="G295" s="361"/>
      <c r="H295" s="361"/>
      <c r="I295" s="361"/>
      <c r="J295" s="361"/>
      <c r="K295" s="361"/>
      <c r="L295" s="361"/>
      <c r="M295" s="361"/>
      <c r="N295" s="361"/>
      <c r="O295" s="361"/>
      <c r="U295" s="182"/>
    </row>
    <row r="296" spans="1:21" s="1" customFormat="1" x14ac:dyDescent="0.25">
      <c r="A296" s="110" t="str">
        <f ca="1">OFFSET(PO!J$12,ROW(A296)-ROW($A$12),0)</f>
        <v>Nível 2</v>
      </c>
      <c r="B296" s="112" t="str">
        <f ca="1">IF($A296=0,"",OFFSET(PO!K$12,ROW(B296)-ROW(B$12),0))</f>
        <v>12.3.</v>
      </c>
      <c r="C296" s="109" t="str">
        <f ca="1">IF(OFFSET(PO!N$12,ROW(C296)-ROW(C$12),0)=0,"",OFFSET(PO!N$12,ROW(C296)-ROW(C$12),0))</f>
        <v xml:space="preserve">RESERVATÓRIO </v>
      </c>
      <c r="D296" s="111" t="str">
        <f ca="1">IF(OFFSET(PO!O$12,ROW(D296)-ROW(D$12),0)=0,"",OFFSET(PO!O$12,ROW(D296)-ROW(D$12),0))</f>
        <v/>
      </c>
      <c r="E296" s="140">
        <f ca="1">IF($A296&lt;&gt;"Serviço",0,ROUND(SUMIF($F$9:$P$9,"&lt;&gt;",$F296:$P296),15-13*PO!$X$3))</f>
        <v>0</v>
      </c>
      <c r="F296" s="361">
        <f ca="1">OFFSET(PO!$P$12,ROW($E296)-ROW(F$12),0)</f>
        <v>0</v>
      </c>
      <c r="G296" s="361"/>
      <c r="H296" s="361"/>
      <c r="I296" s="361"/>
      <c r="J296" s="361"/>
      <c r="K296" s="361"/>
      <c r="L296" s="361"/>
      <c r="M296" s="361"/>
      <c r="N296" s="361"/>
      <c r="O296" s="361"/>
      <c r="U296" s="182"/>
    </row>
    <row r="297" spans="1:21" s="1" customFormat="1" x14ac:dyDescent="0.25">
      <c r="A297" s="110" t="str">
        <f ca="1">OFFSET(PO!J$12,ROW(A297)-ROW($A$12),0)</f>
        <v>Serviço</v>
      </c>
      <c r="B297" s="112" t="str">
        <f ca="1">IF($A297=0,"",OFFSET(PO!K$12,ROW(B297)-ROW(B$12),0))</f>
        <v>12.3.0.1.</v>
      </c>
      <c r="C297" s="109" t="str">
        <f ca="1">IF(OFFSET(PO!N$12,ROW(C297)-ROW(C$12),0)=0,"",OFFSET(PO!N$12,ROW(C297)-ROW(C$12),0))</f>
        <v>RESERVATÓRIO CILINDRICO CAP. 15.000 LITROS</v>
      </c>
      <c r="D297" s="111" t="str">
        <f ca="1">IF(OFFSET(PO!O$12,ROW(D297)-ROW(D$12),0)=0,"",OFFSET(PO!O$12,ROW(D297)-ROW(D$12),0))</f>
        <v>UN</v>
      </c>
      <c r="E297" s="140">
        <f ca="1">IF($A297&lt;&gt;"Serviço",0,ROUND(SUMIF($F$9:$P$9,"&lt;&gt;",$F297:$P297),15-13*PO!$X$3))</f>
        <v>1</v>
      </c>
      <c r="F297" s="361">
        <f ca="1">OFFSET(PO!$P$12,ROW($E297)-ROW(F$12),0)</f>
        <v>1</v>
      </c>
      <c r="G297" s="361"/>
      <c r="H297" s="361"/>
      <c r="I297" s="361"/>
      <c r="J297" s="361"/>
      <c r="K297" s="361"/>
      <c r="L297" s="361"/>
      <c r="M297" s="361"/>
      <c r="N297" s="361"/>
      <c r="O297" s="361"/>
      <c r="U297" s="182"/>
    </row>
    <row r="298" spans="1:21" s="1" customFormat="1" x14ac:dyDescent="0.25">
      <c r="A298" s="110" t="str">
        <f ca="1">OFFSET(PO!J$12,ROW(A298)-ROW($A$12),0)</f>
        <v>Meta</v>
      </c>
      <c r="B298" s="112" t="str">
        <f ca="1">IF($A298=0,"",OFFSET(PO!K$12,ROW(B298)-ROW(B$12),0))</f>
        <v>13.</v>
      </c>
      <c r="C298" s="109" t="str">
        <f ca="1">IF(OFFSET(PO!N$12,ROW(C298)-ROW(C$12),0)=0,"",OFFSET(PO!N$12,ROW(C298)-ROW(C$12),0))</f>
        <v>DRENAGEM DE ÁGUAS PLUVIAIS</v>
      </c>
      <c r="D298" s="111" t="str">
        <f ca="1">IF(OFFSET(PO!O$12,ROW(D298)-ROW(D$12),0)=0,"",OFFSET(PO!O$12,ROW(D298)-ROW(D$12),0))</f>
        <v/>
      </c>
      <c r="E298" s="140">
        <f ca="1">IF($A298&lt;&gt;"Serviço",0,ROUND(SUMIF($F$9:$P$9,"&lt;&gt;",$F298:$P298),15-13*PO!$X$3))</f>
        <v>0</v>
      </c>
      <c r="F298" s="361">
        <f ca="1">OFFSET(PO!$P$12,ROW($E298)-ROW(F$12),0)</f>
        <v>0</v>
      </c>
      <c r="G298" s="361"/>
      <c r="H298" s="361"/>
      <c r="I298" s="361"/>
      <c r="J298" s="361"/>
      <c r="K298" s="361"/>
      <c r="L298" s="361"/>
      <c r="M298" s="361"/>
      <c r="N298" s="361"/>
      <c r="O298" s="361"/>
      <c r="U298" s="182"/>
    </row>
    <row r="299" spans="1:21" s="1" customFormat="1" x14ac:dyDescent="0.25">
      <c r="A299" s="110" t="str">
        <f ca="1">OFFSET(PO!J$12,ROW(A299)-ROW($A$12),0)</f>
        <v>Nível 2</v>
      </c>
      <c r="B299" s="112" t="str">
        <f ca="1">IF($A299=0,"",OFFSET(PO!K$12,ROW(B299)-ROW(B$12),0))</f>
        <v>13.1.</v>
      </c>
      <c r="C299" s="109" t="str">
        <f ca="1">IF(OFFSET(PO!N$12,ROW(C299)-ROW(C$12),0)=0,"",OFFSET(PO!N$12,ROW(C299)-ROW(C$12),0))</f>
        <v>TUBULAÇÃO E CONEXÕES DE PVC</v>
      </c>
      <c r="D299" s="111" t="str">
        <f ca="1">IF(OFFSET(PO!O$12,ROW(D299)-ROW(D$12),0)=0,"",OFFSET(PO!O$12,ROW(D299)-ROW(D$12),0))</f>
        <v/>
      </c>
      <c r="E299" s="140">
        <f ca="1">IF($A299&lt;&gt;"Serviço",0,ROUND(SUMIF($F$9:$P$9,"&lt;&gt;",$F299:$P299),15-13*PO!$X$3))</f>
        <v>0</v>
      </c>
      <c r="F299" s="361">
        <f ca="1">OFFSET(PO!$P$12,ROW($E299)-ROW(F$12),0)</f>
        <v>0</v>
      </c>
      <c r="G299" s="361"/>
      <c r="H299" s="361"/>
      <c r="I299" s="361"/>
      <c r="J299" s="361"/>
      <c r="K299" s="361"/>
      <c r="L299" s="361"/>
      <c r="M299" s="361"/>
      <c r="N299" s="361"/>
      <c r="O299" s="361"/>
      <c r="U299" s="182"/>
    </row>
    <row r="300" spans="1:21" s="1" customFormat="1" ht="39.6" x14ac:dyDescent="0.25">
      <c r="A300" s="110" t="str">
        <f ca="1">OFFSET(PO!J$12,ROW(A300)-ROW($A$12),0)</f>
        <v>Serviço</v>
      </c>
      <c r="B300" s="112" t="str">
        <f ca="1">IF($A300=0,"",OFFSET(PO!K$12,ROW(B300)-ROW(B$12),0))</f>
        <v>13.1.0.1.</v>
      </c>
      <c r="C300" s="109" t="str">
        <f ca="1">IF(OFFSET(PO!N$12,ROW(C300)-ROW(C$12),0)=0,"",OFFSET(PO!N$12,ROW(C300)-ROW(C$12),0))</f>
        <v>TUBO PVC, SÉRIE R, ÁGUA PLUVIAL, DN 100 MM, FORNECIDO E INSTALADO EM CONDUTORES VERTICAIS DE ÁGUAS PLUVIAIS. AF_06/2022</v>
      </c>
      <c r="D300" s="111" t="str">
        <f ca="1">IF(OFFSET(PO!O$12,ROW(D300)-ROW(D$12),0)=0,"",OFFSET(PO!O$12,ROW(D300)-ROW(D$12),0))</f>
        <v>M</v>
      </c>
      <c r="E300" s="140">
        <f ca="1">IF($A300&lt;&gt;"Serviço",0,ROUND(SUMIF($F$9:$P$9,"&lt;&gt;",$F300:$P300),15-13*PO!$X$3))</f>
        <v>246.6</v>
      </c>
      <c r="F300" s="361">
        <f ca="1">OFFSET(PO!$P$12,ROW($E300)-ROW(F$12),0)</f>
        <v>246.6</v>
      </c>
      <c r="G300" s="361"/>
      <c r="H300" s="361"/>
      <c r="I300" s="361"/>
      <c r="J300" s="361"/>
      <c r="K300" s="361"/>
      <c r="L300" s="361"/>
      <c r="M300" s="361"/>
      <c r="N300" s="361"/>
      <c r="O300" s="361"/>
      <c r="U300" s="182"/>
    </row>
    <row r="301" spans="1:21" s="1" customFormat="1" ht="39.6" x14ac:dyDescent="0.25">
      <c r="A301" s="110" t="str">
        <f ca="1">OFFSET(PO!J$12,ROW(A301)-ROW($A$12),0)</f>
        <v>Serviço</v>
      </c>
      <c r="B301" s="112" t="str">
        <f ca="1">IF($A301=0,"",OFFSET(PO!K$12,ROW(B301)-ROW(B$12),0))</f>
        <v>13.1.0.2.</v>
      </c>
      <c r="C301" s="109" t="str">
        <f ca="1">IF(OFFSET(PO!N$12,ROW(C301)-ROW(C$12),0)=0,"",OFFSET(PO!N$12,ROW(C301)-ROW(C$12),0))</f>
        <v>TUBO PVC, SÉRIE R, ÁGUA PLUVIAL, DN 150 MM, FORNECIDO E INSTALADO EM CONDUTORES VERTICAIS DE ÁGUAS PLUVIAIS. AF_06/2022</v>
      </c>
      <c r="D301" s="111" t="str">
        <f ca="1">IF(OFFSET(PO!O$12,ROW(D301)-ROW(D$12),0)=0,"",OFFSET(PO!O$12,ROW(D301)-ROW(D$12),0))</f>
        <v>M</v>
      </c>
      <c r="E301" s="140">
        <f ca="1">IF($A301&lt;&gt;"Serviço",0,ROUND(SUMIF($F$9:$P$9,"&lt;&gt;",$F301:$P301),15-13*PO!$X$3))</f>
        <v>3</v>
      </c>
      <c r="F301" s="361">
        <f ca="1">OFFSET(PO!$P$12,ROW($E301)-ROW(F$12),0)</f>
        <v>3</v>
      </c>
      <c r="G301" s="361"/>
      <c r="H301" s="361"/>
      <c r="I301" s="361"/>
      <c r="J301" s="361"/>
      <c r="K301" s="361"/>
      <c r="L301" s="361"/>
      <c r="M301" s="361"/>
      <c r="N301" s="361"/>
      <c r="O301" s="361"/>
      <c r="U301" s="182"/>
    </row>
    <row r="302" spans="1:21" s="1" customFormat="1" ht="39.6" x14ac:dyDescent="0.25">
      <c r="A302" s="110" t="str">
        <f ca="1">OFFSET(PO!J$12,ROW(A302)-ROW($A$12),0)</f>
        <v>Serviço</v>
      </c>
      <c r="B302" s="112" t="str">
        <f ca="1">IF($A302=0,"",OFFSET(PO!K$12,ROW(B302)-ROW(B$12),0))</f>
        <v>13.1.0.3.</v>
      </c>
      <c r="C302" s="109" t="str">
        <f ca="1">IF(OFFSET(PO!N$12,ROW(C302)-ROW(C$12),0)=0,"",OFFSET(PO!N$12,ROW(C302)-ROW(C$12),0))</f>
        <v>JOELHO 45 GRAUS, PVC, SERIE R, ÁGUA PLUVIAL, DN 100 MM, JUNTA ELÁSTICA, FORNECIDO E INSTALADO EM CONDUTORES VERTICAIS DE ÁGUAS PLUVIAIS. AF_06/2022</v>
      </c>
      <c r="D302" s="111" t="str">
        <f ca="1">IF(OFFSET(PO!O$12,ROW(D302)-ROW(D$12),0)=0,"",OFFSET(PO!O$12,ROW(D302)-ROW(D$12),0))</f>
        <v>UN</v>
      </c>
      <c r="E302" s="140">
        <f ca="1">IF($A302&lt;&gt;"Serviço",0,ROUND(SUMIF($F$9:$P$9,"&lt;&gt;",$F302:$P302),15-13*PO!$X$3))</f>
        <v>11</v>
      </c>
      <c r="F302" s="361">
        <f ca="1">OFFSET(PO!$P$12,ROW($E302)-ROW(F$12),0)</f>
        <v>11</v>
      </c>
      <c r="G302" s="361"/>
      <c r="H302" s="361"/>
      <c r="I302" s="361"/>
      <c r="J302" s="361"/>
      <c r="K302" s="361"/>
      <c r="L302" s="361"/>
      <c r="M302" s="361"/>
      <c r="N302" s="361"/>
      <c r="O302" s="361"/>
      <c r="U302" s="182"/>
    </row>
    <row r="303" spans="1:21" s="1" customFormat="1" ht="39.6" x14ac:dyDescent="0.25">
      <c r="A303" s="110" t="str">
        <f ca="1">OFFSET(PO!J$12,ROW(A303)-ROW($A$12),0)</f>
        <v>Serviço</v>
      </c>
      <c r="B303" s="112" t="str">
        <f ca="1">IF($A303=0,"",OFFSET(PO!K$12,ROW(B303)-ROW(B$12),0))</f>
        <v>13.1.0.4.</v>
      </c>
      <c r="C303" s="109" t="str">
        <f ca="1">IF(OFFSET(PO!N$12,ROW(C303)-ROW(C$12),0)=0,"",OFFSET(PO!N$12,ROW(C303)-ROW(C$12),0))</f>
        <v>JOELHO 90 GRAUS, PVC, SERIE R, ÁGUA PLUVIAL, DN 100 MM, JUNTA ELÁSTICA, FORNECIDO E INSTALADO EM CONDUTORES VERTICAIS DE ÁGUAS PLUVIAIS. AF_06/2022</v>
      </c>
      <c r="D303" s="111" t="str">
        <f ca="1">IF(OFFSET(PO!O$12,ROW(D303)-ROW(D$12),0)=0,"",OFFSET(PO!O$12,ROW(D303)-ROW(D$12),0))</f>
        <v>UN</v>
      </c>
      <c r="E303" s="140">
        <f ca="1">IF($A303&lt;&gt;"Serviço",0,ROUND(SUMIF($F$9:$P$9,"&lt;&gt;",$F303:$P303),15-13*PO!$X$3))</f>
        <v>47</v>
      </c>
      <c r="F303" s="361">
        <f ca="1">OFFSET(PO!$P$12,ROW($E303)-ROW(F$12),0)</f>
        <v>47</v>
      </c>
      <c r="G303" s="361"/>
      <c r="H303" s="361"/>
      <c r="I303" s="361"/>
      <c r="J303" s="361"/>
      <c r="K303" s="361"/>
      <c r="L303" s="361"/>
      <c r="M303" s="361"/>
      <c r="N303" s="361"/>
      <c r="O303" s="361"/>
      <c r="U303" s="182"/>
    </row>
    <row r="304" spans="1:21" s="1" customFormat="1" ht="39.6" x14ac:dyDescent="0.25">
      <c r="A304" s="110" t="str">
        <f ca="1">OFFSET(PO!J$12,ROW(A304)-ROW($A$12),0)</f>
        <v>Serviço</v>
      </c>
      <c r="B304" s="112" t="str">
        <f ca="1">IF($A304=0,"",OFFSET(PO!K$12,ROW(B304)-ROW(B$12),0))</f>
        <v>13.1.0.5.</v>
      </c>
      <c r="C304" s="109" t="str">
        <f ca="1">IF(OFFSET(PO!N$12,ROW(C304)-ROW(C$12),0)=0,"",OFFSET(PO!N$12,ROW(C304)-ROW(C$12),0))</f>
        <v>JUNÇÃO SIMPLES, PVC, SERIE R, ÁGUA PLUVIAL, DN 100 X 100 MM, JUNTA ELÁSTICA, FORNECIDO E INSTALADO EM RAMAL DE ENCAMINHAMENTO. AF_06/2022</v>
      </c>
      <c r="D304" s="111" t="str">
        <f ca="1">IF(OFFSET(PO!O$12,ROW(D304)-ROW(D$12),0)=0,"",OFFSET(PO!O$12,ROW(D304)-ROW(D$12),0))</f>
        <v>UN</v>
      </c>
      <c r="E304" s="140">
        <f ca="1">IF($A304&lt;&gt;"Serviço",0,ROUND(SUMIF($F$9:$P$9,"&lt;&gt;",$F304:$P304),15-13*PO!$X$3))</f>
        <v>4</v>
      </c>
      <c r="F304" s="361">
        <f ca="1">OFFSET(PO!$P$12,ROW($E304)-ROW(F$12),0)</f>
        <v>4</v>
      </c>
      <c r="G304" s="361"/>
      <c r="H304" s="361"/>
      <c r="I304" s="361"/>
      <c r="J304" s="361"/>
      <c r="K304" s="361"/>
      <c r="L304" s="361"/>
      <c r="M304" s="361"/>
      <c r="N304" s="361"/>
      <c r="O304" s="361"/>
      <c r="U304" s="182"/>
    </row>
    <row r="305" spans="1:21" s="1" customFormat="1" ht="39.6" x14ac:dyDescent="0.25">
      <c r="A305" s="110" t="str">
        <f ca="1">OFFSET(PO!J$12,ROW(A305)-ROW($A$12),0)</f>
        <v>Serviço</v>
      </c>
      <c r="B305" s="112" t="str">
        <f ca="1">IF($A305=0,"",OFFSET(PO!K$12,ROW(B305)-ROW(B$12),0))</f>
        <v>13.1.0.6.</v>
      </c>
      <c r="C305" s="109" t="str">
        <f ca="1">IF(OFFSET(PO!N$12,ROW(C305)-ROW(C$12),0)=0,"",OFFSET(PO!N$12,ROW(C305)-ROW(C$12),0))</f>
        <v>TÊ DE INSPEÇÃO, PVC, SERIE R, ÁGUA PLUVIAL, DN 100 MM, JUNTA ELÁSTICA, FORNECIDO E INSTALADO EM CONDUTORES VERTICAIS DE ÁGUAS PLUVIAIS. AF_06/2022</v>
      </c>
      <c r="D305" s="111" t="str">
        <f ca="1">IF(OFFSET(PO!O$12,ROW(D305)-ROW(D$12),0)=0,"",OFFSET(PO!O$12,ROW(D305)-ROW(D$12),0))</f>
        <v>UN</v>
      </c>
      <c r="E305" s="140">
        <f ca="1">IF($A305&lt;&gt;"Serviço",0,ROUND(SUMIF($F$9:$P$9,"&lt;&gt;",$F305:$P305),15-13*PO!$X$3))</f>
        <v>1</v>
      </c>
      <c r="F305" s="361">
        <f ca="1">OFFSET(PO!$P$12,ROW($E305)-ROW(F$12),0)</f>
        <v>1</v>
      </c>
      <c r="G305" s="361"/>
      <c r="H305" s="361"/>
      <c r="I305" s="361"/>
      <c r="J305" s="361"/>
      <c r="K305" s="361"/>
      <c r="L305" s="361"/>
      <c r="M305" s="361"/>
      <c r="N305" s="361"/>
      <c r="O305" s="361"/>
      <c r="U305" s="182"/>
    </row>
    <row r="306" spans="1:21" s="1" customFormat="1" x14ac:dyDescent="0.25">
      <c r="A306" s="110" t="str">
        <f ca="1">OFFSET(PO!J$12,ROW(A306)-ROW($A$12),0)</f>
        <v>Nível 2</v>
      </c>
      <c r="B306" s="112" t="str">
        <f ca="1">IF($A306=0,"",OFFSET(PO!K$12,ROW(B306)-ROW(B$12),0))</f>
        <v>13.2.</v>
      </c>
      <c r="C306" s="109" t="str">
        <f ca="1">IF(OFFSET(PO!N$12,ROW(C306)-ROW(C$12),0)=0,"",OFFSET(PO!N$12,ROW(C306)-ROW(C$12),0))</f>
        <v>ACESSÓRIOS</v>
      </c>
      <c r="D306" s="111" t="str">
        <f ca="1">IF(OFFSET(PO!O$12,ROW(D306)-ROW(D$12),0)=0,"",OFFSET(PO!O$12,ROW(D306)-ROW(D$12),0))</f>
        <v/>
      </c>
      <c r="E306" s="140">
        <f ca="1">IF($A306&lt;&gt;"Serviço",0,ROUND(SUMIF($F$9:$P$9,"&lt;&gt;",$F306:$P306),15-13*PO!$X$3))</f>
        <v>0</v>
      </c>
      <c r="F306" s="361">
        <f ca="1">OFFSET(PO!$P$12,ROW($E306)-ROW(F$12),0)</f>
        <v>0</v>
      </c>
      <c r="G306" s="361"/>
      <c r="H306" s="361"/>
      <c r="I306" s="361"/>
      <c r="J306" s="361"/>
      <c r="K306" s="361"/>
      <c r="L306" s="361"/>
      <c r="M306" s="361"/>
      <c r="N306" s="361"/>
      <c r="O306" s="361"/>
      <c r="U306" s="182"/>
    </row>
    <row r="307" spans="1:21" s="1" customFormat="1" ht="39.6" x14ac:dyDescent="0.25">
      <c r="A307" s="110" t="str">
        <f ca="1">OFFSET(PO!J$12,ROW(A307)-ROW($A$12),0)</f>
        <v>Serviço</v>
      </c>
      <c r="B307" s="112" t="str">
        <f ca="1">IF($A307=0,"",OFFSET(PO!K$12,ROW(B307)-ROW(B$12),0))</f>
        <v>13.2.0.1.</v>
      </c>
      <c r="C307" s="109" t="str">
        <f ca="1">IF(OFFSET(PO!N$12,ROW(C307)-ROW(C$12),0)=0,"",OFFSET(PO!N$12,ROW(C307)-ROW(C$12),0))</f>
        <v>CAIXA ENTERRADA HIDRÁULICA RETANGULAR EM ALVENARIA COM TIJOLOS CERÂMICOS MACIÇOS, DIMENSÕES INTERNAS: 0,6X0,6X0,6 M PARA REDE DE DRENAGEM. AF_12/2020</v>
      </c>
      <c r="D307" s="111" t="str">
        <f ca="1">IF(OFFSET(PO!O$12,ROW(D307)-ROW(D$12),0)=0,"",OFFSET(PO!O$12,ROW(D307)-ROW(D$12),0))</f>
        <v>UN</v>
      </c>
      <c r="E307" s="140">
        <f ca="1">IF($A307&lt;&gt;"Serviço",0,ROUND(SUMIF($F$9:$P$9,"&lt;&gt;",$F307:$P307),15-13*PO!$X$3))</f>
        <v>9</v>
      </c>
      <c r="F307" s="361">
        <f ca="1">OFFSET(PO!$P$12,ROW($E307)-ROW(F$12),0)</f>
        <v>9</v>
      </c>
      <c r="G307" s="361"/>
      <c r="H307" s="361"/>
      <c r="I307" s="361"/>
      <c r="J307" s="361"/>
      <c r="K307" s="361"/>
      <c r="L307" s="361"/>
      <c r="M307" s="361"/>
      <c r="N307" s="361"/>
      <c r="O307" s="361"/>
      <c r="U307" s="182"/>
    </row>
    <row r="308" spans="1:21" s="1" customFormat="1" ht="39.6" x14ac:dyDescent="0.25">
      <c r="A308" s="110" t="str">
        <f ca="1">OFFSET(PO!J$12,ROW(A308)-ROW($A$12),0)</f>
        <v>Serviço</v>
      </c>
      <c r="B308" s="112" t="str">
        <f ca="1">IF($A308=0,"",OFFSET(PO!K$12,ROW(B308)-ROW(B$12),0))</f>
        <v>13.2.0.2.</v>
      </c>
      <c r="C308" s="109" t="str">
        <f ca="1">IF(OFFSET(PO!N$12,ROW(C308)-ROW(C$12),0)=0,"",OFFSET(PO!N$12,ROW(C308)-ROW(C$12),0))</f>
        <v>CAIXA SIFONADA, PVC, DN 100 X 100 X 50 MM, FORNECIDA E INSTALADA EM RAMAIS DE ENCAMINHAMENTO DE ÁGUA PLUVIAL. AF_06/2022</v>
      </c>
      <c r="D308" s="111" t="str">
        <f ca="1">IF(OFFSET(PO!O$12,ROW(D308)-ROW(D$12),0)=0,"",OFFSET(PO!O$12,ROW(D308)-ROW(D$12),0))</f>
        <v>UN</v>
      </c>
      <c r="E308" s="140">
        <f ca="1">IF($A308&lt;&gt;"Serviço",0,ROUND(SUMIF($F$9:$P$9,"&lt;&gt;",$F308:$P308),15-13*PO!$X$3))</f>
        <v>11</v>
      </c>
      <c r="F308" s="361">
        <f ca="1">OFFSET(PO!$P$12,ROW($E308)-ROW(F$12),0)</f>
        <v>11</v>
      </c>
      <c r="G308" s="361"/>
      <c r="H308" s="361"/>
      <c r="I308" s="361"/>
      <c r="J308" s="361"/>
      <c r="K308" s="361"/>
      <c r="L308" s="361"/>
      <c r="M308" s="361"/>
      <c r="N308" s="361"/>
      <c r="O308" s="361"/>
      <c r="U308" s="182"/>
    </row>
    <row r="309" spans="1:21" s="1" customFormat="1" x14ac:dyDescent="0.25">
      <c r="A309" s="110" t="str">
        <f ca="1">OFFSET(PO!J$12,ROW(A309)-ROW($A$12),0)</f>
        <v>Meta</v>
      </c>
      <c r="B309" s="112" t="str">
        <f ca="1">IF($A309=0,"",OFFSET(PO!K$12,ROW(B309)-ROW(B$12),0))</f>
        <v>14.</v>
      </c>
      <c r="C309" s="109" t="str">
        <f ca="1">IF(OFFSET(PO!N$12,ROW(C309)-ROW(C$12),0)=0,"",OFFSET(PO!N$12,ROW(C309)-ROW(C$12),0))</f>
        <v>INSTALAÇÃO SANITÁRIA</v>
      </c>
      <c r="D309" s="111" t="str">
        <f ca="1">IF(OFFSET(PO!O$12,ROW(D309)-ROW(D$12),0)=0,"",OFFSET(PO!O$12,ROW(D309)-ROW(D$12),0))</f>
        <v/>
      </c>
      <c r="E309" s="140">
        <f ca="1">IF($A309&lt;&gt;"Serviço",0,ROUND(SUMIF($F$9:$P$9,"&lt;&gt;",$F309:$P309),15-13*PO!$X$3))</f>
        <v>0</v>
      </c>
      <c r="F309" s="361">
        <f ca="1">OFFSET(PO!$P$12,ROW($E309)-ROW(F$12),0)</f>
        <v>0</v>
      </c>
      <c r="G309" s="361"/>
      <c r="H309" s="361"/>
      <c r="I309" s="361"/>
      <c r="J309" s="361"/>
      <c r="K309" s="361"/>
      <c r="L309" s="361"/>
      <c r="M309" s="361"/>
      <c r="N309" s="361"/>
      <c r="O309" s="361"/>
      <c r="U309" s="182"/>
    </row>
    <row r="310" spans="1:21" s="1" customFormat="1" x14ac:dyDescent="0.25">
      <c r="A310" s="110" t="str">
        <f ca="1">OFFSET(PO!J$12,ROW(A310)-ROW($A$12),0)</f>
        <v>Nível 2</v>
      </c>
      <c r="B310" s="112" t="str">
        <f ca="1">IF($A310=0,"",OFFSET(PO!K$12,ROW(B310)-ROW(B$12),0))</f>
        <v>14.1.</v>
      </c>
      <c r="C310" s="109" t="str">
        <f ca="1">IF(OFFSET(PO!N$12,ROW(C310)-ROW(C$12),0)=0,"",OFFSET(PO!N$12,ROW(C310)-ROW(C$12),0))</f>
        <v xml:space="preserve">TUBULAÇÃO E CONEXÕES  </v>
      </c>
      <c r="D310" s="111" t="str">
        <f ca="1">IF(OFFSET(PO!O$12,ROW(D310)-ROW(D$12),0)=0,"",OFFSET(PO!O$12,ROW(D310)-ROW(D$12),0))</f>
        <v/>
      </c>
      <c r="E310" s="140">
        <f ca="1">IF($A310&lt;&gt;"Serviço",0,ROUND(SUMIF($F$9:$P$9,"&lt;&gt;",$F310:$P310),15-13*PO!$X$3))</f>
        <v>0</v>
      </c>
      <c r="F310" s="361">
        <f ca="1">OFFSET(PO!$P$12,ROW($E310)-ROW(F$12),0)</f>
        <v>0</v>
      </c>
      <c r="G310" s="361"/>
      <c r="H310" s="361"/>
      <c r="I310" s="361"/>
      <c r="J310" s="361"/>
      <c r="K310" s="361"/>
      <c r="L310" s="361"/>
      <c r="M310" s="361"/>
      <c r="N310" s="361"/>
      <c r="O310" s="361"/>
      <c r="U310" s="182"/>
    </row>
    <row r="311" spans="1:21" s="1" customFormat="1" ht="39.6" x14ac:dyDescent="0.25">
      <c r="A311" s="110" t="str">
        <f ca="1">OFFSET(PO!J$12,ROW(A311)-ROW($A$12),0)</f>
        <v>Serviço</v>
      </c>
      <c r="B311" s="112" t="str">
        <f ca="1">IF($A311=0,"",OFFSET(PO!K$12,ROW(B311)-ROW(B$12),0))</f>
        <v>14.1.0.1.</v>
      </c>
      <c r="C311" s="109" t="str">
        <f ca="1">IF(OFFSET(PO!N$12,ROW(C311)-ROW(C$12),0)=0,"",OFFSET(PO!N$12,ROW(C311)-ROW(C$12),0))</f>
        <v>TUBO PVC, SERIE NORMAL, ESGOTO PREDIAL, DN 100 MM, FORNECIDO E INSTALADO EM RAMAL DE DESCARGA OU RAMAL DE ESGOTO SANITÁRIO. AF_08/2022</v>
      </c>
      <c r="D311" s="111" t="str">
        <f ca="1">IF(OFFSET(PO!O$12,ROW(D311)-ROW(D$12),0)=0,"",OFFSET(PO!O$12,ROW(D311)-ROW(D$12),0))</f>
        <v>M</v>
      </c>
      <c r="E311" s="140">
        <f ca="1">IF($A311&lt;&gt;"Serviço",0,ROUND(SUMIF($F$9:$P$9,"&lt;&gt;",$F311:$P311),15-13*PO!$X$3))</f>
        <v>149.30000000000001</v>
      </c>
      <c r="F311" s="361">
        <f ca="1">OFFSET(PO!$P$12,ROW($E311)-ROW(F$12),0)</f>
        <v>149.30000000000001</v>
      </c>
      <c r="G311" s="361"/>
      <c r="H311" s="361"/>
      <c r="I311" s="361"/>
      <c r="J311" s="361"/>
      <c r="K311" s="361"/>
      <c r="L311" s="361"/>
      <c r="M311" s="361"/>
      <c r="N311" s="361"/>
      <c r="O311" s="361"/>
      <c r="U311" s="182"/>
    </row>
    <row r="312" spans="1:21" s="1" customFormat="1" ht="39.6" x14ac:dyDescent="0.25">
      <c r="A312" s="110" t="str">
        <f ca="1">OFFSET(PO!J$12,ROW(A312)-ROW($A$12),0)</f>
        <v>Serviço</v>
      </c>
      <c r="B312" s="112" t="str">
        <f ca="1">IF($A312=0,"",OFFSET(PO!K$12,ROW(B312)-ROW(B$12),0))</f>
        <v>14.1.0.2.</v>
      </c>
      <c r="C312" s="109" t="str">
        <f ca="1">IF(OFFSET(PO!N$12,ROW(C312)-ROW(C$12),0)=0,"",OFFSET(PO!N$12,ROW(C312)-ROW(C$12),0))</f>
        <v>TUBO PVC, SERIE NORMAL, ESGOTO PREDIAL, DN 40 MM, FORNECIDO E INSTALADO EM RAMAL DE DESCARGA OU RAMAL DE ESGOTO SANITÁRIO. AF_08/2022</v>
      </c>
      <c r="D312" s="111" t="str">
        <f ca="1">IF(OFFSET(PO!O$12,ROW(D312)-ROW(D$12),0)=0,"",OFFSET(PO!O$12,ROW(D312)-ROW(D$12),0))</f>
        <v>M</v>
      </c>
      <c r="E312" s="140">
        <f ca="1">IF($A312&lt;&gt;"Serviço",0,ROUND(SUMIF($F$9:$P$9,"&lt;&gt;",$F312:$P312),15-13*PO!$X$3))</f>
        <v>115.3</v>
      </c>
      <c r="F312" s="361">
        <f ca="1">OFFSET(PO!$P$12,ROW($E312)-ROW(F$12),0)</f>
        <v>115.3</v>
      </c>
      <c r="G312" s="361"/>
      <c r="H312" s="361"/>
      <c r="I312" s="361"/>
      <c r="J312" s="361"/>
      <c r="K312" s="361"/>
      <c r="L312" s="361"/>
      <c r="M312" s="361"/>
      <c r="N312" s="361"/>
      <c r="O312" s="361"/>
      <c r="U312" s="182"/>
    </row>
    <row r="313" spans="1:21" s="1" customFormat="1" ht="39.6" x14ac:dyDescent="0.25">
      <c r="A313" s="110" t="str">
        <f ca="1">OFFSET(PO!J$12,ROW(A313)-ROW($A$12),0)</f>
        <v>Serviço</v>
      </c>
      <c r="B313" s="112" t="str">
        <f ca="1">IF($A313=0,"",OFFSET(PO!K$12,ROW(B313)-ROW(B$12),0))</f>
        <v>14.1.0.3.</v>
      </c>
      <c r="C313" s="109" t="str">
        <f ca="1">IF(OFFSET(PO!N$12,ROW(C313)-ROW(C$12),0)=0,"",OFFSET(PO!N$12,ROW(C313)-ROW(C$12),0))</f>
        <v>TUBO PVC, SERIE NORMAL, ESGOTO PREDIAL, DN 50 MM, FORNECIDO E INSTALADO EM RAMAL DE DESCARGA OU RAMAL DE ESGOTO SANITÁRIO. AF_08/2022</v>
      </c>
      <c r="D313" s="111" t="str">
        <f ca="1">IF(OFFSET(PO!O$12,ROW(D313)-ROW(D$12),0)=0,"",OFFSET(PO!O$12,ROW(D313)-ROW(D$12),0))</f>
        <v>M</v>
      </c>
      <c r="E313" s="140">
        <f ca="1">IF($A313&lt;&gt;"Serviço",0,ROUND(SUMIF($F$9:$P$9,"&lt;&gt;",$F313:$P313),15-13*PO!$X$3))</f>
        <v>173.1</v>
      </c>
      <c r="F313" s="361">
        <f ca="1">OFFSET(PO!$P$12,ROW($E313)-ROW(F$12),0)</f>
        <v>173.1</v>
      </c>
      <c r="G313" s="361"/>
      <c r="H313" s="361"/>
      <c r="I313" s="361"/>
      <c r="J313" s="361"/>
      <c r="K313" s="361"/>
      <c r="L313" s="361"/>
      <c r="M313" s="361"/>
      <c r="N313" s="361"/>
      <c r="O313" s="361"/>
      <c r="U313" s="182"/>
    </row>
    <row r="314" spans="1:21" s="1" customFormat="1" ht="39.6" x14ac:dyDescent="0.25">
      <c r="A314" s="110" t="str">
        <f ca="1">OFFSET(PO!J$12,ROW(A314)-ROW($A$12),0)</f>
        <v>Serviço</v>
      </c>
      <c r="B314" s="112" t="str">
        <f ca="1">IF($A314=0,"",OFFSET(PO!K$12,ROW(B314)-ROW(B$12),0))</f>
        <v>14.1.0.4.</v>
      </c>
      <c r="C314" s="109" t="str">
        <f ca="1">IF(OFFSET(PO!N$12,ROW(C314)-ROW(C$12),0)=0,"",OFFSET(PO!N$12,ROW(C314)-ROW(C$12),0))</f>
        <v>TUBO PVC, SERIE NORMAL, ESGOTO PREDIAL, DN 75 MM, FORNECIDO E INSTALADO EM RAMAL DE DESCARGA OU RAMAL DE ESGOTO SANITÁRIO. AF_08/2022</v>
      </c>
      <c r="D314" s="111" t="str">
        <f ca="1">IF(OFFSET(PO!O$12,ROW(D314)-ROW(D$12),0)=0,"",OFFSET(PO!O$12,ROW(D314)-ROW(D$12),0))</f>
        <v>M</v>
      </c>
      <c r="E314" s="140">
        <f ca="1">IF($A314&lt;&gt;"Serviço",0,ROUND(SUMIF($F$9:$P$9,"&lt;&gt;",$F314:$P314),15-13*PO!$X$3))</f>
        <v>69.55</v>
      </c>
      <c r="F314" s="361">
        <f ca="1">OFFSET(PO!$P$12,ROW($E314)-ROW(F$12),0)</f>
        <v>69.55</v>
      </c>
      <c r="G314" s="361"/>
      <c r="H314" s="361"/>
      <c r="I314" s="361"/>
      <c r="J314" s="361"/>
      <c r="K314" s="361"/>
      <c r="L314" s="361"/>
      <c r="M314" s="361"/>
      <c r="N314" s="361"/>
      <c r="O314" s="361"/>
      <c r="U314" s="182"/>
    </row>
    <row r="315" spans="1:21" s="1" customFormat="1" ht="39.6" x14ac:dyDescent="0.25">
      <c r="A315" s="110" t="str">
        <f ca="1">OFFSET(PO!J$12,ROW(A315)-ROW($A$12),0)</f>
        <v>Serviço</v>
      </c>
      <c r="B315" s="112" t="str">
        <f ca="1">IF($A315=0,"",OFFSET(PO!K$12,ROW(B315)-ROW(B$12),0))</f>
        <v>14.1.0.5.</v>
      </c>
      <c r="C315" s="109" t="str">
        <f ca="1">IF(OFFSET(PO!N$12,ROW(C315)-ROW(C$12),0)=0,"",OFFSET(PO!N$12,ROW(C315)-ROW(C$12),0))</f>
        <v>JOELHO 45 GRAUS, PVC, SERIE NORMAL, ESGOTO PREDIAL, DN 40 MM, JUNTA SOLDÁVEL, FORNECIDO E INSTALADO EM RAMAL DE DESCARGA OU RAMAL DE ESGOTO SANITÁRIO. AF_08/2022</v>
      </c>
      <c r="D315" s="111" t="str">
        <f ca="1">IF(OFFSET(PO!O$12,ROW(D315)-ROW(D$12),0)=0,"",OFFSET(PO!O$12,ROW(D315)-ROW(D$12),0))</f>
        <v>UN</v>
      </c>
      <c r="E315" s="140">
        <f ca="1">IF($A315&lt;&gt;"Serviço",0,ROUND(SUMIF($F$9:$P$9,"&lt;&gt;",$F315:$P315),15-13*PO!$X$3))</f>
        <v>32</v>
      </c>
      <c r="F315" s="361">
        <f ca="1">OFFSET(PO!$P$12,ROW($E315)-ROW(F$12),0)</f>
        <v>32</v>
      </c>
      <c r="G315" s="361"/>
      <c r="H315" s="361"/>
      <c r="I315" s="361"/>
      <c r="J315" s="361"/>
      <c r="K315" s="361"/>
      <c r="L315" s="361"/>
      <c r="M315" s="361"/>
      <c r="N315" s="361"/>
      <c r="O315" s="361"/>
      <c r="U315" s="182"/>
    </row>
    <row r="316" spans="1:21" s="1" customFormat="1" ht="39.6" x14ac:dyDescent="0.25">
      <c r="A316" s="110" t="str">
        <f ca="1">OFFSET(PO!J$12,ROW(A316)-ROW($A$12),0)</f>
        <v>Serviço</v>
      </c>
      <c r="B316" s="112" t="str">
        <f ca="1">IF($A316=0,"",OFFSET(PO!K$12,ROW(B316)-ROW(B$12),0))</f>
        <v>14.1.0.6.</v>
      </c>
      <c r="C316" s="109" t="str">
        <f ca="1">IF(OFFSET(PO!N$12,ROW(C316)-ROW(C$12),0)=0,"",OFFSET(PO!N$12,ROW(C316)-ROW(C$12),0))</f>
        <v>JOELHO 45 GRAUS, PVC, SERIE NORMAL, ESGOTO PREDIAL, DN 50 MM, JUNTA ELÁSTICA, FORNECIDO E INSTALADO EM RAMAL DE DESCARGA OU RAMAL DE ESGOTO SANITÁRIO. AF_08/2022</v>
      </c>
      <c r="D316" s="111" t="str">
        <f ca="1">IF(OFFSET(PO!O$12,ROW(D316)-ROW(D$12),0)=0,"",OFFSET(PO!O$12,ROW(D316)-ROW(D$12),0))</f>
        <v>UN</v>
      </c>
      <c r="E316" s="140">
        <f ca="1">IF($A316&lt;&gt;"Serviço",0,ROUND(SUMIF($F$9:$P$9,"&lt;&gt;",$F316:$P316),15-13*PO!$X$3))</f>
        <v>31</v>
      </c>
      <c r="F316" s="361">
        <f ca="1">OFFSET(PO!$P$12,ROW($E316)-ROW(F$12),0)</f>
        <v>31</v>
      </c>
      <c r="G316" s="361"/>
      <c r="H316" s="361"/>
      <c r="I316" s="361"/>
      <c r="J316" s="361"/>
      <c r="K316" s="361"/>
      <c r="L316" s="361"/>
      <c r="M316" s="361"/>
      <c r="N316" s="361"/>
      <c r="O316" s="361"/>
      <c r="U316" s="182"/>
    </row>
    <row r="317" spans="1:21" s="1" customFormat="1" ht="39.6" x14ac:dyDescent="0.25">
      <c r="A317" s="110" t="str">
        <f ca="1">OFFSET(PO!J$12,ROW(A317)-ROW($A$12),0)</f>
        <v>Serviço</v>
      </c>
      <c r="B317" s="112" t="str">
        <f ca="1">IF($A317=0,"",OFFSET(PO!K$12,ROW(B317)-ROW(B$12),0))</f>
        <v>14.1.0.7.</v>
      </c>
      <c r="C317" s="109" t="str">
        <f ca="1">IF(OFFSET(PO!N$12,ROW(C317)-ROW(C$12),0)=0,"",OFFSET(PO!N$12,ROW(C317)-ROW(C$12),0))</f>
        <v>JOELHO 45 GRAUS, PVC, SERIE NORMAL, ESGOTO PREDIAL, DN 75 MM, JUNTA ELÁSTICA, FORNECIDO E INSTALADO EM RAMAL DE DESCARGA OU RAMAL DE ESGOTO SANITÁRIO. AF_08/2022</v>
      </c>
      <c r="D317" s="111" t="str">
        <f ca="1">IF(OFFSET(PO!O$12,ROW(D317)-ROW(D$12),0)=0,"",OFFSET(PO!O$12,ROW(D317)-ROW(D$12),0))</f>
        <v>UN</v>
      </c>
      <c r="E317" s="140">
        <f ca="1">IF($A317&lt;&gt;"Serviço",0,ROUND(SUMIF($F$9:$P$9,"&lt;&gt;",$F317:$P317),15-13*PO!$X$3))</f>
        <v>9</v>
      </c>
      <c r="F317" s="361">
        <f ca="1">OFFSET(PO!$P$12,ROW($E317)-ROW(F$12),0)</f>
        <v>9</v>
      </c>
      <c r="G317" s="361"/>
      <c r="H317" s="361"/>
      <c r="I317" s="361"/>
      <c r="J317" s="361"/>
      <c r="K317" s="361"/>
      <c r="L317" s="361"/>
      <c r="M317" s="361"/>
      <c r="N317" s="361"/>
      <c r="O317" s="361"/>
      <c r="U317" s="182"/>
    </row>
    <row r="318" spans="1:21" s="1" customFormat="1" ht="39.6" x14ac:dyDescent="0.25">
      <c r="A318" s="110" t="str">
        <f ca="1">OFFSET(PO!J$12,ROW(A318)-ROW($A$12),0)</f>
        <v>Serviço</v>
      </c>
      <c r="B318" s="112" t="str">
        <f ca="1">IF($A318=0,"",OFFSET(PO!K$12,ROW(B318)-ROW(B$12),0))</f>
        <v>14.1.0.8.</v>
      </c>
      <c r="C318" s="109" t="str">
        <f ca="1">IF(OFFSET(PO!N$12,ROW(C318)-ROW(C$12),0)=0,"",OFFSET(PO!N$12,ROW(C318)-ROW(C$12),0))</f>
        <v>JOELHO 45 GRAUS, PVC, SERIE NORMAL, ESGOTO PREDIAL, DN 100 MM, JUNTA ELÁSTICA, FORNECIDO E INSTALADO EM RAMAL DE DESCARGA OU RAMAL DE ESGOTO SANITÁRIO. AF_08/2022</v>
      </c>
      <c r="D318" s="111" t="str">
        <f ca="1">IF(OFFSET(PO!O$12,ROW(D318)-ROW(D$12),0)=0,"",OFFSET(PO!O$12,ROW(D318)-ROW(D$12),0))</f>
        <v>UN</v>
      </c>
      <c r="E318" s="140">
        <f ca="1">IF($A318&lt;&gt;"Serviço",0,ROUND(SUMIF($F$9:$P$9,"&lt;&gt;",$F318:$P318),15-13*PO!$X$3))</f>
        <v>6</v>
      </c>
      <c r="F318" s="361">
        <f ca="1">OFFSET(PO!$P$12,ROW($E318)-ROW(F$12),0)</f>
        <v>6</v>
      </c>
      <c r="G318" s="361"/>
      <c r="H318" s="361"/>
      <c r="I318" s="361"/>
      <c r="J318" s="361"/>
      <c r="K318" s="361"/>
      <c r="L318" s="361"/>
      <c r="M318" s="361"/>
      <c r="N318" s="361"/>
      <c r="O318" s="361"/>
      <c r="U318" s="182"/>
    </row>
    <row r="319" spans="1:21" s="1" customFormat="1" ht="39.6" x14ac:dyDescent="0.25">
      <c r="A319" s="110" t="str">
        <f ca="1">OFFSET(PO!J$12,ROW(A319)-ROW($A$12),0)</f>
        <v>Serviço</v>
      </c>
      <c r="B319" s="112" t="str">
        <f ca="1">IF($A319=0,"",OFFSET(PO!K$12,ROW(B319)-ROW(B$12),0))</f>
        <v>14.1.0.9.</v>
      </c>
      <c r="C319" s="109" t="str">
        <f ca="1">IF(OFFSET(PO!N$12,ROW(C319)-ROW(C$12),0)=0,"",OFFSET(PO!N$12,ROW(C319)-ROW(C$12),0))</f>
        <v>JOELHO 90 GRAUS, PVC, SERIE NORMAL, ESGOTO PREDIAL, DN 100 MM, JUNTA ELÁSTICA, FORNECIDO E INSTALADO EM RAMAL DE DESCARGA OU RAMAL DE ESGOTO SANITÁRIO. AF_08/2022</v>
      </c>
      <c r="D319" s="111" t="str">
        <f ca="1">IF(OFFSET(PO!O$12,ROW(D319)-ROW(D$12),0)=0,"",OFFSET(PO!O$12,ROW(D319)-ROW(D$12),0))</f>
        <v>UN</v>
      </c>
      <c r="E319" s="140">
        <f ca="1">IF($A319&lt;&gt;"Serviço",0,ROUND(SUMIF($F$9:$P$9,"&lt;&gt;",$F319:$P319),15-13*PO!$X$3))</f>
        <v>12</v>
      </c>
      <c r="F319" s="361">
        <f ca="1">OFFSET(PO!$P$12,ROW($E319)-ROW(F$12),0)</f>
        <v>12</v>
      </c>
      <c r="G319" s="361"/>
      <c r="H319" s="361"/>
      <c r="I319" s="361"/>
      <c r="J319" s="361"/>
      <c r="K319" s="361"/>
      <c r="L319" s="361"/>
      <c r="M319" s="361"/>
      <c r="N319" s="361"/>
      <c r="O319" s="361"/>
      <c r="U319" s="182"/>
    </row>
    <row r="320" spans="1:21" s="1" customFormat="1" ht="39.6" x14ac:dyDescent="0.25">
      <c r="A320" s="110" t="str">
        <f ca="1">OFFSET(PO!J$12,ROW(A320)-ROW($A$12),0)</f>
        <v>Serviço</v>
      </c>
      <c r="B320" s="112" t="str">
        <f ca="1">IF($A320=0,"",OFFSET(PO!K$12,ROW(B320)-ROW(B$12),0))</f>
        <v>14.1.0.10.</v>
      </c>
      <c r="C320" s="109" t="str">
        <f ca="1">IF(OFFSET(PO!N$12,ROW(C320)-ROW(C$12),0)=0,"",OFFSET(PO!N$12,ROW(C320)-ROW(C$12),0))</f>
        <v>JOELHO 90 GRAUS, PVC, SERIE NORMAL, ESGOTO PREDIAL, DN 75 MM, JUNTA ELÁSTICA, FORNECIDO E INSTALADO EM RAMAL DE DESCARGA OU RAMAL DE ESGOTO SANITÁRIO. AF_08/2022</v>
      </c>
      <c r="D320" s="111" t="str">
        <f ca="1">IF(OFFSET(PO!O$12,ROW(D320)-ROW(D$12),0)=0,"",OFFSET(PO!O$12,ROW(D320)-ROW(D$12),0))</f>
        <v>UN</v>
      </c>
      <c r="E320" s="140">
        <f ca="1">IF($A320&lt;&gt;"Serviço",0,ROUND(SUMIF($F$9:$P$9,"&lt;&gt;",$F320:$P320),15-13*PO!$X$3))</f>
        <v>28</v>
      </c>
      <c r="F320" s="361">
        <f ca="1">OFFSET(PO!$P$12,ROW($E320)-ROW(F$12),0)</f>
        <v>28</v>
      </c>
      <c r="G320" s="361"/>
      <c r="H320" s="361"/>
      <c r="I320" s="361"/>
      <c r="J320" s="361"/>
      <c r="K320" s="361"/>
      <c r="L320" s="361"/>
      <c r="M320" s="361"/>
      <c r="N320" s="361"/>
      <c r="O320" s="361"/>
      <c r="U320" s="182"/>
    </row>
    <row r="321" spans="1:21" s="1" customFormat="1" ht="39.6" x14ac:dyDescent="0.25">
      <c r="A321" s="110" t="str">
        <f ca="1">OFFSET(PO!J$12,ROW(A321)-ROW($A$12),0)</f>
        <v>Serviço</v>
      </c>
      <c r="B321" s="112" t="str">
        <f ca="1">IF($A321=0,"",OFFSET(PO!K$12,ROW(B321)-ROW(B$12),0))</f>
        <v>14.1.0.11.</v>
      </c>
      <c r="C321" s="109" t="str">
        <f ca="1">IF(OFFSET(PO!N$12,ROW(C321)-ROW(C$12),0)=0,"",OFFSET(PO!N$12,ROW(C321)-ROW(C$12),0))</f>
        <v>JOELHO 90 GRAUS, PVC, SERIE NORMAL, ESGOTO PREDIAL, DN 50 MM, JUNTA ELÁSTICA, FORNECIDO E INSTALADO EM RAMAL DE DESCARGA OU RAMAL DE ESGOTO SANITÁRIO. AF_08/2022</v>
      </c>
      <c r="D321" s="111" t="str">
        <f ca="1">IF(OFFSET(PO!O$12,ROW(D321)-ROW(D$12),0)=0,"",OFFSET(PO!O$12,ROW(D321)-ROW(D$12),0))</f>
        <v>UN</v>
      </c>
      <c r="E321" s="140">
        <f ca="1">IF($A321&lt;&gt;"Serviço",0,ROUND(SUMIF($F$9:$P$9,"&lt;&gt;",$F321:$P321),15-13*PO!$X$3))</f>
        <v>18</v>
      </c>
      <c r="F321" s="361">
        <f ca="1">OFFSET(PO!$P$12,ROW($E321)-ROW(F$12),0)</f>
        <v>18</v>
      </c>
      <c r="G321" s="361"/>
      <c r="H321" s="361"/>
      <c r="I321" s="361"/>
      <c r="J321" s="361"/>
      <c r="K321" s="361"/>
      <c r="L321" s="361"/>
      <c r="M321" s="361"/>
      <c r="N321" s="361"/>
      <c r="O321" s="361"/>
      <c r="U321" s="182"/>
    </row>
    <row r="322" spans="1:21" s="1" customFormat="1" ht="39.6" x14ac:dyDescent="0.25">
      <c r="A322" s="110" t="str">
        <f ca="1">OFFSET(PO!J$12,ROW(A322)-ROW($A$12),0)</f>
        <v>Serviço</v>
      </c>
      <c r="B322" s="112" t="str">
        <f ca="1">IF($A322=0,"",OFFSET(PO!K$12,ROW(B322)-ROW(B$12),0))</f>
        <v>14.1.0.12.</v>
      </c>
      <c r="C322" s="109" t="str">
        <f ca="1">IF(OFFSET(PO!N$12,ROW(C322)-ROW(C$12),0)=0,"",OFFSET(PO!N$12,ROW(C322)-ROW(C$12),0))</f>
        <v>JOELHO 90 GRAUS, PVC, SERIE NORMAL, ESGOTO PREDIAL, DN 40 MM, JUNTA SOLDÁVEL, FORNECIDO E INSTALADO EM RAMAL DE DESCARGA OU RAMAL DE ESGOTO SANITÁRIO. AF_08/2022</v>
      </c>
      <c r="D322" s="111" t="str">
        <f ca="1">IF(OFFSET(PO!O$12,ROW(D322)-ROW(D$12),0)=0,"",OFFSET(PO!O$12,ROW(D322)-ROW(D$12),0))</f>
        <v>UN</v>
      </c>
      <c r="E322" s="140">
        <f ca="1">IF($A322&lt;&gt;"Serviço",0,ROUND(SUMIF($F$9:$P$9,"&lt;&gt;",$F322:$P322),15-13*PO!$X$3))</f>
        <v>106</v>
      </c>
      <c r="F322" s="361">
        <f ca="1">OFFSET(PO!$P$12,ROW($E322)-ROW(F$12),0)</f>
        <v>106</v>
      </c>
      <c r="G322" s="361"/>
      <c r="H322" s="361"/>
      <c r="I322" s="361"/>
      <c r="J322" s="361"/>
      <c r="K322" s="361"/>
      <c r="L322" s="361"/>
      <c r="M322" s="361"/>
      <c r="N322" s="361"/>
      <c r="O322" s="361"/>
      <c r="U322" s="182"/>
    </row>
    <row r="323" spans="1:21" s="1" customFormat="1" ht="39.6" x14ac:dyDescent="0.25">
      <c r="A323" s="110" t="str">
        <f ca="1">OFFSET(PO!J$12,ROW(A323)-ROW($A$12),0)</f>
        <v>Serviço</v>
      </c>
      <c r="B323" s="112" t="str">
        <f ca="1">IF($A323=0,"",OFFSET(PO!K$12,ROW(B323)-ROW(B$12),0))</f>
        <v>14.1.0.13.</v>
      </c>
      <c r="C323" s="109" t="str">
        <f ca="1">IF(OFFSET(PO!N$12,ROW(C323)-ROW(C$12),0)=0,"",OFFSET(PO!N$12,ROW(C323)-ROW(C$12),0))</f>
        <v>JUNÇÃO SIMPLES, PVC, SERIE NORMAL, ESGOTO PREDIAL, DN 100 X 50 MM, JUNTA ELÁSTICA, FORNECIDO E INSTALADO EM PRUMADA DE ESGOTO SANITÁRIO OU VENTILAÇÃO (UN)</v>
      </c>
      <c r="D323" s="111" t="str">
        <f ca="1">IF(OFFSET(PO!O$12,ROW(D323)-ROW(D$12),0)=0,"",OFFSET(PO!O$12,ROW(D323)-ROW(D$12),0))</f>
        <v>U N</v>
      </c>
      <c r="E323" s="140">
        <f ca="1">IF($A323&lt;&gt;"Serviço",0,ROUND(SUMIF($F$9:$P$9,"&lt;&gt;",$F323:$P323),15-13*PO!$X$3))</f>
        <v>14</v>
      </c>
      <c r="F323" s="361">
        <f ca="1">OFFSET(PO!$P$12,ROW($E323)-ROW(F$12),0)</f>
        <v>14</v>
      </c>
      <c r="G323" s="361"/>
      <c r="H323" s="361"/>
      <c r="I323" s="361"/>
      <c r="J323" s="361"/>
      <c r="K323" s="361"/>
      <c r="L323" s="361"/>
      <c r="M323" s="361"/>
      <c r="N323" s="361"/>
      <c r="O323" s="361"/>
      <c r="U323" s="182"/>
    </row>
    <row r="324" spans="1:21" s="1" customFormat="1" ht="39.6" x14ac:dyDescent="0.25">
      <c r="A324" s="110" t="str">
        <f ca="1">OFFSET(PO!J$12,ROW(A324)-ROW($A$12),0)</f>
        <v>Serviço</v>
      </c>
      <c r="B324" s="112" t="str">
        <f ca="1">IF($A324=0,"",OFFSET(PO!K$12,ROW(B324)-ROW(B$12),0))</f>
        <v>14.1.0.14.</v>
      </c>
      <c r="C324" s="109" t="str">
        <f ca="1">IF(OFFSET(PO!N$12,ROW(C324)-ROW(C$12),0)=0,"",OFFSET(PO!N$12,ROW(C324)-ROW(C$12),0))</f>
        <v>JUNÇÃO SIMPLES, PVC, SERIE NORMAL, ESGOTO PREDIAL, DN 100 X 100 MM, JUNTA ELÁSTICA, FORNECIDO E INSTALADO EM PRUMADA DE ESGOTO SANITÁRIO OU VENTILAÇÃO. AF_08/2022</v>
      </c>
      <c r="D324" s="111" t="str">
        <f ca="1">IF(OFFSET(PO!O$12,ROW(D324)-ROW(D$12),0)=0,"",OFFSET(PO!O$12,ROW(D324)-ROW(D$12),0))</f>
        <v>UN</v>
      </c>
      <c r="E324" s="140">
        <f ca="1">IF($A324&lt;&gt;"Serviço",0,ROUND(SUMIF($F$9:$P$9,"&lt;&gt;",$F324:$P324),15-13*PO!$X$3))</f>
        <v>8</v>
      </c>
      <c r="F324" s="361">
        <f ca="1">OFFSET(PO!$P$12,ROW($E324)-ROW(F$12),0)</f>
        <v>8</v>
      </c>
      <c r="G324" s="361"/>
      <c r="H324" s="361"/>
      <c r="I324" s="361"/>
      <c r="J324" s="361"/>
      <c r="K324" s="361"/>
      <c r="L324" s="361"/>
      <c r="M324" s="361"/>
      <c r="N324" s="361"/>
      <c r="O324" s="361"/>
      <c r="U324" s="182"/>
    </row>
    <row r="325" spans="1:21" s="1" customFormat="1" ht="39.6" x14ac:dyDescent="0.25">
      <c r="A325" s="110" t="str">
        <f ca="1">OFFSET(PO!J$12,ROW(A325)-ROW($A$12),0)</f>
        <v>Serviço</v>
      </c>
      <c r="B325" s="112" t="str">
        <f ca="1">IF($A325=0,"",OFFSET(PO!K$12,ROW(B325)-ROW(B$12),0))</f>
        <v>14.1.0.15.</v>
      </c>
      <c r="C325" s="109" t="str">
        <f ca="1">IF(OFFSET(PO!N$12,ROW(C325)-ROW(C$12),0)=0,"",OFFSET(PO!N$12,ROW(C325)-ROW(C$12),0))</f>
        <v>JUNÇÃO SIMPLES, PVC, SERIE NORMAL, ESGOTO PREDIAL, DN 75 X 50 MM, JUNTA ELÁSTICA, FORNECIDO E INSTALADO EM RAMAL DE DESCARGA OU RAMAL DE ESGOTO SANITÁRIO (UN)</v>
      </c>
      <c r="D325" s="111" t="str">
        <f ca="1">IF(OFFSET(PO!O$12,ROW(D325)-ROW(D$12),0)=0,"",OFFSET(PO!O$12,ROW(D325)-ROW(D$12),0))</f>
        <v>U N</v>
      </c>
      <c r="E325" s="140">
        <f ca="1">IF($A325&lt;&gt;"Serviço",0,ROUND(SUMIF($F$9:$P$9,"&lt;&gt;",$F325:$P325),15-13*PO!$X$3))</f>
        <v>1</v>
      </c>
      <c r="F325" s="361">
        <f ca="1">OFFSET(PO!$P$12,ROW($E325)-ROW(F$12),0)</f>
        <v>1</v>
      </c>
      <c r="G325" s="361"/>
      <c r="H325" s="361"/>
      <c r="I325" s="361"/>
      <c r="J325" s="361"/>
      <c r="K325" s="361"/>
      <c r="L325" s="361"/>
      <c r="M325" s="361"/>
      <c r="N325" s="361"/>
      <c r="O325" s="361"/>
      <c r="U325" s="182"/>
    </row>
    <row r="326" spans="1:21" s="1" customFormat="1" ht="39.6" x14ac:dyDescent="0.25">
      <c r="A326" s="110" t="str">
        <f ca="1">OFFSET(PO!J$12,ROW(A326)-ROW($A$12),0)</f>
        <v>Serviço</v>
      </c>
      <c r="B326" s="112" t="str">
        <f ca="1">IF($A326=0,"",OFFSET(PO!K$12,ROW(B326)-ROW(B$12),0))</f>
        <v>14.1.0.16.</v>
      </c>
      <c r="C326" s="109" t="str">
        <f ca="1">IF(OFFSET(PO!N$12,ROW(C326)-ROW(C$12),0)=0,"",OFFSET(PO!N$12,ROW(C326)-ROW(C$12),0))</f>
        <v>JUNÇÃO SIMPLES, PVC, SERIE NORMAL, ESGOTO PREDIAL, DN 50 X 50 MM, JUNTA ELÁSTICA, FORNECIDO E INSTALADO EM PRUMADA DE ESGOTO SANITÁRIO OU VENTILAÇÃO. AF_08/2022</v>
      </c>
      <c r="D326" s="111" t="str">
        <f ca="1">IF(OFFSET(PO!O$12,ROW(D326)-ROW(D$12),0)=0,"",OFFSET(PO!O$12,ROW(D326)-ROW(D$12),0))</f>
        <v>UN</v>
      </c>
      <c r="E326" s="140">
        <f ca="1">IF($A326&lt;&gt;"Serviço",0,ROUND(SUMIF($F$9:$P$9,"&lt;&gt;",$F326:$P326),15-13*PO!$X$3))</f>
        <v>9</v>
      </c>
      <c r="F326" s="361">
        <f ca="1">OFFSET(PO!$P$12,ROW($E326)-ROW(F$12),0)</f>
        <v>9</v>
      </c>
      <c r="G326" s="361"/>
      <c r="H326" s="361"/>
      <c r="I326" s="361"/>
      <c r="J326" s="361"/>
      <c r="K326" s="361"/>
      <c r="L326" s="361"/>
      <c r="M326" s="361"/>
      <c r="N326" s="361"/>
      <c r="O326" s="361"/>
      <c r="U326" s="182"/>
    </row>
    <row r="327" spans="1:21" s="1" customFormat="1" ht="39.6" x14ac:dyDescent="0.25">
      <c r="A327" s="110" t="str">
        <f ca="1">OFFSET(PO!J$12,ROW(A327)-ROW($A$12),0)</f>
        <v>Serviço</v>
      </c>
      <c r="B327" s="112" t="str">
        <f ca="1">IF($A327=0,"",OFFSET(PO!K$12,ROW(B327)-ROW(B$12),0))</f>
        <v>14.1.0.17.</v>
      </c>
      <c r="C327" s="109" t="str">
        <f ca="1">IF(OFFSET(PO!N$12,ROW(C327)-ROW(C$12),0)=0,"",OFFSET(PO!N$12,ROW(C327)-ROW(C$12),0))</f>
        <v>REDUÇÃO EXCÊNTRICA, PVC, SERIE R, ÁGUA PLUVIAL, DN 100 X 75 MM, JUNTA ELÁSTICA, FORNECIDO E INSTALADO EM RAMAL DE ENCAMINHAMENTO. AF_06/2022</v>
      </c>
      <c r="D327" s="111" t="str">
        <f ca="1">IF(OFFSET(PO!O$12,ROW(D327)-ROW(D$12),0)=0,"",OFFSET(PO!O$12,ROW(D327)-ROW(D$12),0))</f>
        <v>UN</v>
      </c>
      <c r="E327" s="140">
        <f ca="1">IF($A327&lt;&gt;"Serviço",0,ROUND(SUMIF($F$9:$P$9,"&lt;&gt;",$F327:$P327),15-13*PO!$X$3))</f>
        <v>1</v>
      </c>
      <c r="F327" s="361">
        <f ca="1">OFFSET(PO!$P$12,ROW($E327)-ROW(F$12),0)</f>
        <v>1</v>
      </c>
      <c r="G327" s="361"/>
      <c r="H327" s="361"/>
      <c r="I327" s="361"/>
      <c r="J327" s="361"/>
      <c r="K327" s="361"/>
      <c r="L327" s="361"/>
      <c r="M327" s="361"/>
      <c r="N327" s="361"/>
      <c r="O327" s="361"/>
      <c r="U327" s="182"/>
    </row>
    <row r="328" spans="1:21" s="1" customFormat="1" ht="39.6" x14ac:dyDescent="0.25">
      <c r="A328" s="110" t="str">
        <f ca="1">OFFSET(PO!J$12,ROW(A328)-ROW($A$12),0)</f>
        <v>Serviço</v>
      </c>
      <c r="B328" s="112" t="str">
        <f ca="1">IF($A328=0,"",OFFSET(PO!K$12,ROW(B328)-ROW(B$12),0))</f>
        <v>14.1.0.18.</v>
      </c>
      <c r="C328" s="109" t="str">
        <f ca="1">IF(OFFSET(PO!N$12,ROW(C328)-ROW(C$12),0)=0,"",OFFSET(PO!N$12,ROW(C328)-ROW(C$12),0))</f>
        <v>CAIXA ENTERRADA HIDRÁULICA RETANGULAR EM ALVENARIA COM TIJOLOS CERÂMICOS MACIÇOS, DIMENSÕES INTERNAS: 0,6X0,6X0,6 M PARA REDE DE DRENAGEM. AF_12/2020</v>
      </c>
      <c r="D328" s="111" t="str">
        <f ca="1">IF(OFFSET(PO!O$12,ROW(D328)-ROW(D$12),0)=0,"",OFFSET(PO!O$12,ROW(D328)-ROW(D$12),0))</f>
        <v>UN</v>
      </c>
      <c r="E328" s="140">
        <f ca="1">IF($A328&lt;&gt;"Serviço",0,ROUND(SUMIF($F$9:$P$9,"&lt;&gt;",$F328:$P328),15-13*PO!$X$3))</f>
        <v>16</v>
      </c>
      <c r="F328" s="361">
        <f ca="1">OFFSET(PO!$P$12,ROW($E328)-ROW(F$12),0)</f>
        <v>16</v>
      </c>
      <c r="G328" s="361"/>
      <c r="H328" s="361"/>
      <c r="I328" s="361"/>
      <c r="J328" s="361"/>
      <c r="K328" s="361"/>
      <c r="L328" s="361"/>
      <c r="M328" s="361"/>
      <c r="N328" s="361"/>
      <c r="O328" s="361"/>
      <c r="U328" s="182"/>
    </row>
    <row r="329" spans="1:21" s="1" customFormat="1" ht="39.6" x14ac:dyDescent="0.25">
      <c r="A329" s="110" t="str">
        <f ca="1">OFFSET(PO!J$12,ROW(A329)-ROW($A$12),0)</f>
        <v>Serviço</v>
      </c>
      <c r="B329" s="112" t="str">
        <f ca="1">IF($A329=0,"",OFFSET(PO!K$12,ROW(B329)-ROW(B$12),0))</f>
        <v>14.1.0.19.</v>
      </c>
      <c r="C329" s="109" t="str">
        <f ca="1">IF(OFFSET(PO!N$12,ROW(C329)-ROW(C$12),0)=0,"",OFFSET(PO!N$12,ROW(C329)-ROW(C$12),0))</f>
        <v>CAIXA SIFONADA, PVC, DN 150 X 185 X 75 MM, JUNTA ELÁSTICA, FORNECIDA E INSTALADA EM RAMAL DE DESCARGA OU EM RAMAL DE ESGOTO SANITÁRIO. AF_08/2022</v>
      </c>
      <c r="D329" s="111" t="str">
        <f ca="1">IF(OFFSET(PO!O$12,ROW(D329)-ROW(D$12),0)=0,"",OFFSET(PO!O$12,ROW(D329)-ROW(D$12),0))</f>
        <v>UN</v>
      </c>
      <c r="E329" s="140">
        <f ca="1">IF($A329&lt;&gt;"Serviço",0,ROUND(SUMIF($F$9:$P$9,"&lt;&gt;",$F329:$P329),15-13*PO!$X$3))</f>
        <v>19</v>
      </c>
      <c r="F329" s="361">
        <f ca="1">OFFSET(PO!$P$12,ROW($E329)-ROW(F$12),0)</f>
        <v>19</v>
      </c>
      <c r="G329" s="361"/>
      <c r="H329" s="361"/>
      <c r="I329" s="361"/>
      <c r="J329" s="361"/>
      <c r="K329" s="361"/>
      <c r="L329" s="361"/>
      <c r="M329" s="361"/>
      <c r="N329" s="361"/>
      <c r="O329" s="361"/>
      <c r="U329" s="182"/>
    </row>
    <row r="330" spans="1:21" s="1" customFormat="1" ht="39.6" x14ac:dyDescent="0.25">
      <c r="A330" s="110" t="str">
        <f ca="1">OFFSET(PO!J$12,ROW(A330)-ROW($A$12),0)</f>
        <v>Serviço</v>
      </c>
      <c r="B330" s="112" t="str">
        <f ca="1">IF($A330=0,"",OFFSET(PO!K$12,ROW(B330)-ROW(B$12),0))</f>
        <v>14.1.0.20.</v>
      </c>
      <c r="C330" s="109" t="str">
        <f ca="1">IF(OFFSET(PO!N$12,ROW(C330)-ROW(C$12),0)=0,"",OFFSET(PO!N$12,ROW(C330)-ROW(C$12),0))</f>
        <v>TÊ, PVC, SERIE R, ÁGUA PLUVIAL, DN 100 X 75 MM, JUNTA ELÁSTICA, FORNECIDO E INSTALADO EM CONDUTORES VERTICAIS DE ÁGUAS PLUVIAIS. AF_06/2022</v>
      </c>
      <c r="D330" s="111" t="str">
        <f ca="1">IF(OFFSET(PO!O$12,ROW(D330)-ROW(D$12),0)=0,"",OFFSET(PO!O$12,ROW(D330)-ROW(D$12),0))</f>
        <v>UN</v>
      </c>
      <c r="E330" s="140">
        <f ca="1">IF($A330&lt;&gt;"Serviço",0,ROUND(SUMIF($F$9:$P$9,"&lt;&gt;",$F330:$P330),15-13*PO!$X$3))</f>
        <v>12</v>
      </c>
      <c r="F330" s="361">
        <f ca="1">OFFSET(PO!$P$12,ROW($E330)-ROW(F$12),0)</f>
        <v>12</v>
      </c>
      <c r="G330" s="361"/>
      <c r="H330" s="361"/>
      <c r="I330" s="361"/>
      <c r="J330" s="361"/>
      <c r="K330" s="361"/>
      <c r="L330" s="361"/>
      <c r="M330" s="361"/>
      <c r="N330" s="361"/>
      <c r="O330" s="361"/>
      <c r="U330" s="182"/>
    </row>
    <row r="331" spans="1:21" s="1" customFormat="1" ht="39.6" x14ac:dyDescent="0.25">
      <c r="A331" s="110" t="str">
        <f ca="1">OFFSET(PO!J$12,ROW(A331)-ROW($A$12),0)</f>
        <v>Serviço</v>
      </c>
      <c r="B331" s="112" t="str">
        <f ca="1">IF($A331=0,"",OFFSET(PO!K$12,ROW(B331)-ROW(B$12),0))</f>
        <v>14.1.0.21.</v>
      </c>
      <c r="C331" s="109" t="str">
        <f ca="1">IF(OFFSET(PO!N$12,ROW(C331)-ROW(C$12),0)=0,"",OFFSET(PO!N$12,ROW(C331)-ROW(C$12),0))</f>
        <v>TÊ, PVC, SERIE R, ÁGUA PLUVIAL, DN 100 X 50 MM, JUNTA ELÁSTICA, FORNECIDO E INSTALADO EM CONDUTORES VERTICAIS DE ÁGUAS PLUVIAIS (UN)</v>
      </c>
      <c r="D331" s="111" t="str">
        <f ca="1">IF(OFFSET(PO!O$12,ROW(D331)-ROW(D$12),0)=0,"",OFFSET(PO!O$12,ROW(D331)-ROW(D$12),0))</f>
        <v>U N</v>
      </c>
      <c r="E331" s="140">
        <f ca="1">IF($A331&lt;&gt;"Serviço",0,ROUND(SUMIF($F$9:$P$9,"&lt;&gt;",$F331:$P331),15-13*PO!$X$3))</f>
        <v>4</v>
      </c>
      <c r="F331" s="361">
        <f ca="1">OFFSET(PO!$P$12,ROW($E331)-ROW(F$12),0)</f>
        <v>4</v>
      </c>
      <c r="G331" s="361"/>
      <c r="H331" s="361"/>
      <c r="I331" s="361"/>
      <c r="J331" s="361"/>
      <c r="K331" s="361"/>
      <c r="L331" s="361"/>
      <c r="M331" s="361"/>
      <c r="N331" s="361"/>
      <c r="O331" s="361"/>
      <c r="U331" s="182"/>
    </row>
    <row r="332" spans="1:21" s="1" customFormat="1" ht="39.6" x14ac:dyDescent="0.25">
      <c r="A332" s="110" t="str">
        <f ca="1">OFFSET(PO!J$12,ROW(A332)-ROW($A$12),0)</f>
        <v>Serviço</v>
      </c>
      <c r="B332" s="112" t="str">
        <f ca="1">IF($A332=0,"",OFFSET(PO!K$12,ROW(B332)-ROW(B$12),0))</f>
        <v>14.1.0.22.</v>
      </c>
      <c r="C332" s="109" t="str">
        <f ca="1">IF(OFFSET(PO!N$12,ROW(C332)-ROW(C$12),0)=0,"",OFFSET(PO!N$12,ROW(C332)-ROW(C$12),0))</f>
        <v>TE, PVC, SERIE NORMAL, ESGOTO PREDIAL, DN 50 X 50 MM, JUNTA ELÁSTICA, FORNECIDO E INSTALADO EM RAMAL DE DESCARGA OU RAMAL DE ESGOTO SANITÁRIO. AF_08/2022</v>
      </c>
      <c r="D332" s="111" t="str">
        <f ca="1">IF(OFFSET(PO!O$12,ROW(D332)-ROW(D$12),0)=0,"",OFFSET(PO!O$12,ROW(D332)-ROW(D$12),0))</f>
        <v>UN</v>
      </c>
      <c r="E332" s="140">
        <f ca="1">IF($A332&lt;&gt;"Serviço",0,ROUND(SUMIF($F$9:$P$9,"&lt;&gt;",$F332:$P332),15-13*PO!$X$3))</f>
        <v>13</v>
      </c>
      <c r="F332" s="361">
        <f ca="1">OFFSET(PO!$P$12,ROW($E332)-ROW(F$12),0)</f>
        <v>13</v>
      </c>
      <c r="G332" s="361"/>
      <c r="H332" s="361"/>
      <c r="I332" s="361"/>
      <c r="J332" s="361"/>
      <c r="K332" s="361"/>
      <c r="L332" s="361"/>
      <c r="M332" s="361"/>
      <c r="N332" s="361"/>
      <c r="O332" s="361"/>
      <c r="U332" s="182"/>
    </row>
    <row r="333" spans="1:21" s="1" customFormat="1" ht="39.6" x14ac:dyDescent="0.25">
      <c r="A333" s="110" t="str">
        <f ca="1">OFFSET(PO!J$12,ROW(A333)-ROW($A$12),0)</f>
        <v>Serviço</v>
      </c>
      <c r="B333" s="112" t="str">
        <f ca="1">IF($A333=0,"",OFFSET(PO!K$12,ROW(B333)-ROW(B$12),0))</f>
        <v>14.1.0.23.</v>
      </c>
      <c r="C333" s="109" t="str">
        <f ca="1">IF(OFFSET(PO!N$12,ROW(C333)-ROW(C$12),0)=0,"",OFFSET(PO!N$12,ROW(C333)-ROW(C$12),0))</f>
        <v>TÊ, PVC, SERIE R, ÁGUA PLUVIAL, DN 75 X 75 MM, JUNTA ELÁSTICA, FORNECIDO E INSTALADO EM CONDUTORES VERTICAIS DE ÁGUAS PLUVIAIS. AF_06/2022</v>
      </c>
      <c r="D333" s="111" t="str">
        <f ca="1">IF(OFFSET(PO!O$12,ROW(D333)-ROW(D$12),0)=0,"",OFFSET(PO!O$12,ROW(D333)-ROW(D$12),0))</f>
        <v>UN</v>
      </c>
      <c r="E333" s="140">
        <f ca="1">IF($A333&lt;&gt;"Serviço",0,ROUND(SUMIF($F$9:$P$9,"&lt;&gt;",$F333:$P333),15-13*PO!$X$3))</f>
        <v>1</v>
      </c>
      <c r="F333" s="361">
        <f ca="1">OFFSET(PO!$P$12,ROW($E333)-ROW(F$12),0)</f>
        <v>1</v>
      </c>
      <c r="G333" s="361"/>
      <c r="H333" s="361"/>
      <c r="I333" s="361"/>
      <c r="J333" s="361"/>
      <c r="K333" s="361"/>
      <c r="L333" s="361"/>
      <c r="M333" s="361"/>
      <c r="N333" s="361"/>
      <c r="O333" s="361"/>
      <c r="U333" s="182"/>
    </row>
    <row r="334" spans="1:21" s="1" customFormat="1" ht="26.4" x14ac:dyDescent="0.25">
      <c r="A334" s="110" t="str">
        <f ca="1">OFFSET(PO!J$12,ROW(A334)-ROW($A$12),0)</f>
        <v>Serviço</v>
      </c>
      <c r="B334" s="112" t="str">
        <f ca="1">IF($A334=0,"",OFFSET(PO!K$12,ROW(B334)-ROW(B$12),0))</f>
        <v>14.1.0.24.</v>
      </c>
      <c r="C334" s="109" t="str">
        <f ca="1">IF(OFFSET(PO!N$12,ROW(C334)-ROW(C$12),0)=0,"",OFFSET(PO!N$12,ROW(C334)-ROW(C$12),0))</f>
        <v>TE, PVC, SOLDÁVEL, DN 40MM, INSTALADO EM PRUMADA DE ÁGUA - FORNECIMENTO E INSTALAÇÃO. AF_06/2022</v>
      </c>
      <c r="D334" s="111" t="str">
        <f ca="1">IF(OFFSET(PO!O$12,ROW(D334)-ROW(D$12),0)=0,"",OFFSET(PO!O$12,ROW(D334)-ROW(D$12),0))</f>
        <v>UN</v>
      </c>
      <c r="E334" s="140">
        <f ca="1">IF($A334&lt;&gt;"Serviço",0,ROUND(SUMIF($F$9:$P$9,"&lt;&gt;",$F334:$P334),15-13*PO!$X$3))</f>
        <v>12</v>
      </c>
      <c r="F334" s="361">
        <f ca="1">OFFSET(PO!$P$12,ROW($E334)-ROW(F$12),0)</f>
        <v>12</v>
      </c>
      <c r="G334" s="361"/>
      <c r="H334" s="361"/>
      <c r="I334" s="361"/>
      <c r="J334" s="361"/>
      <c r="K334" s="361"/>
      <c r="L334" s="361"/>
      <c r="M334" s="361"/>
      <c r="N334" s="361"/>
      <c r="O334" s="361"/>
      <c r="U334" s="182"/>
    </row>
    <row r="335" spans="1:21" s="1" customFormat="1" ht="39.6" x14ac:dyDescent="0.25">
      <c r="A335" s="110" t="str">
        <f ca="1">OFFSET(PO!J$12,ROW(A335)-ROW($A$12),0)</f>
        <v>Serviço</v>
      </c>
      <c r="B335" s="112" t="str">
        <f ca="1">IF($A335=0,"",OFFSET(PO!K$12,ROW(B335)-ROW(B$12),0))</f>
        <v>14.1.0.25.</v>
      </c>
      <c r="C335" s="109" t="str">
        <f ca="1">IF(OFFSET(PO!N$12,ROW(C335)-ROW(C$12),0)=0,"",OFFSET(PO!N$12,ROW(C335)-ROW(C$12),0))</f>
        <v>RALO SECO, PVC, DN 100 X 40 MM, JUNTA SOLDÁVEL, FORNECIDO E INSTALADO EM RAMAL DE DESCARGA OU EM RAMAL DE ESGOTO SANITÁRIO. AF_08/2022</v>
      </c>
      <c r="D335" s="111" t="str">
        <f ca="1">IF(OFFSET(PO!O$12,ROW(D335)-ROW(D$12),0)=0,"",OFFSET(PO!O$12,ROW(D335)-ROW(D$12),0))</f>
        <v>UN</v>
      </c>
      <c r="E335" s="140">
        <f ca="1">IF($A335&lt;&gt;"Serviço",0,ROUND(SUMIF($F$9:$P$9,"&lt;&gt;",$F335:$P335),15-13*PO!$X$3))</f>
        <v>15</v>
      </c>
      <c r="F335" s="361">
        <f ca="1">OFFSET(PO!$P$12,ROW($E335)-ROW(F$12),0)</f>
        <v>15</v>
      </c>
      <c r="G335" s="361"/>
      <c r="H335" s="361"/>
      <c r="I335" s="361"/>
      <c r="J335" s="361"/>
      <c r="K335" s="361"/>
      <c r="L335" s="361"/>
      <c r="M335" s="361"/>
      <c r="N335" s="361"/>
      <c r="O335" s="361"/>
      <c r="U335" s="182"/>
    </row>
    <row r="336" spans="1:21" s="1" customFormat="1" ht="39.6" x14ac:dyDescent="0.25">
      <c r="A336" s="110" t="str">
        <f ca="1">OFFSET(PO!J$12,ROW(A336)-ROW($A$12),0)</f>
        <v>Serviço</v>
      </c>
      <c r="B336" s="112" t="str">
        <f ca="1">IF($A336=0,"",OFFSET(PO!K$12,ROW(B336)-ROW(B$12),0))</f>
        <v>14.1.0.26.</v>
      </c>
      <c r="C336" s="109" t="str">
        <f ca="1">IF(OFFSET(PO!N$12,ROW(C336)-ROW(C$12),0)=0,"",OFFSET(PO!N$12,ROW(C336)-ROW(C$12),0))</f>
        <v>RALO LINEAR,  COM GRELHA INOX, JUNTA SOLDÁVEL, FORNECIDO E INSTALADO EM RAMAL DE DESCARGA OU EM RAMAL DE ESGOTO SANITÁRIO (M)</v>
      </c>
      <c r="D336" s="111" t="str">
        <f ca="1">IF(OFFSET(PO!O$12,ROW(D336)-ROW(D$12),0)=0,"",OFFSET(PO!O$12,ROW(D336)-ROW(D$12),0))</f>
        <v>M</v>
      </c>
      <c r="E336" s="140">
        <f ca="1">IF($A336&lt;&gt;"Serviço",0,ROUND(SUMIF($F$9:$P$9,"&lt;&gt;",$F336:$P336),15-13*PO!$X$3))</f>
        <v>3</v>
      </c>
      <c r="F336" s="361">
        <f ca="1">OFFSET(PO!$P$12,ROW($E336)-ROW(F$12),0)</f>
        <v>3</v>
      </c>
      <c r="G336" s="361"/>
      <c r="H336" s="361"/>
      <c r="I336" s="361"/>
      <c r="J336" s="361"/>
      <c r="K336" s="361"/>
      <c r="L336" s="361"/>
      <c r="M336" s="361"/>
      <c r="N336" s="361"/>
      <c r="O336" s="361"/>
      <c r="U336" s="182"/>
    </row>
    <row r="337" spans="1:21" s="1" customFormat="1" ht="52.8" x14ac:dyDescent="0.25">
      <c r="A337" s="110" t="str">
        <f ca="1">OFFSET(PO!J$12,ROW(A337)-ROW($A$12),0)</f>
        <v>Serviço</v>
      </c>
      <c r="B337" s="112" t="str">
        <f ca="1">IF($A337=0,"",OFFSET(PO!K$12,ROW(B337)-ROW(B$12),0))</f>
        <v>14.1.0.27.</v>
      </c>
      <c r="C337" s="109" t="str">
        <f ca="1">IF(OFFSET(PO!N$12,ROW(C337)-ROW(C$12),0)=0,"",OFFSET(PO!N$12,ROW(C337)-ROW(C$12),0))</f>
        <v>TERMINAL DE VENTILAÇÃO, PVC, SÉRIE NORMAL, ESGOTO PREDIAL, DN 75 MM, JUNTA SOLDÁVEL, FORNECIDO E INSTALADO EM PRUMADA DE ESGOTO SANITÁRIO OU VENTILAÇÃO. AF_08/2022</v>
      </c>
      <c r="D337" s="111" t="str">
        <f ca="1">IF(OFFSET(PO!O$12,ROW(D337)-ROW(D$12),0)=0,"",OFFSET(PO!O$12,ROW(D337)-ROW(D$12),0))</f>
        <v>UN</v>
      </c>
      <c r="E337" s="140">
        <f ca="1">IF($A337&lt;&gt;"Serviço",0,ROUND(SUMIF($F$9:$P$9,"&lt;&gt;",$F337:$P337),15-13*PO!$X$3))</f>
        <v>9</v>
      </c>
      <c r="F337" s="361">
        <f ca="1">OFFSET(PO!$P$12,ROW($E337)-ROW(F$12),0)</f>
        <v>9</v>
      </c>
      <c r="G337" s="361"/>
      <c r="H337" s="361"/>
      <c r="I337" s="361"/>
      <c r="J337" s="361"/>
      <c r="K337" s="361"/>
      <c r="L337" s="361"/>
      <c r="M337" s="361"/>
      <c r="N337" s="361"/>
      <c r="O337" s="361"/>
      <c r="U337" s="182"/>
    </row>
    <row r="338" spans="1:21" s="1" customFormat="1" ht="52.8" x14ac:dyDescent="0.25">
      <c r="A338" s="110" t="str">
        <f ca="1">OFFSET(PO!J$12,ROW(A338)-ROW($A$12),0)</f>
        <v>Serviço</v>
      </c>
      <c r="B338" s="112" t="str">
        <f ca="1">IF($A338=0,"",OFFSET(PO!K$12,ROW(B338)-ROW(B$12),0))</f>
        <v>14.1.0.28.</v>
      </c>
      <c r="C338" s="109" t="str">
        <f ca="1">IF(OFFSET(PO!N$12,ROW(C338)-ROW(C$12),0)=0,"",OFFSET(PO!N$12,ROW(C338)-ROW(C$12),0))</f>
        <v>TERMINAL DE VENTILAÇÃO, PVC, SÉRIE NORMAL, ESGOTO PREDIAL, DN 50 MM, JUNTA SOLDÁVEL, FORNECIDO E INSTALADO EM PRUMADA DE ESGOTO SANITÁRIO OU VENTILAÇÃO. AF_08/2022</v>
      </c>
      <c r="D338" s="111" t="str">
        <f ca="1">IF(OFFSET(PO!O$12,ROW(D338)-ROW(D$12),0)=0,"",OFFSET(PO!O$12,ROW(D338)-ROW(D$12),0))</f>
        <v>UN</v>
      </c>
      <c r="E338" s="140">
        <f ca="1">IF($A338&lt;&gt;"Serviço",0,ROUND(SUMIF($F$9:$P$9,"&lt;&gt;",$F338:$P338),15-13*PO!$X$3))</f>
        <v>9</v>
      </c>
      <c r="F338" s="361">
        <f ca="1">OFFSET(PO!$P$12,ROW($E338)-ROW(F$12),0)</f>
        <v>9</v>
      </c>
      <c r="G338" s="361"/>
      <c r="H338" s="361"/>
      <c r="I338" s="361"/>
      <c r="J338" s="361"/>
      <c r="K338" s="361"/>
      <c r="L338" s="361"/>
      <c r="M338" s="361"/>
      <c r="N338" s="361"/>
      <c r="O338" s="361"/>
      <c r="U338" s="182"/>
    </row>
    <row r="339" spans="1:21" s="1" customFormat="1" ht="52.8" x14ac:dyDescent="0.25">
      <c r="A339" s="110" t="str">
        <f ca="1">OFFSET(PO!J$12,ROW(A339)-ROW($A$12),0)</f>
        <v>Serviço</v>
      </c>
      <c r="B339" s="112" t="str">
        <f ca="1">IF($A339=0,"",OFFSET(PO!K$12,ROW(B339)-ROW(B$12),0))</f>
        <v>14.1.0.29.</v>
      </c>
      <c r="C339" s="109" t="str">
        <f ca="1">IF(OFFSET(PO!N$12,ROW(C339)-ROW(C$12),0)=0,"",OFFSET(PO!N$12,ROW(C339)-ROW(C$12),0))</f>
        <v>BUCHA DE REDUÇÃO LONGA, PVC, SÉRIE NORMAL, ESGOTO PREDIAL, DN 50 X 40 MM, JUNTA SOLDÁVEL E ELÁSTICA, FORNECIDO E INSTALADO EM RAMAL DE DESCARGA OU RAMAL DE ESGOTO SANITÁRIO. AF_08/2022</v>
      </c>
      <c r="D339" s="111" t="str">
        <f ca="1">IF(OFFSET(PO!O$12,ROW(D339)-ROW(D$12),0)=0,"",OFFSET(PO!O$12,ROW(D339)-ROW(D$12),0))</f>
        <v>UN</v>
      </c>
      <c r="E339" s="140">
        <f ca="1">IF($A339&lt;&gt;"Serviço",0,ROUND(SUMIF($F$9:$P$9,"&lt;&gt;",$F339:$P339),15-13*PO!$X$3))</f>
        <v>25</v>
      </c>
      <c r="F339" s="361">
        <f ca="1">OFFSET(PO!$P$12,ROW($E339)-ROW(F$12),0)</f>
        <v>25</v>
      </c>
      <c r="G339" s="361"/>
      <c r="H339" s="361"/>
      <c r="I339" s="361"/>
      <c r="J339" s="361"/>
      <c r="K339" s="361"/>
      <c r="L339" s="361"/>
      <c r="M339" s="361"/>
      <c r="N339" s="361"/>
      <c r="O339" s="361"/>
      <c r="U339" s="182"/>
    </row>
    <row r="340" spans="1:21" s="1" customFormat="1" x14ac:dyDescent="0.25">
      <c r="A340" s="110" t="str">
        <f ca="1">OFFSET(PO!J$12,ROW(A340)-ROW($A$12),0)</f>
        <v>Nível 2</v>
      </c>
      <c r="B340" s="112" t="str">
        <f ca="1">IF($A340=0,"",OFFSET(PO!K$12,ROW(B340)-ROW(B$12),0))</f>
        <v>14.2.</v>
      </c>
      <c r="C340" s="109" t="str">
        <f ca="1">IF(OFFSET(PO!N$12,ROW(C340)-ROW(C$12),0)=0,"",OFFSET(PO!N$12,ROW(C340)-ROW(C$12),0))</f>
        <v>UNIDADE DE TRATAMENTO</v>
      </c>
      <c r="D340" s="111" t="str">
        <f ca="1">IF(OFFSET(PO!O$12,ROW(D340)-ROW(D$12),0)=0,"",OFFSET(PO!O$12,ROW(D340)-ROW(D$12),0))</f>
        <v/>
      </c>
      <c r="E340" s="140">
        <f ca="1">IF($A340&lt;&gt;"Serviço",0,ROUND(SUMIF($F$9:$P$9,"&lt;&gt;",$F340:$P340),15-13*PO!$X$3))</f>
        <v>0</v>
      </c>
      <c r="F340" s="361">
        <f ca="1">OFFSET(PO!$P$12,ROW($E340)-ROW(F$12),0)</f>
        <v>0</v>
      </c>
      <c r="G340" s="361"/>
      <c r="H340" s="361"/>
      <c r="I340" s="361"/>
      <c r="J340" s="361"/>
      <c r="K340" s="361"/>
      <c r="L340" s="361"/>
      <c r="M340" s="361"/>
      <c r="N340" s="361"/>
      <c r="O340" s="361"/>
      <c r="U340" s="182"/>
    </row>
    <row r="341" spans="1:21" s="1" customFormat="1" ht="39.6" x14ac:dyDescent="0.25">
      <c r="A341" s="110" t="str">
        <f ca="1">OFFSET(PO!J$12,ROW(A341)-ROW($A$12),0)</f>
        <v>Serviço</v>
      </c>
      <c r="B341" s="112" t="str">
        <f ca="1">IF($A341=0,"",OFFSET(PO!K$12,ROW(B341)-ROW(B$12),0))</f>
        <v>14.2.0.1.</v>
      </c>
      <c r="C341" s="109" t="str">
        <f ca="1">IF(OFFSET(PO!N$12,ROW(C341)-ROW(C$12),0)=0,"",OFFSET(PO!N$12,ROW(C341)-ROW(C$12),0))</f>
        <v>TANQUE SÉPTICO RETANGULAR, EM ALVENARIA COM BLOCOS DE CONCRETO, DIMENSÕES INTERNAS: 1,6 X 4,6 X H=2,4 M, VOLUME ÚTIL: 14720 L (PARA 105 CONTRIBUINTES). AF_12/2020</v>
      </c>
      <c r="D341" s="111" t="str">
        <f ca="1">IF(OFFSET(PO!O$12,ROW(D341)-ROW(D$12),0)=0,"",OFFSET(PO!O$12,ROW(D341)-ROW(D$12),0))</f>
        <v>UN</v>
      </c>
      <c r="E341" s="140">
        <f ca="1">IF($A341&lt;&gt;"Serviço",0,ROUND(SUMIF($F$9:$P$9,"&lt;&gt;",$F341:$P341),15-13*PO!$X$3))</f>
        <v>1</v>
      </c>
      <c r="F341" s="361">
        <f ca="1">OFFSET(PO!$P$12,ROW($E341)-ROW(F$12),0)</f>
        <v>1</v>
      </c>
      <c r="G341" s="361"/>
      <c r="H341" s="361"/>
      <c r="I341" s="361"/>
      <c r="J341" s="361"/>
      <c r="K341" s="361"/>
      <c r="L341" s="361"/>
      <c r="M341" s="361"/>
      <c r="N341" s="361"/>
      <c r="O341" s="361"/>
      <c r="U341" s="182"/>
    </row>
    <row r="342" spans="1:21" s="1" customFormat="1" ht="39.6" x14ac:dyDescent="0.25">
      <c r="A342" s="110" t="str">
        <f ca="1">OFFSET(PO!J$12,ROW(A342)-ROW($A$12),0)</f>
        <v>Serviço</v>
      </c>
      <c r="B342" s="112" t="str">
        <f ca="1">IF($A342=0,"",OFFSET(PO!K$12,ROW(B342)-ROW(B$12),0))</f>
        <v>14.2.0.2.</v>
      </c>
      <c r="C342" s="109" t="str">
        <f ca="1">IF(OFFSET(PO!N$12,ROW(C342)-ROW(C$12),0)=0,"",OFFSET(PO!N$12,ROW(C342)-ROW(C$12),0))</f>
        <v>FILTRO ANAERÓBIO RETANGULAR, EM ALVENARIA COM BLOCOS DE CONCRETO, DIMENSÕES INTERNAS: 1,6 X 5,6 X H=1,67 M, VOLUME ÚTIL: 10752 L (PARA 103 CONTRIBUINTES). AF_12/2020</v>
      </c>
      <c r="D342" s="111" t="str">
        <f ca="1">IF(OFFSET(PO!O$12,ROW(D342)-ROW(D$12),0)=0,"",OFFSET(PO!O$12,ROW(D342)-ROW(D$12),0))</f>
        <v>UN</v>
      </c>
      <c r="E342" s="140">
        <f ca="1">IF($A342&lt;&gt;"Serviço",0,ROUND(SUMIF($F$9:$P$9,"&lt;&gt;",$F342:$P342),15-13*PO!$X$3))</f>
        <v>1</v>
      </c>
      <c r="F342" s="361">
        <f ca="1">OFFSET(PO!$P$12,ROW($E342)-ROW(F$12),0)</f>
        <v>1</v>
      </c>
      <c r="G342" s="361"/>
      <c r="H342" s="361"/>
      <c r="I342" s="361"/>
      <c r="J342" s="361"/>
      <c r="K342" s="361"/>
      <c r="L342" s="361"/>
      <c r="M342" s="361"/>
      <c r="N342" s="361"/>
      <c r="O342" s="361"/>
      <c r="U342" s="182"/>
    </row>
    <row r="343" spans="1:21" s="1" customFormat="1" x14ac:dyDescent="0.25">
      <c r="A343" s="110" t="str">
        <f ca="1">OFFSET(PO!J$12,ROW(A343)-ROW($A$12),0)</f>
        <v>Meta</v>
      </c>
      <c r="B343" s="112" t="str">
        <f ca="1">IF($A343=0,"",OFFSET(PO!K$12,ROW(B343)-ROW(B$12),0))</f>
        <v>15.</v>
      </c>
      <c r="C343" s="109" t="str">
        <f ca="1">IF(OFFSET(PO!N$12,ROW(C343)-ROW(C$12),0)=0,"",OFFSET(PO!N$12,ROW(C343)-ROW(C$12),0))</f>
        <v>LOUÇAS ACESSÓRIOS E METAIS</v>
      </c>
      <c r="D343" s="111" t="str">
        <f ca="1">IF(OFFSET(PO!O$12,ROW(D343)-ROW(D$12),0)=0,"",OFFSET(PO!O$12,ROW(D343)-ROW(D$12),0))</f>
        <v/>
      </c>
      <c r="E343" s="140">
        <f ca="1">IF($A343&lt;&gt;"Serviço",0,ROUND(SUMIF($F$9:$P$9,"&lt;&gt;",$F343:$P343),15-13*PO!$X$3))</f>
        <v>0</v>
      </c>
      <c r="F343" s="361">
        <f ca="1">OFFSET(PO!$P$12,ROW($E343)-ROW(F$12),0)</f>
        <v>0</v>
      </c>
      <c r="G343" s="361"/>
      <c r="H343" s="361"/>
      <c r="I343" s="361"/>
      <c r="J343" s="361"/>
      <c r="K343" s="361"/>
      <c r="L343" s="361"/>
      <c r="M343" s="361"/>
      <c r="N343" s="361"/>
      <c r="O343" s="361"/>
      <c r="U343" s="182"/>
    </row>
    <row r="344" spans="1:21" s="1" customFormat="1" ht="52.8" x14ac:dyDescent="0.25">
      <c r="A344" s="110" t="str">
        <f ca="1">OFFSET(PO!J$12,ROW(A344)-ROW($A$12),0)</f>
        <v>Serviço</v>
      </c>
      <c r="B344" s="112" t="str">
        <f ca="1">IF($A344=0,"",OFFSET(PO!K$12,ROW(B344)-ROW(B$12),0))</f>
        <v>15.0.0.1.</v>
      </c>
      <c r="C344" s="109" t="str">
        <f ca="1">IF(OFFSET(PO!N$12,ROW(C344)-ROW(C$12),0)=0,"",OFFSET(PO!N$12,ROW(C344)-ROW(C$12),0))</f>
        <v>VASO SANITARIO SIFONADO CONVENCIONAL COM LOUÇA BRANCA, INCLUSO CONJUNTO DE LIGAÇÃO PARA BACIA SANITÁRIA AJUSTÁVEL - FORNECIMENTO E INSTALAÇÃO. AF_01/2020</v>
      </c>
      <c r="D344" s="111" t="str">
        <f ca="1">IF(OFFSET(PO!O$12,ROW(D344)-ROW(D$12),0)=0,"",OFFSET(PO!O$12,ROW(D344)-ROW(D$12),0))</f>
        <v>UN</v>
      </c>
      <c r="E344" s="140">
        <f ca="1">IF($A344&lt;&gt;"Serviço",0,ROUND(SUMIF($F$9:$P$9,"&lt;&gt;",$F344:$P344),15-13*PO!$X$3))</f>
        <v>4</v>
      </c>
      <c r="F344" s="361">
        <f ca="1">OFFSET(PO!$P$12,ROW($E344)-ROW(F$12),0)</f>
        <v>4</v>
      </c>
      <c r="G344" s="361"/>
      <c r="H344" s="361"/>
      <c r="I344" s="361"/>
      <c r="J344" s="361"/>
      <c r="K344" s="361"/>
      <c r="L344" s="361"/>
      <c r="M344" s="361"/>
      <c r="N344" s="361"/>
      <c r="O344" s="361"/>
      <c r="U344" s="182"/>
    </row>
    <row r="345" spans="1:21" s="1" customFormat="1" ht="26.4" x14ac:dyDescent="0.25">
      <c r="A345" s="110" t="str">
        <f ca="1">OFFSET(PO!J$12,ROW(A345)-ROW($A$12),0)</f>
        <v>Serviço</v>
      </c>
      <c r="B345" s="112" t="str">
        <f ca="1">IF($A345=0,"",OFFSET(PO!K$12,ROW(B345)-ROW(B$12),0))</f>
        <v>15.0.0.2.</v>
      </c>
      <c r="C345" s="109" t="str">
        <f ca="1">IF(OFFSET(PO!N$12,ROW(C345)-ROW(C$12),0)=0,"",OFFSET(PO!N$12,ROW(C345)-ROW(C$12),0))</f>
        <v>VASO SANITÁRIO INFANTIL LOUÇA BRANCA - FORNECIMENTO E INSTALACAO. AF_01/2020</v>
      </c>
      <c r="D345" s="111" t="str">
        <f ca="1">IF(OFFSET(PO!O$12,ROW(D345)-ROW(D$12),0)=0,"",OFFSET(PO!O$12,ROW(D345)-ROW(D$12),0))</f>
        <v>UN</v>
      </c>
      <c r="E345" s="140">
        <f ca="1">IF($A345&lt;&gt;"Serviço",0,ROUND(SUMIF($F$9:$P$9,"&lt;&gt;",$F345:$P345),15-13*PO!$X$3))</f>
        <v>9</v>
      </c>
      <c r="F345" s="361">
        <f ca="1">OFFSET(PO!$P$12,ROW($E345)-ROW(F$12),0)</f>
        <v>9</v>
      </c>
      <c r="G345" s="361"/>
      <c r="H345" s="361"/>
      <c r="I345" s="361"/>
      <c r="J345" s="361"/>
      <c r="K345" s="361"/>
      <c r="L345" s="361"/>
      <c r="M345" s="361"/>
      <c r="N345" s="361"/>
      <c r="O345" s="361"/>
      <c r="U345" s="182"/>
    </row>
    <row r="346" spans="1:21" s="1" customFormat="1" ht="26.4" x14ac:dyDescent="0.25">
      <c r="A346" s="110" t="str">
        <f ca="1">OFFSET(PO!J$12,ROW(A346)-ROW($A$12),0)</f>
        <v>Serviço</v>
      </c>
      <c r="B346" s="112" t="str">
        <f ca="1">IF($A346=0,"",OFFSET(PO!K$12,ROW(B346)-ROW(B$12),0))</f>
        <v>15.0.0.3.</v>
      </c>
      <c r="C346" s="109" t="str">
        <f ca="1">IF(OFFSET(PO!N$12,ROW(C346)-ROW(C$12),0)=0,"",OFFSET(PO!N$12,ROW(C346)-ROW(C$12),0))</f>
        <v>ASSENTO SANITÁRIO CONVENCIONAL - FORNECIMENTO E INSTALACAO. AF_01/2020</v>
      </c>
      <c r="D346" s="111" t="str">
        <f ca="1">IF(OFFSET(PO!O$12,ROW(D346)-ROW(D$12),0)=0,"",OFFSET(PO!O$12,ROW(D346)-ROW(D$12),0))</f>
        <v>UN</v>
      </c>
      <c r="E346" s="140">
        <f ca="1">IF($A346&lt;&gt;"Serviço",0,ROUND(SUMIF($F$9:$P$9,"&lt;&gt;",$F346:$P346),15-13*PO!$X$3))</f>
        <v>4</v>
      </c>
      <c r="F346" s="361">
        <f ca="1">OFFSET(PO!$P$12,ROW($E346)-ROW(F$12),0)</f>
        <v>4</v>
      </c>
      <c r="G346" s="361"/>
      <c r="H346" s="361"/>
      <c r="I346" s="361"/>
      <c r="J346" s="361"/>
      <c r="K346" s="361"/>
      <c r="L346" s="361"/>
      <c r="M346" s="361"/>
      <c r="N346" s="361"/>
      <c r="O346" s="361"/>
      <c r="U346" s="182"/>
    </row>
    <row r="347" spans="1:21" s="1" customFormat="1" ht="26.4" x14ac:dyDescent="0.25">
      <c r="A347" s="110" t="str">
        <f ca="1">OFFSET(PO!J$12,ROW(A347)-ROW($A$12),0)</f>
        <v>Serviço</v>
      </c>
      <c r="B347" s="112" t="str">
        <f ca="1">IF($A347=0,"",OFFSET(PO!K$12,ROW(B347)-ROW(B$12),0))</f>
        <v>15.0.0.4.</v>
      </c>
      <c r="C347" s="109" t="str">
        <f ca="1">IF(OFFSET(PO!N$12,ROW(C347)-ROW(C$12),0)=0,"",OFFSET(PO!N$12,ROW(C347)-ROW(C$12),0))</f>
        <v>ASSENTO SANITÁRIO INFANTIL - FORNECIMENTO E INSTALACAO. AF_01/2020</v>
      </c>
      <c r="D347" s="111" t="str">
        <f ca="1">IF(OFFSET(PO!O$12,ROW(D347)-ROW(D$12),0)=0,"",OFFSET(PO!O$12,ROW(D347)-ROW(D$12),0))</f>
        <v>UN</v>
      </c>
      <c r="E347" s="140">
        <f ca="1">IF($A347&lt;&gt;"Serviço",0,ROUND(SUMIF($F$9:$P$9,"&lt;&gt;",$F347:$P347),15-13*PO!$X$3))</f>
        <v>9</v>
      </c>
      <c r="F347" s="361">
        <f ca="1">OFFSET(PO!$P$12,ROW($E347)-ROW(F$12),0)</f>
        <v>9</v>
      </c>
      <c r="G347" s="361"/>
      <c r="H347" s="361"/>
      <c r="I347" s="361"/>
      <c r="J347" s="361"/>
      <c r="K347" s="361"/>
      <c r="L347" s="361"/>
      <c r="M347" s="361"/>
      <c r="N347" s="361"/>
      <c r="O347" s="361"/>
      <c r="U347" s="182"/>
    </row>
    <row r="348" spans="1:21" s="1" customFormat="1" ht="26.4" x14ac:dyDescent="0.25">
      <c r="A348" s="110" t="str">
        <f ca="1">OFFSET(PO!J$12,ROW(A348)-ROW($A$12),0)</f>
        <v>Serviço</v>
      </c>
      <c r="B348" s="112" t="str">
        <f ca="1">IF($A348=0,"",OFFSET(PO!K$12,ROW(B348)-ROW(B$12),0))</f>
        <v>15.0.0.5.</v>
      </c>
      <c r="C348" s="109" t="str">
        <f ca="1">IF(OFFSET(PO!N$12,ROW(C348)-ROW(C$12),0)=0,"",OFFSET(PO!N$12,ROW(C348)-ROW(C$12),0))</f>
        <v>BANHEIRA PLÁSTICA RÍGIDA, 77x45x20cm DE EMBUTIR, CONFORME DETALHE DE PROJETO (UN)</v>
      </c>
      <c r="D348" s="111" t="str">
        <f ca="1">IF(OFFSET(PO!O$12,ROW(D348)-ROW(D$12),0)=0,"",OFFSET(PO!O$12,ROW(D348)-ROW(D$12),0))</f>
        <v>U N</v>
      </c>
      <c r="E348" s="140">
        <f ca="1">IF($A348&lt;&gt;"Serviço",0,ROUND(SUMIF($F$9:$P$9,"&lt;&gt;",$F348:$P348),15-13*PO!$X$3))</f>
        <v>2</v>
      </c>
      <c r="F348" s="361">
        <f ca="1">OFFSET(PO!$P$12,ROW($E348)-ROW(F$12),0)</f>
        <v>2</v>
      </c>
      <c r="G348" s="361"/>
      <c r="H348" s="361"/>
      <c r="I348" s="361"/>
      <c r="J348" s="361"/>
      <c r="K348" s="361"/>
      <c r="L348" s="361"/>
      <c r="M348" s="361"/>
      <c r="N348" s="361"/>
      <c r="O348" s="361"/>
      <c r="U348" s="182"/>
    </row>
    <row r="349" spans="1:21" s="1" customFormat="1" ht="39.6" x14ac:dyDescent="0.25">
      <c r="A349" s="110" t="str">
        <f ca="1">OFFSET(PO!J$12,ROW(A349)-ROW($A$12),0)</f>
        <v>Serviço</v>
      </c>
      <c r="B349" s="112" t="str">
        <f ca="1">IF($A349=0,"",OFFSET(PO!K$12,ROW(B349)-ROW(B$12),0))</f>
        <v>15.0.0.6.</v>
      </c>
      <c r="C349" s="109" t="str">
        <f ca="1">IF(OFFSET(PO!N$12,ROW(C349)-ROW(C$12),0)=0,"",OFFSET(PO!N$12,ROW(C349)-ROW(C$12),0))</f>
        <v>LAVATÓRIO DE CANTO, LOUÇA BRANCA SUSPENSO, 29,5 X 39CM OU EQUIVALENTE, PADRÃO POPULAR - FORNECIMENTO E INSTALAÇÃO (UN)</v>
      </c>
      <c r="D349" s="111" t="str">
        <f ca="1">IF(OFFSET(PO!O$12,ROW(D349)-ROW(D$12),0)=0,"",OFFSET(PO!O$12,ROW(D349)-ROW(D$12),0))</f>
        <v>U N</v>
      </c>
      <c r="E349" s="140">
        <f ca="1">IF($A349&lt;&gt;"Serviço",0,ROUND(SUMIF($F$9:$P$9,"&lt;&gt;",$F349:$P349),15-13*PO!$X$3))</f>
        <v>3</v>
      </c>
      <c r="F349" s="361">
        <f ca="1">OFFSET(PO!$P$12,ROW($E349)-ROW(F$12),0)</f>
        <v>3</v>
      </c>
      <c r="G349" s="361"/>
      <c r="H349" s="361"/>
      <c r="I349" s="361"/>
      <c r="J349" s="361"/>
      <c r="K349" s="361"/>
      <c r="L349" s="361"/>
      <c r="M349" s="361"/>
      <c r="N349" s="361"/>
      <c r="O349" s="361"/>
      <c r="U349" s="182"/>
    </row>
    <row r="350" spans="1:21" s="1" customFormat="1" ht="26.4" x14ac:dyDescent="0.25">
      <c r="A350" s="110" t="str">
        <f ca="1">OFFSET(PO!J$12,ROW(A350)-ROW($A$12),0)</f>
        <v>Serviço</v>
      </c>
      <c r="B350" s="112" t="str">
        <f ca="1">IF($A350=0,"",OFFSET(PO!K$12,ROW(B350)-ROW(B$12),0))</f>
        <v>15.0.0.7.</v>
      </c>
      <c r="C350" s="109" t="str">
        <f ca="1">IF(OFFSET(PO!N$12,ROW(C350)-ROW(C$12),0)=0,"",OFFSET(PO!N$12,ROW(C350)-ROW(C$12),0))</f>
        <v>CUBA DE EMBUTIR OVAL EM LOUÇA BRANCA, 35 X 50CM OU EQUIVALENTE - FORNECIMENTO E INSTALAÇÃO. AF_01/2020</v>
      </c>
      <c r="D350" s="111" t="str">
        <f ca="1">IF(OFFSET(PO!O$12,ROW(D350)-ROW(D$12),0)=0,"",OFFSET(PO!O$12,ROW(D350)-ROW(D$12),0))</f>
        <v>UN</v>
      </c>
      <c r="E350" s="140">
        <f ca="1">IF($A350&lt;&gt;"Serviço",0,ROUND(SUMIF($F$9:$P$9,"&lt;&gt;",$F350:$P350),15-13*PO!$X$3))</f>
        <v>13</v>
      </c>
      <c r="F350" s="361">
        <f ca="1">OFFSET(PO!$P$12,ROW($E350)-ROW(F$12),0)</f>
        <v>13</v>
      </c>
      <c r="G350" s="361"/>
      <c r="H350" s="361"/>
      <c r="I350" s="361"/>
      <c r="J350" s="361"/>
      <c r="K350" s="361"/>
      <c r="L350" s="361"/>
      <c r="M350" s="361"/>
      <c r="N350" s="361"/>
      <c r="O350" s="361"/>
      <c r="U350" s="182"/>
    </row>
    <row r="351" spans="1:21" s="1" customFormat="1" ht="26.4" x14ac:dyDescent="0.25">
      <c r="A351" s="110" t="str">
        <f ca="1">OFFSET(PO!J$12,ROW(A351)-ROW($A$12),0)</f>
        <v>Serviço</v>
      </c>
      <c r="B351" s="112" t="str">
        <f ca="1">IF($A351=0,"",OFFSET(PO!K$12,ROW(B351)-ROW(B$12),0))</f>
        <v>15.0.0.8.</v>
      </c>
      <c r="C351" s="109" t="str">
        <f ca="1">IF(OFFSET(PO!N$12,ROW(C351)-ROW(C$12),0)=0,"",OFFSET(PO!N$12,ROW(C351)-ROW(C$12),0))</f>
        <v>LAVATÓRIO LOUÇA BRANCA COM COLUNA, *44 X 35,5* CM, PADRÃO POPULAR - FORNECIMENTO E INSTALAÇÃO. AF_01/2020</v>
      </c>
      <c r="D351" s="111" t="str">
        <f ca="1">IF(OFFSET(PO!O$12,ROW(D351)-ROW(D$12),0)=0,"",OFFSET(PO!O$12,ROW(D351)-ROW(D$12),0))</f>
        <v>UN</v>
      </c>
      <c r="E351" s="140">
        <f ca="1">IF($A351&lt;&gt;"Serviço",0,ROUND(SUMIF($F$9:$P$9,"&lt;&gt;",$F351:$P351),15-13*PO!$X$3))</f>
        <v>3</v>
      </c>
      <c r="F351" s="361">
        <f ca="1">OFFSET(PO!$P$12,ROW($E351)-ROW(F$12),0)</f>
        <v>3</v>
      </c>
      <c r="G351" s="361"/>
      <c r="H351" s="361"/>
      <c r="I351" s="361"/>
      <c r="J351" s="361"/>
      <c r="K351" s="361"/>
      <c r="L351" s="361"/>
      <c r="M351" s="361"/>
      <c r="N351" s="361"/>
      <c r="O351" s="361"/>
      <c r="U351" s="182"/>
    </row>
    <row r="352" spans="1:21" s="1" customFormat="1" ht="26.4" x14ac:dyDescent="0.25">
      <c r="A352" s="110" t="str">
        <f ca="1">OFFSET(PO!J$12,ROW(A352)-ROW($A$12),0)</f>
        <v>Serviço</v>
      </c>
      <c r="B352" s="112" t="str">
        <f ca="1">IF($A352=0,"",OFFSET(PO!K$12,ROW(B352)-ROW(B$12),0))</f>
        <v>15.0.0.9.</v>
      </c>
      <c r="C352" s="109" t="str">
        <f ca="1">IF(OFFSET(PO!N$12,ROW(C352)-ROW(C$12),0)=0,"",OFFSET(PO!N$12,ROW(C352)-ROW(C$12),0))</f>
        <v>TANQUE DE LOUÇA BRANCA COM COLUNA, 30L OU EQUIVALENTE - FORNECIMENTO E INSTALAÇÃO. AF_01/2020</v>
      </c>
      <c r="D352" s="111" t="str">
        <f ca="1">IF(OFFSET(PO!O$12,ROW(D352)-ROW(D$12),0)=0,"",OFFSET(PO!O$12,ROW(D352)-ROW(D$12),0))</f>
        <v>UN</v>
      </c>
      <c r="E352" s="140">
        <f ca="1">IF($A352&lt;&gt;"Serviço",0,ROUND(SUMIF($F$9:$P$9,"&lt;&gt;",$F352:$P352),15-13*PO!$X$3))</f>
        <v>5</v>
      </c>
      <c r="F352" s="361">
        <f ca="1">OFFSET(PO!$P$12,ROW($E352)-ROW(F$12),0)</f>
        <v>5</v>
      </c>
      <c r="G352" s="361"/>
      <c r="H352" s="361"/>
      <c r="I352" s="361"/>
      <c r="J352" s="361"/>
      <c r="K352" s="361"/>
      <c r="L352" s="361"/>
      <c r="M352" s="361"/>
      <c r="N352" s="361"/>
      <c r="O352" s="361"/>
      <c r="U352" s="182"/>
    </row>
    <row r="353" spans="1:21" s="1" customFormat="1" ht="26.4" x14ac:dyDescent="0.25">
      <c r="A353" s="110" t="str">
        <f ca="1">OFFSET(PO!J$12,ROW(A353)-ROW($A$12),0)</f>
        <v>Serviço</v>
      </c>
      <c r="B353" s="112" t="str">
        <f ca="1">IF($A353=0,"",OFFSET(PO!K$12,ROW(B353)-ROW(B$12),0))</f>
        <v>15.0.0.10.</v>
      </c>
      <c r="C353" s="109" t="str">
        <f ca="1">IF(OFFSET(PO!N$12,ROW(C353)-ROW(C$12),0)=0,"",OFFSET(PO!N$12,ROW(C353)-ROW(C$12),0))</f>
        <v>CUBA DE EMBUTIR RETANGULAR DE AÇO INOXIDÁVEL, 46 X 30 X 12 CM - FORNECIMENTO E INSTALAÇÃO. AF_01/2020</v>
      </c>
      <c r="D353" s="111" t="str">
        <f ca="1">IF(OFFSET(PO!O$12,ROW(D353)-ROW(D$12),0)=0,"",OFFSET(PO!O$12,ROW(D353)-ROW(D$12),0))</f>
        <v>UN</v>
      </c>
      <c r="E353" s="140">
        <f ca="1">IF($A353&lt;&gt;"Serviço",0,ROUND(SUMIF($F$9:$P$9,"&lt;&gt;",$F353:$P353),15-13*PO!$X$3))</f>
        <v>5</v>
      </c>
      <c r="F353" s="361">
        <f ca="1">OFFSET(PO!$P$12,ROW($E353)-ROW(F$12),0)</f>
        <v>5</v>
      </c>
      <c r="G353" s="361"/>
      <c r="H353" s="361"/>
      <c r="I353" s="361"/>
      <c r="J353" s="361"/>
      <c r="K353" s="361"/>
      <c r="L353" s="361"/>
      <c r="M353" s="361"/>
      <c r="N353" s="361"/>
      <c r="O353" s="361"/>
      <c r="U353" s="182"/>
    </row>
    <row r="354" spans="1:21" s="1" customFormat="1" ht="26.4" x14ac:dyDescent="0.25">
      <c r="A354" s="110" t="str">
        <f ca="1">OFFSET(PO!J$12,ROW(A354)-ROW($A$12),0)</f>
        <v>Serviço</v>
      </c>
      <c r="B354" s="112" t="str">
        <f ca="1">IF($A354=0,"",OFFSET(PO!K$12,ROW(B354)-ROW(B$12),0))</f>
        <v>15.0.0.11.</v>
      </c>
      <c r="C354" s="109" t="str">
        <f ca="1">IF(OFFSET(PO!N$12,ROW(C354)-ROW(C$12),0)=0,"",OFFSET(PO!N$12,ROW(C354)-ROW(C$12),0))</f>
        <v>CUBA DE EMBUTIR RETANGULAR DE AÇO INOXIDÁVEL, 50 X 40 X 20 CM - FORNECIMENTO E INSTALAÇÃO (UN)</v>
      </c>
      <c r="D354" s="111" t="str">
        <f ca="1">IF(OFFSET(PO!O$12,ROW(D354)-ROW(D$12),0)=0,"",OFFSET(PO!O$12,ROW(D354)-ROW(D$12),0))</f>
        <v>U N</v>
      </c>
      <c r="E354" s="140">
        <f ca="1">IF($A354&lt;&gt;"Serviço",0,ROUND(SUMIF($F$9:$P$9,"&lt;&gt;",$F354:$P354),15-13*PO!$X$3))</f>
        <v>6</v>
      </c>
      <c r="F354" s="361">
        <f ca="1">OFFSET(PO!$P$12,ROW($E354)-ROW(F$12),0)</f>
        <v>6</v>
      </c>
      <c r="G354" s="361"/>
      <c r="H354" s="361"/>
      <c r="I354" s="361"/>
      <c r="J354" s="361"/>
      <c r="K354" s="361"/>
      <c r="L354" s="361"/>
      <c r="M354" s="361"/>
      <c r="N354" s="361"/>
      <c r="O354" s="361"/>
      <c r="U354" s="182"/>
    </row>
    <row r="355" spans="1:21" s="1" customFormat="1" ht="26.4" x14ac:dyDescent="0.25">
      <c r="A355" s="110" t="str">
        <f ca="1">OFFSET(PO!J$12,ROW(A355)-ROW($A$12),0)</f>
        <v>Serviço</v>
      </c>
      <c r="B355" s="112" t="str">
        <f ca="1">IF($A355=0,"",OFFSET(PO!K$12,ROW(B355)-ROW(B$12),0))</f>
        <v>15.0.0.12.</v>
      </c>
      <c r="C355" s="109" t="str">
        <f ca="1">IF(OFFSET(PO!N$12,ROW(C355)-ROW(C$12),0)=0,"",OFFSET(PO!N$12,ROW(C355)-ROW(C$12),0))</f>
        <v>CUBA DE EMBUTIR RETANGULAR DE AÇO INOXIDÁVEL, 56 X 33 X 12 CM - FORNECIMENTO E INSTALAÇÃO. AF_01/2020</v>
      </c>
      <c r="D355" s="111" t="str">
        <f ca="1">IF(OFFSET(PO!O$12,ROW(D355)-ROW(D$12),0)=0,"",OFFSET(PO!O$12,ROW(D355)-ROW(D$12),0))</f>
        <v>UN</v>
      </c>
      <c r="E355" s="140">
        <f ca="1">IF($A355&lt;&gt;"Serviço",0,ROUND(SUMIF($F$9:$P$9,"&lt;&gt;",$F355:$P355),15-13*PO!$X$3))</f>
        <v>1</v>
      </c>
      <c r="F355" s="361">
        <f ca="1">OFFSET(PO!$P$12,ROW($E355)-ROW(F$12),0)</f>
        <v>1</v>
      </c>
      <c r="G355" s="361"/>
      <c r="H355" s="361"/>
      <c r="I355" s="361"/>
      <c r="J355" s="361"/>
      <c r="K355" s="361"/>
      <c r="L355" s="361"/>
      <c r="M355" s="361"/>
      <c r="N355" s="361"/>
      <c r="O355" s="361"/>
      <c r="U355" s="182"/>
    </row>
    <row r="356" spans="1:21" s="1" customFormat="1" ht="39.6" x14ac:dyDescent="0.25">
      <c r="A356" s="110" t="str">
        <f ca="1">OFFSET(PO!J$12,ROW(A356)-ROW($A$12),0)</f>
        <v>Serviço</v>
      </c>
      <c r="B356" s="112" t="str">
        <f ca="1">IF($A356=0,"",OFFSET(PO!K$12,ROW(B356)-ROW(B$12),0))</f>
        <v>15.0.0.13.</v>
      </c>
      <c r="C356" s="109" t="str">
        <f ca="1">IF(OFFSET(PO!N$12,ROW(C356)-ROW(C$12),0)=0,"",OFFSET(PO!N$12,ROW(C356)-ROW(C$12),0))</f>
        <v>VÁLVULA EM METAL CROMADO 1.1/2" X 1.1/2" PARA TANQUE OU LAVATÓRIO, COM OU SEM LADRÃO - FORNECIMENTO E INSTALAÇÃO. AF_01/2020</v>
      </c>
      <c r="D356" s="111" t="str">
        <f ca="1">IF(OFFSET(PO!O$12,ROW(D356)-ROW(D$12),0)=0,"",OFFSET(PO!O$12,ROW(D356)-ROW(D$12),0))</f>
        <v>UN</v>
      </c>
      <c r="E356" s="140">
        <f ca="1">IF($A356&lt;&gt;"Serviço",0,ROUND(SUMIF($F$9:$P$9,"&lt;&gt;",$F356:$P356),15-13*PO!$X$3))</f>
        <v>24</v>
      </c>
      <c r="F356" s="361">
        <f ca="1">OFFSET(PO!$P$12,ROW($E356)-ROW(F$12),0)</f>
        <v>24</v>
      </c>
      <c r="G356" s="361"/>
      <c r="H356" s="361"/>
      <c r="I356" s="361"/>
      <c r="J356" s="361"/>
      <c r="K356" s="361"/>
      <c r="L356" s="361"/>
      <c r="M356" s="361"/>
      <c r="N356" s="361"/>
      <c r="O356" s="361"/>
      <c r="U356" s="182"/>
    </row>
    <row r="357" spans="1:21" s="1" customFormat="1" ht="26.4" x14ac:dyDescent="0.25">
      <c r="A357" s="110" t="str">
        <f ca="1">OFFSET(PO!J$12,ROW(A357)-ROW($A$12),0)</f>
        <v>Serviço</v>
      </c>
      <c r="B357" s="112" t="str">
        <f ca="1">IF($A357=0,"",OFFSET(PO!K$12,ROW(B357)-ROW(B$12),0))</f>
        <v>15.0.0.14.</v>
      </c>
      <c r="C357" s="109" t="str">
        <f ca="1">IF(OFFSET(PO!N$12,ROW(C357)-ROW(C$12),0)=0,"",OFFSET(PO!N$12,ROW(C357)-ROW(C$12),0))</f>
        <v>SIFÃO DO TIPO FLEXÍVEL EM PVC 1  X 1.1/2  - FORNECIMENTO E INSTALAÇÃO. AF_01/2020</v>
      </c>
      <c r="D357" s="111" t="str">
        <f ca="1">IF(OFFSET(PO!O$12,ROW(D357)-ROW(D$12),0)=0,"",OFFSET(PO!O$12,ROW(D357)-ROW(D$12),0))</f>
        <v>UN</v>
      </c>
      <c r="E357" s="140">
        <f ca="1">IF($A357&lt;&gt;"Serviço",0,ROUND(SUMIF($F$9:$P$9,"&lt;&gt;",$F357:$P357),15-13*PO!$X$3))</f>
        <v>38</v>
      </c>
      <c r="F357" s="361">
        <f ca="1">OFFSET(PO!$P$12,ROW($E357)-ROW(F$12),0)</f>
        <v>38</v>
      </c>
      <c r="G357" s="361"/>
      <c r="H357" s="361"/>
      <c r="I357" s="361"/>
      <c r="J357" s="361"/>
      <c r="K357" s="361"/>
      <c r="L357" s="361"/>
      <c r="M357" s="361"/>
      <c r="N357" s="361"/>
      <c r="O357" s="361"/>
      <c r="U357" s="182"/>
    </row>
    <row r="358" spans="1:21" s="1" customFormat="1" ht="39.6" x14ac:dyDescent="0.25">
      <c r="A358" s="110" t="str">
        <f ca="1">OFFSET(PO!J$12,ROW(A358)-ROW($A$12),0)</f>
        <v>Serviço</v>
      </c>
      <c r="B358" s="112" t="str">
        <f ca="1">IF($A358=0,"",OFFSET(PO!K$12,ROW(B358)-ROW(B$12),0))</f>
        <v>15.0.0.15.</v>
      </c>
      <c r="C358" s="109" t="str">
        <f ca="1">IF(OFFSET(PO!N$12,ROW(C358)-ROW(C$12),0)=0,"",OFFSET(PO!N$12,ROW(C358)-ROW(C$12),0))</f>
        <v>TORNEIRA CROMADA TUBO MÓVEL, DE MESA, 1/2" OU 3/4", PARA PIA DE COZINHA, PADRÃO ALTO - FORNECIMENTO E INSTALAÇÃO. AF_01/2020</v>
      </c>
      <c r="D358" s="111" t="str">
        <f ca="1">IF(OFFSET(PO!O$12,ROW(D358)-ROW(D$12),0)=0,"",OFFSET(PO!O$12,ROW(D358)-ROW(D$12),0))</f>
        <v>UN</v>
      </c>
      <c r="E358" s="140">
        <f ca="1">IF($A358&lt;&gt;"Serviço",0,ROUND(SUMIF($F$9:$P$9,"&lt;&gt;",$F358:$P358),15-13*PO!$X$3))</f>
        <v>9</v>
      </c>
      <c r="F358" s="361">
        <f ca="1">OFFSET(PO!$P$12,ROW($E358)-ROW(F$12),0)</f>
        <v>9</v>
      </c>
      <c r="G358" s="361"/>
      <c r="H358" s="361"/>
      <c r="I358" s="361"/>
      <c r="J358" s="361"/>
      <c r="K358" s="361"/>
      <c r="L358" s="361"/>
      <c r="M358" s="361"/>
      <c r="N358" s="361"/>
      <c r="O358" s="361"/>
      <c r="U358" s="182"/>
    </row>
    <row r="359" spans="1:21" s="1" customFormat="1" ht="26.4" x14ac:dyDescent="0.25">
      <c r="A359" s="110" t="str">
        <f ca="1">OFFSET(PO!J$12,ROW(A359)-ROW($A$12),0)</f>
        <v>Serviço</v>
      </c>
      <c r="B359" s="112" t="str">
        <f ca="1">IF($A359=0,"",OFFSET(PO!K$12,ROW(B359)-ROW(B$12),0))</f>
        <v>15.0.0.16.</v>
      </c>
      <c r="C359" s="109" t="str">
        <f ca="1">IF(OFFSET(PO!N$12,ROW(C359)-ROW(C$12),0)=0,"",OFFSET(PO!N$12,ROW(C359)-ROW(C$12),0))</f>
        <v>TORNEIRA CROMADA DE MESA, 1/2" OU 3/4", PARA LAVATÓRIO, COM TEMPORIZADOR - FORNECIMENTO E INSTALAÇÃO. (UN)</v>
      </c>
      <c r="D359" s="111" t="str">
        <f ca="1">IF(OFFSET(PO!O$12,ROW(D359)-ROW(D$12),0)=0,"",OFFSET(PO!O$12,ROW(D359)-ROW(D$12),0))</f>
        <v>U N</v>
      </c>
      <c r="E359" s="140">
        <f ca="1">IF($A359&lt;&gt;"Serviço",0,ROUND(SUMIF($F$9:$P$9,"&lt;&gt;",$F359:$P359),15-13*PO!$X$3))</f>
        <v>16</v>
      </c>
      <c r="F359" s="361">
        <f ca="1">OFFSET(PO!$P$12,ROW($E359)-ROW(F$12),0)</f>
        <v>16</v>
      </c>
      <c r="G359" s="361"/>
      <c r="H359" s="361"/>
      <c r="I359" s="361"/>
      <c r="J359" s="361"/>
      <c r="K359" s="361"/>
      <c r="L359" s="361"/>
      <c r="M359" s="361"/>
      <c r="N359" s="361"/>
      <c r="O359" s="361"/>
      <c r="U359" s="182"/>
    </row>
    <row r="360" spans="1:21" s="1" customFormat="1" ht="26.4" x14ac:dyDescent="0.25">
      <c r="A360" s="110" t="str">
        <f ca="1">OFFSET(PO!J$12,ROW(A360)-ROW($A$12),0)</f>
        <v>Serviço</v>
      </c>
      <c r="B360" s="112" t="str">
        <f ca="1">IF($A360=0,"",OFFSET(PO!K$12,ROW(B360)-ROW(B$12),0))</f>
        <v>15.0.0.17.</v>
      </c>
      <c r="C360" s="109" t="str">
        <f ca="1">IF(OFFSET(PO!N$12,ROW(C360)-ROW(C$12),0)=0,"",OFFSET(PO!N$12,ROW(C360)-ROW(C$12),0))</f>
        <v xml:space="preserve"> TORNEIRA ELETRICA DE PAREDE, BICA ALTA, PARA COZINHA, 5500 W (110/220 V) (UN)</v>
      </c>
      <c r="D360" s="111" t="str">
        <f ca="1">IF(OFFSET(PO!O$12,ROW(D360)-ROW(D$12),0)=0,"",OFFSET(PO!O$12,ROW(D360)-ROW(D$12),0))</f>
        <v>U N</v>
      </c>
      <c r="E360" s="140">
        <f ca="1">IF($A360&lt;&gt;"Serviço",0,ROUND(SUMIF($F$9:$P$9,"&lt;&gt;",$F360:$P360),15-13*PO!$X$3))</f>
        <v>2</v>
      </c>
      <c r="F360" s="361">
        <f ca="1">OFFSET(PO!$P$12,ROW($E360)-ROW(F$12),0)</f>
        <v>2</v>
      </c>
      <c r="G360" s="361"/>
      <c r="H360" s="361"/>
      <c r="I360" s="361"/>
      <c r="J360" s="361"/>
      <c r="K360" s="361"/>
      <c r="L360" s="361"/>
      <c r="M360" s="361"/>
      <c r="N360" s="361"/>
      <c r="O360" s="361"/>
      <c r="U360" s="182"/>
    </row>
    <row r="361" spans="1:21" s="1" customFormat="1" ht="26.4" x14ac:dyDescent="0.25">
      <c r="A361" s="110" t="str">
        <f ca="1">OFFSET(PO!J$12,ROW(A361)-ROW($A$12),0)</f>
        <v>Serviço</v>
      </c>
      <c r="B361" s="112" t="str">
        <f ca="1">IF($A361=0,"",OFFSET(PO!K$12,ROW(B361)-ROW(B$12),0))</f>
        <v>15.0.0.18.</v>
      </c>
      <c r="C361" s="109" t="str">
        <f ca="1">IF(OFFSET(PO!N$12,ROW(C361)-ROW(C$12),0)=0,"",OFFSET(PO!N$12,ROW(C361)-ROW(C$12),0))</f>
        <v>TORNEIRA CROMADA 1/2" OU 3/4" PARA TANQUE, PADRÃO POPULAR - FORNECIMENTO E INSTALAÇÃO. AF_01/2020</v>
      </c>
      <c r="D361" s="111" t="str">
        <f ca="1">IF(OFFSET(PO!O$12,ROW(D361)-ROW(D$12),0)=0,"",OFFSET(PO!O$12,ROW(D361)-ROW(D$12),0))</f>
        <v>UN</v>
      </c>
      <c r="E361" s="140">
        <f ca="1">IF($A361&lt;&gt;"Serviço",0,ROUND(SUMIF($F$9:$P$9,"&lt;&gt;",$F361:$P361),15-13*PO!$X$3))</f>
        <v>7</v>
      </c>
      <c r="F361" s="361">
        <f ca="1">OFFSET(PO!$P$12,ROW($E361)-ROW(F$12),0)</f>
        <v>7</v>
      </c>
      <c r="G361" s="361"/>
      <c r="H361" s="361"/>
      <c r="I361" s="361"/>
      <c r="J361" s="361"/>
      <c r="K361" s="361"/>
      <c r="L361" s="361"/>
      <c r="M361" s="361"/>
      <c r="N361" s="361"/>
      <c r="O361" s="361"/>
      <c r="U361" s="182"/>
    </row>
    <row r="362" spans="1:21" s="1" customFormat="1" ht="26.4" x14ac:dyDescent="0.25">
      <c r="A362" s="110" t="str">
        <f ca="1">OFFSET(PO!J$12,ROW(A362)-ROW($A$12),0)</f>
        <v>Serviço</v>
      </c>
      <c r="B362" s="112" t="str">
        <f ca="1">IF($A362=0,"",OFFSET(PO!K$12,ROW(B362)-ROW(B$12),0))</f>
        <v>15.0.0.19.</v>
      </c>
      <c r="C362" s="109" t="str">
        <f ca="1">IF(OFFSET(PO!N$12,ROW(C362)-ROW(C$12),0)=0,"",OFFSET(PO!N$12,ROW(C362)-ROW(C$12),0))</f>
        <v>TORNEIRA CROMADA DE MESA PARA LAVATORIO, TIPO MONOCOMANDO - ACIONAMENTO TIPO ALAVANCA (UN)</v>
      </c>
      <c r="D362" s="111" t="str">
        <f ca="1">IF(OFFSET(PO!O$12,ROW(D362)-ROW(D$12),0)=0,"",OFFSET(PO!O$12,ROW(D362)-ROW(D$12),0))</f>
        <v>U N</v>
      </c>
      <c r="E362" s="140">
        <f ca="1">IF($A362&lt;&gt;"Serviço",0,ROUND(SUMIF($F$9:$P$9,"&lt;&gt;",$F362:$P362),15-13*PO!$X$3))</f>
        <v>3</v>
      </c>
      <c r="F362" s="361">
        <f ca="1">OFFSET(PO!$P$12,ROW($E362)-ROW(F$12),0)</f>
        <v>3</v>
      </c>
      <c r="G362" s="361"/>
      <c r="H362" s="361"/>
      <c r="I362" s="361"/>
      <c r="J362" s="361"/>
      <c r="K362" s="361"/>
      <c r="L362" s="361"/>
      <c r="M362" s="361"/>
      <c r="N362" s="361"/>
      <c r="O362" s="361"/>
      <c r="U362" s="182"/>
    </row>
    <row r="363" spans="1:21" s="1" customFormat="1" ht="26.4" x14ac:dyDescent="0.25">
      <c r="A363" s="110" t="str">
        <f ca="1">OFFSET(PO!J$12,ROW(A363)-ROW($A$12),0)</f>
        <v>Serviço</v>
      </c>
      <c r="B363" s="112" t="str">
        <f ca="1">IF($A363=0,"",OFFSET(PO!K$12,ROW(B363)-ROW(B$12),0))</f>
        <v>15.0.0.20.</v>
      </c>
      <c r="C363" s="109" t="str">
        <f ca="1">IF(OFFSET(PO!N$12,ROW(C363)-ROW(C$12),0)=0,"",OFFSET(PO!N$12,ROW(C363)-ROW(C$12),0))</f>
        <v>TORNEIRA ELÉTRICA COM MANGUEIRA PLÁSTICA FORTTI MAXI, LORENZETTI OU EQUIVALENTE (UN)</v>
      </c>
      <c r="D363" s="111" t="str">
        <f ca="1">IF(OFFSET(PO!O$12,ROW(D363)-ROW(D$12),0)=0,"",OFFSET(PO!O$12,ROW(D363)-ROW(D$12),0))</f>
        <v>U N</v>
      </c>
      <c r="E363" s="140">
        <f ca="1">IF($A363&lt;&gt;"Serviço",0,ROUND(SUMIF($F$9:$P$9,"&lt;&gt;",$F363:$P363),15-13*PO!$X$3))</f>
        <v>2</v>
      </c>
      <c r="F363" s="361">
        <f ca="1">OFFSET(PO!$P$12,ROW($E363)-ROW(F$12),0)</f>
        <v>2</v>
      </c>
      <c r="G363" s="361"/>
      <c r="H363" s="361"/>
      <c r="I363" s="361"/>
      <c r="J363" s="361"/>
      <c r="K363" s="361"/>
      <c r="L363" s="361"/>
      <c r="M363" s="361"/>
      <c r="N363" s="361"/>
      <c r="O363" s="361"/>
      <c r="U363" s="182"/>
    </row>
    <row r="364" spans="1:21" s="1" customFormat="1" ht="26.4" x14ac:dyDescent="0.25">
      <c r="A364" s="110" t="str">
        <f ca="1">OFFSET(PO!J$12,ROW(A364)-ROW($A$12),0)</f>
        <v>Serviço</v>
      </c>
      <c r="B364" s="112" t="str">
        <f ca="1">IF($A364=0,"",OFFSET(PO!K$12,ROW(B364)-ROW(B$12),0))</f>
        <v>15.0.0.21.</v>
      </c>
      <c r="C364" s="109" t="str">
        <f ca="1">IF(OFFSET(PO!N$12,ROW(C364)-ROW(C$12),0)=0,"",OFFSET(PO!N$12,ROW(C364)-ROW(C$12),0))</f>
        <v>ENGATE FLEXÍVEL EM INOX, 1/2  X 40CM - FORNECIMENTO E INSTALAÇÃO. AF_01/2020</v>
      </c>
      <c r="D364" s="111" t="str">
        <f ca="1">IF(OFFSET(PO!O$12,ROW(D364)-ROW(D$12),0)=0,"",OFFSET(PO!O$12,ROW(D364)-ROW(D$12),0))</f>
        <v>UN</v>
      </c>
      <c r="E364" s="140">
        <f ca="1">IF($A364&lt;&gt;"Serviço",0,ROUND(SUMIF($F$9:$P$9,"&lt;&gt;",$F364:$P364),15-13*PO!$X$3))</f>
        <v>25</v>
      </c>
      <c r="F364" s="361">
        <f ca="1">OFFSET(PO!$P$12,ROW($E364)-ROW(F$12),0)</f>
        <v>25</v>
      </c>
      <c r="G364" s="361"/>
      <c r="H364" s="361"/>
      <c r="I364" s="361"/>
      <c r="J364" s="361"/>
      <c r="K364" s="361"/>
      <c r="L364" s="361"/>
      <c r="M364" s="361"/>
      <c r="N364" s="361"/>
      <c r="O364" s="361"/>
      <c r="U364" s="182"/>
    </row>
    <row r="365" spans="1:21" s="1" customFormat="1" ht="26.4" x14ac:dyDescent="0.25">
      <c r="A365" s="110" t="str">
        <f ca="1">OFFSET(PO!J$12,ROW(A365)-ROW($A$12),0)</f>
        <v>Serviço</v>
      </c>
      <c r="B365" s="112" t="str">
        <f ca="1">IF($A365=0,"",OFFSET(PO!K$12,ROW(B365)-ROW(B$12),0))</f>
        <v>15.0.0.22.</v>
      </c>
      <c r="C365" s="109" t="str">
        <f ca="1">IF(OFFSET(PO!N$12,ROW(C365)-ROW(C$12),0)=0,"",OFFSET(PO!N$12,ROW(C365)-ROW(C$12),0))</f>
        <v>CHUVEIRO ELÉTRICO COMUM CORPO PLÁSTICO, TIPO DUCHA - FORNECIMENTO E INSTALAÇÃO. AF_01/2020</v>
      </c>
      <c r="D365" s="111" t="str">
        <f ca="1">IF(OFFSET(PO!O$12,ROW(D365)-ROW(D$12),0)=0,"",OFFSET(PO!O$12,ROW(D365)-ROW(D$12),0))</f>
        <v>UN</v>
      </c>
      <c r="E365" s="140">
        <f ca="1">IF($A365&lt;&gt;"Serviço",0,ROUND(SUMIF($F$9:$P$9,"&lt;&gt;",$F365:$P365),15-13*PO!$X$3))</f>
        <v>8</v>
      </c>
      <c r="F365" s="361">
        <f ca="1">OFFSET(PO!$P$12,ROW($E365)-ROW(F$12),0)</f>
        <v>8</v>
      </c>
      <c r="G365" s="361"/>
      <c r="H365" s="361"/>
      <c r="I365" s="361"/>
      <c r="J365" s="361"/>
      <c r="K365" s="361"/>
      <c r="L365" s="361"/>
      <c r="M365" s="361"/>
      <c r="N365" s="361"/>
      <c r="O365" s="361"/>
      <c r="U365" s="182"/>
    </row>
    <row r="366" spans="1:21" s="1" customFormat="1" ht="26.4" x14ac:dyDescent="0.25">
      <c r="A366" s="110" t="str">
        <f ca="1">OFFSET(PO!J$12,ROW(A366)-ROW($A$12),0)</f>
        <v>Serviço</v>
      </c>
      <c r="B366" s="112" t="str">
        <f ca="1">IF($A366=0,"",OFFSET(PO!K$12,ROW(B366)-ROW(B$12),0))</f>
        <v>15.0.0.23.</v>
      </c>
      <c r="C366" s="109" t="str">
        <f ca="1">IF(OFFSET(PO!N$12,ROW(C366)-ROW(C$12),0)=0,"",OFFSET(PO!N$12,ROW(C366)-ROW(C$12),0))</f>
        <v>BARRA DE APOIO RETA, EM ACO INOX POLIDO, COMPRIMENTO 40CM, FIXADA NA PAREDE - FORNECIMENTO E INSTALAÇÃO (UN)</v>
      </c>
      <c r="D366" s="111" t="str">
        <f ca="1">IF(OFFSET(PO!O$12,ROW(D366)-ROW(D$12),0)=0,"",OFFSET(PO!O$12,ROW(D366)-ROW(D$12),0))</f>
        <v>U N</v>
      </c>
      <c r="E366" s="140">
        <f ca="1">IF($A366&lt;&gt;"Serviço",0,ROUND(SUMIF($F$9:$P$9,"&lt;&gt;",$F366:$P366),15-13*PO!$X$3))</f>
        <v>9</v>
      </c>
      <c r="F366" s="361">
        <f ca="1">OFFSET(PO!$P$12,ROW($E366)-ROW(F$12),0)</f>
        <v>9</v>
      </c>
      <c r="G366" s="361"/>
      <c r="H366" s="361"/>
      <c r="I366" s="361"/>
      <c r="J366" s="361"/>
      <c r="K366" s="361"/>
      <c r="L366" s="361"/>
      <c r="M366" s="361"/>
      <c r="N366" s="361"/>
      <c r="O366" s="361"/>
      <c r="U366" s="182"/>
    </row>
    <row r="367" spans="1:21" s="1" customFormat="1" ht="39.6" x14ac:dyDescent="0.25">
      <c r="A367" s="110" t="str">
        <f ca="1">OFFSET(PO!J$12,ROW(A367)-ROW($A$12),0)</f>
        <v>Serviço</v>
      </c>
      <c r="B367" s="112" t="str">
        <f ca="1">IF($A367=0,"",OFFSET(PO!K$12,ROW(B367)-ROW(B$12),0))</f>
        <v>15.0.0.24.</v>
      </c>
      <c r="C367" s="109" t="str">
        <f ca="1">IF(OFFSET(PO!N$12,ROW(C367)-ROW(C$12),0)=0,"",OFFSET(PO!N$12,ROW(C367)-ROW(C$12),0))</f>
        <v>BARRA DE APOIO RETA, EM ACO INOX POLIDO, COMPRIMENTO 70 CM,  FIXADA NA PAREDE - FORNECIMENTO E INSTALAÇÃO. AF_01/2020</v>
      </c>
      <c r="D367" s="111" t="str">
        <f ca="1">IF(OFFSET(PO!O$12,ROW(D367)-ROW(D$12),0)=0,"",OFFSET(PO!O$12,ROW(D367)-ROW(D$12),0))</f>
        <v>UN</v>
      </c>
      <c r="E367" s="140">
        <f ca="1">IF($A367&lt;&gt;"Serviço",0,ROUND(SUMIF($F$9:$P$9,"&lt;&gt;",$F367:$P367),15-13*PO!$X$3))</f>
        <v>5</v>
      </c>
      <c r="F367" s="361">
        <f ca="1">OFFSET(PO!$P$12,ROW($E367)-ROW(F$12),0)</f>
        <v>5</v>
      </c>
      <c r="G367" s="361"/>
      <c r="H367" s="361"/>
      <c r="I367" s="361"/>
      <c r="J367" s="361"/>
      <c r="K367" s="361"/>
      <c r="L367" s="361"/>
      <c r="M367" s="361"/>
      <c r="N367" s="361"/>
      <c r="O367" s="361"/>
      <c r="U367" s="182"/>
    </row>
    <row r="368" spans="1:21" s="1" customFormat="1" ht="39.6" x14ac:dyDescent="0.25">
      <c r="A368" s="110" t="str">
        <f ca="1">OFFSET(PO!J$12,ROW(A368)-ROW($A$12),0)</f>
        <v>Serviço</v>
      </c>
      <c r="B368" s="112" t="str">
        <f ca="1">IF($A368=0,"",OFFSET(PO!K$12,ROW(B368)-ROW(B$12),0))</f>
        <v>15.0.0.25.</v>
      </c>
      <c r="C368" s="109" t="str">
        <f ca="1">IF(OFFSET(PO!N$12,ROW(C368)-ROW(C$12),0)=0,"",OFFSET(PO!N$12,ROW(C368)-ROW(C$12),0))</f>
        <v>BARRA DE APOIO RETA, EM ACO INOX POLIDO, COMPRIMENTO 80 CM,  FIXADA NA PAREDE - FORNECIMENTO E INSTALAÇÃO. AF_01/2020</v>
      </c>
      <c r="D368" s="111" t="str">
        <f ca="1">IF(OFFSET(PO!O$12,ROW(D368)-ROW(D$12),0)=0,"",OFFSET(PO!O$12,ROW(D368)-ROW(D$12),0))</f>
        <v>UN</v>
      </c>
      <c r="E368" s="140">
        <f ca="1">IF($A368&lt;&gt;"Serviço",0,ROUND(SUMIF($F$9:$P$9,"&lt;&gt;",$F368:$P368),15-13*PO!$X$3))</f>
        <v>7</v>
      </c>
      <c r="F368" s="361">
        <f ca="1">OFFSET(PO!$P$12,ROW($E368)-ROW(F$12),0)</f>
        <v>7</v>
      </c>
      <c r="G368" s="361"/>
      <c r="H368" s="361"/>
      <c r="I368" s="361"/>
      <c r="J368" s="361"/>
      <c r="K368" s="361"/>
      <c r="L368" s="361"/>
      <c r="M368" s="361"/>
      <c r="N368" s="361"/>
      <c r="O368" s="361"/>
      <c r="U368" s="182"/>
    </row>
    <row r="369" spans="1:21" s="1" customFormat="1" ht="26.4" x14ac:dyDescent="0.25">
      <c r="A369" s="110" t="str">
        <f ca="1">OFFSET(PO!J$12,ROW(A369)-ROW($A$12),0)</f>
        <v>Serviço</v>
      </c>
      <c r="B369" s="112" t="str">
        <f ca="1">IF($A369=0,"",OFFSET(PO!K$12,ROW(B369)-ROW(B$12),0))</f>
        <v>15.0.0.26.</v>
      </c>
      <c r="C369" s="109" t="str">
        <f ca="1">IF(OFFSET(PO!N$12,ROW(C369)-ROW(C$12),0)=0,"",OFFSET(PO!N$12,ROW(C369)-ROW(C$12),0))</f>
        <v>BANCO ARTICULADO, EM ACO INOX, PARA PCD, FIXADO NA PAREDE - FORNECIMENTO E INSTALAÇÃO. AF_01/2020</v>
      </c>
      <c r="D369" s="111" t="str">
        <f ca="1">IF(OFFSET(PO!O$12,ROW(D369)-ROW(D$12),0)=0,"",OFFSET(PO!O$12,ROW(D369)-ROW(D$12),0))</f>
        <v>UN</v>
      </c>
      <c r="E369" s="140">
        <f ca="1">IF($A369&lt;&gt;"Serviço",0,ROUND(SUMIF($F$9:$P$9,"&lt;&gt;",$F369:$P369),15-13*PO!$X$3))</f>
        <v>1</v>
      </c>
      <c r="F369" s="361">
        <f ca="1">OFFSET(PO!$P$12,ROW($E369)-ROW(F$12),0)</f>
        <v>1</v>
      </c>
      <c r="G369" s="361"/>
      <c r="H369" s="361"/>
      <c r="I369" s="361"/>
      <c r="J369" s="361"/>
      <c r="K369" s="361"/>
      <c r="L369" s="361"/>
      <c r="M369" s="361"/>
      <c r="N369" s="361"/>
      <c r="O369" s="361"/>
      <c r="U369" s="182"/>
    </row>
    <row r="370" spans="1:21" s="1" customFormat="1" ht="39.6" x14ac:dyDescent="0.25">
      <c r="A370" s="110" t="str">
        <f ca="1">OFFSET(PO!J$12,ROW(A370)-ROW($A$12),0)</f>
        <v>Serviço</v>
      </c>
      <c r="B370" s="112" t="str">
        <f ca="1">IF($A370=0,"",OFFSET(PO!K$12,ROW(B370)-ROW(B$12),0))</f>
        <v>15.0.0.27.</v>
      </c>
      <c r="C370" s="109" t="str">
        <f ca="1">IF(OFFSET(PO!N$12,ROW(C370)-ROW(C$12),0)=0,"",OFFSET(PO!N$12,ROW(C370)-ROW(C$12),0))</f>
        <v>VÁLVULA DE DESCARGA METÁLICA, DUPLO ACIONAMENTO ECO, BASE 1 1/2", ACABAMENTO METALICO CROMADO - FORNECIMENTO E INSTALAÇÃO (UN)</v>
      </c>
      <c r="D370" s="111" t="str">
        <f ca="1">IF(OFFSET(PO!O$12,ROW(D370)-ROW(D$12),0)=0,"",OFFSET(PO!O$12,ROW(D370)-ROW(D$12),0))</f>
        <v xml:space="preserve">U N </v>
      </c>
      <c r="E370" s="140">
        <f ca="1">IF($A370&lt;&gt;"Serviço",0,ROUND(SUMIF($F$9:$P$9,"&lt;&gt;",$F370:$P370),15-13*PO!$X$3))</f>
        <v>13</v>
      </c>
      <c r="F370" s="361">
        <f ca="1">OFFSET(PO!$P$12,ROW($E370)-ROW(F$12),0)</f>
        <v>13</v>
      </c>
      <c r="G370" s="361"/>
      <c r="H370" s="361"/>
      <c r="I370" s="361"/>
      <c r="J370" s="361"/>
      <c r="K370" s="361"/>
      <c r="L370" s="361"/>
      <c r="M370" s="361"/>
      <c r="N370" s="361"/>
      <c r="O370" s="361"/>
      <c r="U370" s="182"/>
    </row>
    <row r="371" spans="1:21" s="1" customFormat="1" ht="26.4" x14ac:dyDescent="0.25">
      <c r="A371" s="110" t="str">
        <f ca="1">OFFSET(PO!J$12,ROW(A371)-ROW($A$12),0)</f>
        <v>Serviço</v>
      </c>
      <c r="B371" s="112" t="str">
        <f ca="1">IF($A371=0,"",OFFSET(PO!K$12,ROW(B371)-ROW(B$12),0))</f>
        <v>15.0.0.28.</v>
      </c>
      <c r="C371" s="109" t="str">
        <f ca="1">IF(OFFSET(PO!N$12,ROW(C371)-ROW(C$12),0)=0,"",OFFSET(PO!N$12,ROW(C371)-ROW(C$12),0))</f>
        <v>TOALHEIRO PLASTICO TIPO DISPENSER PARA PAPEL TOALHA INTERFOLHADO (UN)</v>
      </c>
      <c r="D371" s="111" t="str">
        <f ca="1">IF(OFFSET(PO!O$12,ROW(D371)-ROW(D$12),0)=0,"",OFFSET(PO!O$12,ROW(D371)-ROW(D$12),0))</f>
        <v>U N</v>
      </c>
      <c r="E371" s="140">
        <f ca="1">IF($A371&lt;&gt;"Serviço",0,ROUND(SUMIF($F$9:$P$9,"&lt;&gt;",$F371:$P371),15-13*PO!$X$3))</f>
        <v>17</v>
      </c>
      <c r="F371" s="361">
        <f ca="1">OFFSET(PO!$P$12,ROW($E371)-ROW(F$12),0)</f>
        <v>17</v>
      </c>
      <c r="G371" s="361"/>
      <c r="H371" s="361"/>
      <c r="I371" s="361"/>
      <c r="J371" s="361"/>
      <c r="K371" s="361"/>
      <c r="L371" s="361"/>
      <c r="M371" s="361"/>
      <c r="N371" s="361"/>
      <c r="O371" s="361"/>
      <c r="U371" s="182"/>
    </row>
    <row r="372" spans="1:21" s="1" customFormat="1" ht="26.4" x14ac:dyDescent="0.25">
      <c r="A372" s="110" t="str">
        <f ca="1">OFFSET(PO!J$12,ROW(A372)-ROW($A$12),0)</f>
        <v>Serviço</v>
      </c>
      <c r="B372" s="112" t="str">
        <f ca="1">IF($A372=0,"",OFFSET(PO!K$12,ROW(B372)-ROW(B$12),0))</f>
        <v>15.0.0.29.</v>
      </c>
      <c r="C372" s="109" t="str">
        <f ca="1">IF(OFFSET(PO!N$12,ROW(C372)-ROW(C$12),0)=0,"",OFFSET(PO!N$12,ROW(C372)-ROW(C$12),0))</f>
        <v>PAPELEIRA PLASTICA TIPO DISPENSER PARA PAPEL HIGIENICO ROLAO (UN)</v>
      </c>
      <c r="D372" s="111" t="str">
        <f ca="1">IF(OFFSET(PO!O$12,ROW(D372)-ROW(D$12),0)=0,"",OFFSET(PO!O$12,ROW(D372)-ROW(D$12),0))</f>
        <v>U N</v>
      </c>
      <c r="E372" s="140">
        <f ca="1">IF($A372&lt;&gt;"Serviço",0,ROUND(SUMIF($F$9:$P$9,"&lt;&gt;",$F372:$P372),15-13*PO!$X$3))</f>
        <v>9</v>
      </c>
      <c r="F372" s="361">
        <f ca="1">OFFSET(PO!$P$12,ROW($E372)-ROW(F$12),0)</f>
        <v>9</v>
      </c>
      <c r="G372" s="361"/>
      <c r="H372" s="361"/>
      <c r="I372" s="361"/>
      <c r="J372" s="361"/>
      <c r="K372" s="361"/>
      <c r="L372" s="361"/>
      <c r="M372" s="361"/>
      <c r="N372" s="361"/>
      <c r="O372" s="361"/>
      <c r="U372" s="182"/>
    </row>
    <row r="373" spans="1:21" s="1" customFormat="1" ht="39.6" x14ac:dyDescent="0.25">
      <c r="A373" s="110" t="str">
        <f ca="1">OFFSET(PO!J$12,ROW(A373)-ROW($A$12),0)</f>
        <v>Serviço</v>
      </c>
      <c r="B373" s="112" t="str">
        <f ca="1">IF($A373=0,"",OFFSET(PO!K$12,ROW(B373)-ROW(B$12),0))</f>
        <v>15.0.0.30.</v>
      </c>
      <c r="C373" s="109" t="str">
        <f ca="1">IF(OFFSET(PO!N$12,ROW(C373)-ROW(C$12),0)=0,"",OFFSET(PO!N$12,ROW(C373)-ROW(C$12),0))</f>
        <v>SABONETEIRA PLASTICA TIPO DISPENSER PARA SABONETE LIQUIDO COM RESERVATORIO 800 A 1500 ML, INCLUSO FIXAÇÃO. AF_01/2020</v>
      </c>
      <c r="D373" s="111" t="str">
        <f ca="1">IF(OFFSET(PO!O$12,ROW(D373)-ROW(D$12),0)=0,"",OFFSET(PO!O$12,ROW(D373)-ROW(D$12),0))</f>
        <v>UN</v>
      </c>
      <c r="E373" s="140">
        <f ca="1">IF($A373&lt;&gt;"Serviço",0,ROUND(SUMIF($F$9:$P$9,"&lt;&gt;",$F373:$P373),15-13*PO!$X$3))</f>
        <v>14</v>
      </c>
      <c r="F373" s="361">
        <f ca="1">OFFSET(PO!$P$12,ROW($E373)-ROW(F$12),0)</f>
        <v>14</v>
      </c>
      <c r="G373" s="361"/>
      <c r="H373" s="361"/>
      <c r="I373" s="361"/>
      <c r="J373" s="361"/>
      <c r="K373" s="361"/>
      <c r="L373" s="361"/>
      <c r="M373" s="361"/>
      <c r="N373" s="361"/>
      <c r="O373" s="361"/>
      <c r="U373" s="182"/>
    </row>
    <row r="374" spans="1:21" s="1" customFormat="1" ht="26.4" x14ac:dyDescent="0.25">
      <c r="A374" s="110" t="str">
        <f ca="1">OFFSET(PO!J$12,ROW(A374)-ROW($A$12),0)</f>
        <v>Serviço</v>
      </c>
      <c r="B374" s="112" t="str">
        <f ca="1">IF($A374=0,"",OFFSET(PO!K$12,ROW(B374)-ROW(B$12),0))</f>
        <v>15.0.0.31.</v>
      </c>
      <c r="C374" s="109" t="str">
        <f ca="1">IF(OFFSET(PO!N$12,ROW(C374)-ROW(C$12),0)=0,"",OFFSET(PO!N$12,ROW(C374)-ROW(C$12),0))</f>
        <v xml:space="preserve"> ESPELHO CRISTAL, ESPESSURA 4MM, COM PARAFUSOS DE FIXAÇÃO, SEM MOLDURA (M2)</v>
      </c>
      <c r="D374" s="111" t="str">
        <f ca="1">IF(OFFSET(PO!O$12,ROW(D374)-ROW(D$12),0)=0,"",OFFSET(PO!O$12,ROW(D374)-ROW(D$12),0))</f>
        <v>M2</v>
      </c>
      <c r="E374" s="140">
        <f ca="1">IF($A374&lt;&gt;"Serviço",0,ROUND(SUMIF($F$9:$P$9,"&lt;&gt;",$F374:$P374),15-13*PO!$X$3))</f>
        <v>7.5</v>
      </c>
      <c r="F374" s="361">
        <f ca="1">OFFSET(PO!$P$12,ROW($E374)-ROW(F$12),0)</f>
        <v>7.5</v>
      </c>
      <c r="G374" s="361"/>
      <c r="H374" s="361"/>
      <c r="I374" s="361"/>
      <c r="J374" s="361"/>
      <c r="K374" s="361"/>
      <c r="L374" s="361"/>
      <c r="M374" s="361"/>
      <c r="N374" s="361"/>
      <c r="O374" s="361"/>
      <c r="U374" s="182"/>
    </row>
    <row r="375" spans="1:21" s="1" customFormat="1" ht="26.4" x14ac:dyDescent="0.25">
      <c r="A375" s="110" t="str">
        <f ca="1">OFFSET(PO!J$12,ROW(A375)-ROW($A$12),0)</f>
        <v>Serviço</v>
      </c>
      <c r="B375" s="112" t="str">
        <f ca="1">IF($A375=0,"",OFFSET(PO!K$12,ROW(B375)-ROW(B$12),0))</f>
        <v>15.0.0.32.</v>
      </c>
      <c r="C375" s="109" t="str">
        <f ca="1">IF(OFFSET(PO!N$12,ROW(C375)-ROW(C$12),0)=0,"",OFFSET(PO!N$12,ROW(C375)-ROW(C$12),0))</f>
        <v>DUCHA / CHUVEIRO METALICO, DE PAREDE, ARTICULAVEL, COM DESVIADOR E DUCHA MANUAL (UN)</v>
      </c>
      <c r="D375" s="111" t="str">
        <f ca="1">IF(OFFSET(PO!O$12,ROW(D375)-ROW(D$12),0)=0,"",OFFSET(PO!O$12,ROW(D375)-ROW(D$12),0))</f>
        <v>U N</v>
      </c>
      <c r="E375" s="140">
        <f ca="1">IF($A375&lt;&gt;"Serviço",0,ROUND(SUMIF($F$9:$P$9,"&lt;&gt;",$F375:$P375),15-13*PO!$X$3))</f>
        <v>10</v>
      </c>
      <c r="F375" s="361">
        <f ca="1">OFFSET(PO!$P$12,ROW($E375)-ROW(F$12),0)</f>
        <v>10</v>
      </c>
      <c r="G375" s="361"/>
      <c r="H375" s="361"/>
      <c r="I375" s="361"/>
      <c r="J375" s="361"/>
      <c r="K375" s="361"/>
      <c r="L375" s="361"/>
      <c r="M375" s="361"/>
      <c r="N375" s="361"/>
      <c r="O375" s="361"/>
      <c r="U375" s="182"/>
    </row>
    <row r="376" spans="1:21" s="1" customFormat="1" ht="26.4" x14ac:dyDescent="0.25">
      <c r="A376" s="110" t="str">
        <f ca="1">OFFSET(PO!J$12,ROW(A376)-ROW($A$12),0)</f>
        <v>Serviço</v>
      </c>
      <c r="B376" s="112" t="str">
        <f ca="1">IF($A376=0,"",OFFSET(PO!K$12,ROW(B376)-ROW(B$12),0))</f>
        <v>15.0.0.33.</v>
      </c>
      <c r="C376" s="109" t="str">
        <f ca="1">IF(OFFSET(PO!N$12,ROW(C376)-ROW(C$12),0)=0,"",OFFSET(PO!N$12,ROW(C376)-ROW(C$12),0))</f>
        <v>CABIDE/GANCHO DE BANHEIRO SIMPLES EM METAL CROMADO (UN)</v>
      </c>
      <c r="D376" s="111" t="str">
        <f ca="1">IF(OFFSET(PO!O$12,ROW(D376)-ROW(D$12),0)=0,"",OFFSET(PO!O$12,ROW(D376)-ROW(D$12),0))</f>
        <v xml:space="preserve">U N </v>
      </c>
      <c r="E376" s="140">
        <f ca="1">IF($A376&lt;&gt;"Serviço",0,ROUND(SUMIF($F$9:$P$9,"&lt;&gt;",$F376:$P376),15-13*PO!$X$3))</f>
        <v>107</v>
      </c>
      <c r="F376" s="361">
        <f ca="1">OFFSET(PO!$P$12,ROW($E376)-ROW(F$12),0)</f>
        <v>107</v>
      </c>
      <c r="G376" s="361"/>
      <c r="H376" s="361"/>
      <c r="I376" s="361"/>
      <c r="J376" s="361"/>
      <c r="K376" s="361"/>
      <c r="L376" s="361"/>
      <c r="M376" s="361"/>
      <c r="N376" s="361"/>
      <c r="O376" s="361"/>
      <c r="U376" s="182"/>
    </row>
    <row r="377" spans="1:21" s="1" customFormat="1" ht="26.4" x14ac:dyDescent="0.25">
      <c r="A377" s="110" t="str">
        <f ca="1">OFFSET(PO!J$12,ROW(A377)-ROW($A$12),0)</f>
        <v>Serviço</v>
      </c>
      <c r="B377" s="112" t="str">
        <f ca="1">IF($A377=0,"",OFFSET(PO!K$12,ROW(B377)-ROW(B$12),0))</f>
        <v>15.0.0.34.</v>
      </c>
      <c r="C377" s="109" t="str">
        <f ca="1">IF(OFFSET(PO!N$12,ROW(C377)-ROW(C$12),0)=0,"",OFFSET(PO!N$12,ROW(C377)-ROW(C$12),0))</f>
        <v>BARRA METÁLICA COM PINTURA CINZA PARA PROTEÇÃO DOS ESPELHOS E CHUVEIRO INFANTIL (M)</v>
      </c>
      <c r="D377" s="111" t="str">
        <f ca="1">IF(OFFSET(PO!O$12,ROW(D377)-ROW(D$12),0)=0,"",OFFSET(PO!O$12,ROW(D377)-ROW(D$12),0))</f>
        <v>M</v>
      </c>
      <c r="E377" s="140">
        <f ca="1">IF($A377&lt;&gt;"Serviço",0,ROUND(SUMIF($F$9:$P$9,"&lt;&gt;",$F377:$P377),15-13*PO!$X$3))</f>
        <v>9.6999999999999993</v>
      </c>
      <c r="F377" s="361">
        <f ca="1">OFFSET(PO!$P$12,ROW($E377)-ROW(F$12),0)</f>
        <v>9.6999999999999993</v>
      </c>
      <c r="G377" s="361"/>
      <c r="H377" s="361"/>
      <c r="I377" s="361"/>
      <c r="J377" s="361"/>
      <c r="K377" s="361"/>
      <c r="L377" s="361"/>
      <c r="M377" s="361"/>
      <c r="N377" s="361"/>
      <c r="O377" s="361"/>
      <c r="U377" s="182"/>
    </row>
    <row r="378" spans="1:21" s="1" customFormat="1" x14ac:dyDescent="0.25">
      <c r="A378" s="110" t="str">
        <f ca="1">OFFSET(PO!J$12,ROW(A378)-ROW($A$12),0)</f>
        <v>Meta</v>
      </c>
      <c r="B378" s="112" t="str">
        <f ca="1">IF($A378=0,"",OFFSET(PO!K$12,ROW(B378)-ROW(B$12),0))</f>
        <v>16.</v>
      </c>
      <c r="C378" s="109" t="str">
        <f ca="1">IF(OFFSET(PO!N$12,ROW(C378)-ROW(C$12),0)=0,"",OFFSET(PO!N$12,ROW(C378)-ROW(C$12),0))</f>
        <v>INSTALAÇÃO DE GÁS COMBUSTÍVEL</v>
      </c>
      <c r="D378" s="111" t="str">
        <f ca="1">IF(OFFSET(PO!O$12,ROW(D378)-ROW(D$12),0)=0,"",OFFSET(PO!O$12,ROW(D378)-ROW(D$12),0))</f>
        <v/>
      </c>
      <c r="E378" s="140">
        <f ca="1">IF($A378&lt;&gt;"Serviço",0,ROUND(SUMIF($F$9:$P$9,"&lt;&gt;",$F378:$P378),15-13*PO!$X$3))</f>
        <v>0</v>
      </c>
      <c r="F378" s="361">
        <f ca="1">OFFSET(PO!$P$12,ROW($E378)-ROW(F$12),0)</f>
        <v>0</v>
      </c>
      <c r="G378" s="361"/>
      <c r="H378" s="361"/>
      <c r="I378" s="361"/>
      <c r="J378" s="361"/>
      <c r="K378" s="361"/>
      <c r="L378" s="361"/>
      <c r="M378" s="361"/>
      <c r="N378" s="361"/>
      <c r="O378" s="361"/>
      <c r="U378" s="182"/>
    </row>
    <row r="379" spans="1:21" s="1" customFormat="1" x14ac:dyDescent="0.25">
      <c r="A379" s="110" t="str">
        <f ca="1">OFFSET(PO!J$12,ROW(A379)-ROW($A$12),0)</f>
        <v>Serviço</v>
      </c>
      <c r="B379" s="112" t="str">
        <f ca="1">IF($A379=0,"",OFFSET(PO!K$12,ROW(B379)-ROW(B$12),0))</f>
        <v>16.0.0.1.</v>
      </c>
      <c r="C379" s="109" t="str">
        <f ca="1">IF(OFFSET(PO!N$12,ROW(C379)-ROW(C$12),0)=0,"",OFFSET(PO!N$12,ROW(C379)-ROW(C$12),0))</f>
        <v>REGULADOR DE ALTA PRESSÃO GLP (UN)</v>
      </c>
      <c r="D379" s="111" t="str">
        <f ca="1">IF(OFFSET(PO!O$12,ROW(D379)-ROW(D$12),0)=0,"",OFFSET(PO!O$12,ROW(D379)-ROW(D$12),0))</f>
        <v>U N</v>
      </c>
      <c r="E379" s="140">
        <f ca="1">IF($A379&lt;&gt;"Serviço",0,ROUND(SUMIF($F$9:$P$9,"&lt;&gt;",$F379:$P379),15-13*PO!$X$3))</f>
        <v>1</v>
      </c>
      <c r="F379" s="361">
        <f ca="1">OFFSET(PO!$P$12,ROW($E379)-ROW(F$12),0)</f>
        <v>1</v>
      </c>
      <c r="G379" s="361"/>
      <c r="H379" s="361"/>
      <c r="I379" s="361"/>
      <c r="J379" s="361"/>
      <c r="K379" s="361"/>
      <c r="L379" s="361"/>
      <c r="M379" s="361"/>
      <c r="N379" s="361"/>
      <c r="O379" s="361"/>
      <c r="U379" s="182"/>
    </row>
    <row r="380" spans="1:21" s="1" customFormat="1" ht="26.4" x14ac:dyDescent="0.25">
      <c r="A380" s="110" t="str">
        <f ca="1">OFFSET(PO!J$12,ROW(A380)-ROW($A$12),0)</f>
        <v>Serviço</v>
      </c>
      <c r="B380" s="112" t="str">
        <f ca="1">IF($A380=0,"",OFFSET(PO!K$12,ROW(B380)-ROW(B$12),0))</f>
        <v>16.0.0.2.</v>
      </c>
      <c r="C380" s="109" t="str">
        <f ca="1">IF(OFFSET(PO!N$12,ROW(C380)-ROW(C$12),0)=0,"",OFFSET(PO!N$12,ROW(C380)-ROW(C$12),0))</f>
        <v>REGISTRO OU REGULADOR DE GÁS DE COZINHA - FORNECIMENTO E INSTALAÇÃO. AF_08/2021</v>
      </c>
      <c r="D380" s="111" t="str">
        <f ca="1">IF(OFFSET(PO!O$12,ROW(D380)-ROW(D$12),0)=0,"",OFFSET(PO!O$12,ROW(D380)-ROW(D$12),0))</f>
        <v>UN</v>
      </c>
      <c r="E380" s="140">
        <f ca="1">IF($A380&lt;&gt;"Serviço",0,ROUND(SUMIF($F$9:$P$9,"&lt;&gt;",$F380:$P380),15-13*PO!$X$3))</f>
        <v>2</v>
      </c>
      <c r="F380" s="361">
        <f ca="1">OFFSET(PO!$P$12,ROW($E380)-ROW(F$12),0)</f>
        <v>2</v>
      </c>
      <c r="G380" s="361"/>
      <c r="H380" s="361"/>
      <c r="I380" s="361"/>
      <c r="J380" s="361"/>
      <c r="K380" s="361"/>
      <c r="L380" s="361"/>
      <c r="M380" s="361"/>
      <c r="N380" s="361"/>
      <c r="O380" s="361"/>
      <c r="U380" s="182"/>
    </row>
    <row r="381" spans="1:21" s="1" customFormat="1" ht="52.8" x14ac:dyDescent="0.25">
      <c r="A381" s="110" t="str">
        <f ca="1">OFFSET(PO!J$12,ROW(A381)-ROW($A$12),0)</f>
        <v>Serviço</v>
      </c>
      <c r="B381" s="112" t="str">
        <f ca="1">IF($A381=0,"",OFFSET(PO!K$12,ROW(B381)-ROW(B$12),0))</f>
        <v>16.0.0.3.</v>
      </c>
      <c r="C381" s="109" t="str">
        <f ca="1">IF(OFFSET(PO!N$12,ROW(C381)-ROW(C$12),0)=0,"",OFFSET(PO!N$12,ROW(C381)-ROW(C$12),0))</f>
        <v>TUBO DE AÇO GALVANIZADO COM COSTURA, CLASSE MÉDIA, CONEXÃO ROSQUEADA, DN 20 (3/4"), INSTALADO EM RAMAIS E SUB-RAMAIS DE GÁS - FORNECIMENTO E INSTALAÇÃO. AF_10/2020</v>
      </c>
      <c r="D381" s="111" t="str">
        <f ca="1">IF(OFFSET(PO!O$12,ROW(D381)-ROW(D$12),0)=0,"",OFFSET(PO!O$12,ROW(D381)-ROW(D$12),0))</f>
        <v>M</v>
      </c>
      <c r="E381" s="140">
        <f ca="1">IF($A381&lt;&gt;"Serviço",0,ROUND(SUMIF($F$9:$P$9,"&lt;&gt;",$F381:$P381),15-13*PO!$X$3))</f>
        <v>45.8</v>
      </c>
      <c r="F381" s="361">
        <f ca="1">OFFSET(PO!$P$12,ROW($E381)-ROW(F$12),0)</f>
        <v>45.8</v>
      </c>
      <c r="G381" s="361"/>
      <c r="H381" s="361"/>
      <c r="I381" s="361"/>
      <c r="J381" s="361"/>
      <c r="K381" s="361"/>
      <c r="L381" s="361"/>
      <c r="M381" s="361"/>
      <c r="N381" s="361"/>
      <c r="O381" s="361"/>
      <c r="U381" s="182"/>
    </row>
    <row r="382" spans="1:21" s="1" customFormat="1" ht="26.4" x14ac:dyDescent="0.25">
      <c r="A382" s="110" t="str">
        <f ca="1">OFFSET(PO!J$12,ROW(A382)-ROW($A$12),0)</f>
        <v>Serviço</v>
      </c>
      <c r="B382" s="112" t="str">
        <f ca="1">IF($A382=0,"",OFFSET(PO!K$12,ROW(B382)-ROW(B$12),0))</f>
        <v>16.0.0.4.</v>
      </c>
      <c r="C382" s="109" t="str">
        <f ca="1">IF(OFFSET(PO!N$12,ROW(C382)-ROW(C$12),0)=0,"",OFFSET(PO!N$12,ROW(C382)-ROW(C$12),0))</f>
        <v>CAP OU TAMPAO DE FERRO GALVANIZADO, COM ROSCA BSP, DE 3/4" (UN)</v>
      </c>
      <c r="D382" s="111" t="str">
        <f ca="1">IF(OFFSET(PO!O$12,ROW(D382)-ROW(D$12),0)=0,"",OFFSET(PO!O$12,ROW(D382)-ROW(D$12),0))</f>
        <v>U N</v>
      </c>
      <c r="E382" s="140">
        <f ca="1">IF($A382&lt;&gt;"Serviço",0,ROUND(SUMIF($F$9:$P$9,"&lt;&gt;",$F382:$P382),15-13*PO!$X$3))</f>
        <v>1</v>
      </c>
      <c r="F382" s="361">
        <f ca="1">OFFSET(PO!$P$12,ROW($E382)-ROW(F$12),0)</f>
        <v>1</v>
      </c>
      <c r="G382" s="361"/>
      <c r="H382" s="361"/>
      <c r="I382" s="361"/>
      <c r="J382" s="361"/>
      <c r="K382" s="361"/>
      <c r="L382" s="361"/>
      <c r="M382" s="361"/>
      <c r="N382" s="361"/>
      <c r="O382" s="361"/>
      <c r="U382" s="182"/>
    </row>
    <row r="383" spans="1:21" s="1" customFormat="1" x14ac:dyDescent="0.25">
      <c r="A383" s="110" t="str">
        <f ca="1">OFFSET(PO!J$12,ROW(A383)-ROW($A$12),0)</f>
        <v>Serviço</v>
      </c>
      <c r="B383" s="112" t="str">
        <f ca="1">IF($A383=0,"",OFFSET(PO!K$12,ROW(B383)-ROW(B$12),0))</f>
        <v>16.0.0.5.</v>
      </c>
      <c r="C383" s="109" t="str">
        <f ca="1">IF(OFFSET(PO!N$12,ROW(C383)-ROW(C$12),0)=0,"",OFFSET(PO!N$12,ROW(C383)-ROW(C$12),0))</f>
        <v>MANGUEIRA PARA GAS - GLP (UN)</v>
      </c>
      <c r="D383" s="111" t="str">
        <f ca="1">IF(OFFSET(PO!O$12,ROW(D383)-ROW(D$12),0)=0,"",OFFSET(PO!O$12,ROW(D383)-ROW(D$12),0))</f>
        <v xml:space="preserve">U N </v>
      </c>
      <c r="E383" s="140">
        <f ca="1">IF($A383&lt;&gt;"Serviço",0,ROUND(SUMIF($F$9:$P$9,"&lt;&gt;",$F383:$P383),15-13*PO!$X$3))</f>
        <v>4</v>
      </c>
      <c r="F383" s="361">
        <f ca="1">OFFSET(PO!$P$12,ROW($E383)-ROW(F$12),0)</f>
        <v>4</v>
      </c>
      <c r="G383" s="361"/>
      <c r="H383" s="361"/>
      <c r="I383" s="361"/>
      <c r="J383" s="361"/>
      <c r="K383" s="361"/>
      <c r="L383" s="361"/>
      <c r="M383" s="361"/>
      <c r="N383" s="361"/>
      <c r="O383" s="361"/>
      <c r="U383" s="182"/>
    </row>
    <row r="384" spans="1:21" s="1" customFormat="1" ht="26.4" x14ac:dyDescent="0.25">
      <c r="A384" s="110" t="str">
        <f ca="1">OFFSET(PO!J$12,ROW(A384)-ROW($A$12),0)</f>
        <v>Serviço</v>
      </c>
      <c r="B384" s="112" t="str">
        <f ca="1">IF($A384=0,"",OFFSET(PO!K$12,ROW(B384)-ROW(B$12),0))</f>
        <v>16.0.0.6.</v>
      </c>
      <c r="C384" s="109" t="str">
        <f ca="1">IF(OFFSET(PO!N$12,ROW(C384)-ROW(C$12),0)=0,"",OFFSET(PO!N$12,ROW(C384)-ROW(C$12),0))</f>
        <v>VÁLVULA DE ESFERA BRUTA, BRONZE, ROSCÁVEL, 1/2" - FORNECIMENTO E INSTALAÇÃO. AF_08/2021</v>
      </c>
      <c r="D384" s="111" t="str">
        <f ca="1">IF(OFFSET(PO!O$12,ROW(D384)-ROW(D$12),0)=0,"",OFFSET(PO!O$12,ROW(D384)-ROW(D$12),0))</f>
        <v>UN</v>
      </c>
      <c r="E384" s="140">
        <f ca="1">IF($A384&lt;&gt;"Serviço",0,ROUND(SUMIF($F$9:$P$9,"&lt;&gt;",$F384:$P384),15-13*PO!$X$3))</f>
        <v>2</v>
      </c>
      <c r="F384" s="361">
        <f ca="1">OFFSET(PO!$P$12,ROW($E384)-ROW(F$12),0)</f>
        <v>2</v>
      </c>
      <c r="G384" s="361"/>
      <c r="H384" s="361"/>
      <c r="I384" s="361"/>
      <c r="J384" s="361"/>
      <c r="K384" s="361"/>
      <c r="L384" s="361"/>
      <c r="M384" s="361"/>
      <c r="N384" s="361"/>
      <c r="O384" s="361"/>
      <c r="U384" s="182"/>
    </row>
    <row r="385" spans="1:21" s="1" customFormat="1" ht="26.4" x14ac:dyDescent="0.25">
      <c r="A385" s="110" t="str">
        <f ca="1">OFFSET(PO!J$12,ROW(A385)-ROW($A$12),0)</f>
        <v>Serviço</v>
      </c>
      <c r="B385" s="112" t="str">
        <f ca="1">IF($A385=0,"",OFFSET(PO!K$12,ROW(B385)-ROW(B$12),0))</f>
        <v>16.0.0.7.</v>
      </c>
      <c r="C385" s="109" t="str">
        <f ca="1">IF(OFFSET(PO!N$12,ROW(C385)-ROW(C$12),0)=0,"",OFFSET(PO!N$12,ROW(C385)-ROW(C$12),0))</f>
        <v>VÁLVULA DE ESFERA BRUTA, BRONZE, ROSCÁVEL, 3/4'' - FORNECIMENTO E INSTALAÇÃO. AF_08/2021</v>
      </c>
      <c r="D385" s="111" t="str">
        <f ca="1">IF(OFFSET(PO!O$12,ROW(D385)-ROW(D$12),0)=0,"",OFFSET(PO!O$12,ROW(D385)-ROW(D$12),0))</f>
        <v>UN</v>
      </c>
      <c r="E385" s="140">
        <f ca="1">IF($A385&lt;&gt;"Serviço",0,ROUND(SUMIF($F$9:$P$9,"&lt;&gt;",$F385:$P385),15-13*PO!$X$3))</f>
        <v>4</v>
      </c>
      <c r="F385" s="361">
        <f ca="1">OFFSET(PO!$P$12,ROW($E385)-ROW(F$12),0)</f>
        <v>4</v>
      </c>
      <c r="G385" s="361"/>
      <c r="H385" s="361"/>
      <c r="I385" s="361"/>
      <c r="J385" s="361"/>
      <c r="K385" s="361"/>
      <c r="L385" s="361"/>
      <c r="M385" s="361"/>
      <c r="N385" s="361"/>
      <c r="O385" s="361"/>
      <c r="U385" s="182"/>
    </row>
    <row r="386" spans="1:21" s="1" customFormat="1" ht="39.6" x14ac:dyDescent="0.25">
      <c r="A386" s="110" t="str">
        <f ca="1">OFFSET(PO!J$12,ROW(A386)-ROW($A$12),0)</f>
        <v>Serviço</v>
      </c>
      <c r="B386" s="112" t="str">
        <f ca="1">IF($A386=0,"",OFFSET(PO!K$12,ROW(B386)-ROW(B$12),0))</f>
        <v>16.0.0.8.</v>
      </c>
      <c r="C386" s="109" t="str">
        <f ca="1">IF(OFFSET(PO!N$12,ROW(C386)-ROW(C$12),0)=0,"",OFFSET(PO!N$12,ROW(C386)-ROW(C$12),0))</f>
        <v>TÊ, EM FERRO GALVANIZADO, CONEXÃO ROSQUEADA, DN 20 (3/4"), INSTALADO EM RAMAIS E SUB-RAMAIS DE GÁS - FORNECIMENTO E INSTALAÇÃO. AF_10/2020</v>
      </c>
      <c r="D386" s="111" t="str">
        <f ca="1">IF(OFFSET(PO!O$12,ROW(D386)-ROW(D$12),0)=0,"",OFFSET(PO!O$12,ROW(D386)-ROW(D$12),0))</f>
        <v>UN</v>
      </c>
      <c r="E386" s="140">
        <f ca="1">IF($A386&lt;&gt;"Serviço",0,ROUND(SUMIF($F$9:$P$9,"&lt;&gt;",$F386:$P386),15-13*PO!$X$3))</f>
        <v>1</v>
      </c>
      <c r="F386" s="361">
        <f ca="1">OFFSET(PO!$P$12,ROW($E386)-ROW(F$12),0)</f>
        <v>1</v>
      </c>
      <c r="G386" s="361"/>
      <c r="H386" s="361"/>
      <c r="I386" s="361"/>
      <c r="J386" s="361"/>
      <c r="K386" s="361"/>
      <c r="L386" s="361"/>
      <c r="M386" s="361"/>
      <c r="N386" s="361"/>
      <c r="O386" s="361"/>
      <c r="U386" s="182"/>
    </row>
    <row r="387" spans="1:21" s="1" customFormat="1" ht="39.6" x14ac:dyDescent="0.25">
      <c r="A387" s="110" t="str">
        <f ca="1">OFFSET(PO!J$12,ROW(A387)-ROW($A$12),0)</f>
        <v>Serviço</v>
      </c>
      <c r="B387" s="112" t="str">
        <f ca="1">IF($A387=0,"",OFFSET(PO!K$12,ROW(B387)-ROW(B$12),0))</f>
        <v>16.0.0.9.</v>
      </c>
      <c r="C387" s="109" t="str">
        <f ca="1">IF(OFFSET(PO!N$12,ROW(C387)-ROW(C$12),0)=0,"",OFFSET(PO!N$12,ROW(C387)-ROW(C$12),0))</f>
        <v>LUVA, EM FERRO GALVANIZADO, CONEXÃO ROSQUEADA, DN 20 (3/4"), INSTALADO EM RAMAIS E SUB-RAMAIS DE GÁS - FORNECIMENTO E INSTALAÇÃO. AF_10/2020</v>
      </c>
      <c r="D387" s="111" t="str">
        <f ca="1">IF(OFFSET(PO!O$12,ROW(D387)-ROW(D$12),0)=0,"",OFFSET(PO!O$12,ROW(D387)-ROW(D$12),0))</f>
        <v>UN</v>
      </c>
      <c r="E387" s="140">
        <f ca="1">IF($A387&lt;&gt;"Serviço",0,ROUND(SUMIF($F$9:$P$9,"&lt;&gt;",$F387:$P387),15-13*PO!$X$3))</f>
        <v>8</v>
      </c>
      <c r="F387" s="361">
        <f ca="1">OFFSET(PO!$P$12,ROW($E387)-ROW(F$12),0)</f>
        <v>8</v>
      </c>
      <c r="G387" s="361"/>
      <c r="H387" s="361"/>
      <c r="I387" s="361"/>
      <c r="J387" s="361"/>
      <c r="K387" s="361"/>
      <c r="L387" s="361"/>
      <c r="M387" s="361"/>
      <c r="N387" s="361"/>
      <c r="O387" s="361"/>
      <c r="U387" s="182"/>
    </row>
    <row r="388" spans="1:21" s="1" customFormat="1" ht="39.6" x14ac:dyDescent="0.25">
      <c r="A388" s="110" t="str">
        <f ca="1">OFFSET(PO!J$12,ROW(A388)-ROW($A$12),0)</f>
        <v>Serviço</v>
      </c>
      <c r="B388" s="112" t="str">
        <f ca="1">IF($A388=0,"",OFFSET(PO!K$12,ROW(B388)-ROW(B$12),0))</f>
        <v>16.0.0.10.</v>
      </c>
      <c r="C388" s="109" t="str">
        <f ca="1">IF(OFFSET(PO!N$12,ROW(C388)-ROW(C$12),0)=0,"",OFFSET(PO!N$12,ROW(C388)-ROW(C$12),0))</f>
        <v>CURVA 45 GRAUS, EM AÇO, CONEXÃO SOLDADA, DN 20 (3/4"), INSTALADO EM RAMAIS E SUB-RAMAIS DE GÁS - FORNECIMENTO E INSTALAÇÃO. AF_10/2020</v>
      </c>
      <c r="D388" s="111" t="str">
        <f ca="1">IF(OFFSET(PO!O$12,ROW(D388)-ROW(D$12),0)=0,"",OFFSET(PO!O$12,ROW(D388)-ROW(D$12),0))</f>
        <v>UN</v>
      </c>
      <c r="E388" s="140">
        <f ca="1">IF($A388&lt;&gt;"Serviço",0,ROUND(SUMIF($F$9:$P$9,"&lt;&gt;",$F388:$P388),15-13*PO!$X$3))</f>
        <v>2</v>
      </c>
      <c r="F388" s="361">
        <f ca="1">OFFSET(PO!$P$12,ROW($E388)-ROW(F$12),0)</f>
        <v>2</v>
      </c>
      <c r="G388" s="361"/>
      <c r="H388" s="361"/>
      <c r="I388" s="361"/>
      <c r="J388" s="361"/>
      <c r="K388" s="361"/>
      <c r="L388" s="361"/>
      <c r="M388" s="361"/>
      <c r="N388" s="361"/>
      <c r="O388" s="361"/>
      <c r="U388" s="182"/>
    </row>
    <row r="389" spans="1:21" s="1" customFormat="1" ht="39.6" x14ac:dyDescent="0.25">
      <c r="A389" s="110" t="str">
        <f ca="1">OFFSET(PO!J$12,ROW(A389)-ROW($A$12),0)</f>
        <v>Serviço</v>
      </c>
      <c r="B389" s="112" t="str">
        <f ca="1">IF($A389=0,"",OFFSET(PO!K$12,ROW(B389)-ROW(B$12),0))</f>
        <v>16.0.0.11.</v>
      </c>
      <c r="C389" s="109" t="str">
        <f ca="1">IF(OFFSET(PO!N$12,ROW(C389)-ROW(C$12),0)=0,"",OFFSET(PO!N$12,ROW(C389)-ROW(C$12),0))</f>
        <v>CURVA 90 GRAUS, EM AÇO, CONEXÃO SOLDADA, DN 20 (3/4"), INSTALADO EM RAMAIS E SUB-RAMAIS DE GÁS - FORNECIMENTO E INSTALAÇÃO. AF_10/2020</v>
      </c>
      <c r="D389" s="111" t="str">
        <f ca="1">IF(OFFSET(PO!O$12,ROW(D389)-ROW(D$12),0)=0,"",OFFSET(PO!O$12,ROW(D389)-ROW(D$12),0))</f>
        <v>UN</v>
      </c>
      <c r="E389" s="140">
        <f ca="1">IF($A389&lt;&gt;"Serviço",0,ROUND(SUMIF($F$9:$P$9,"&lt;&gt;",$F389:$P389),15-13*PO!$X$3))</f>
        <v>6</v>
      </c>
      <c r="F389" s="361">
        <f ca="1">OFFSET(PO!$P$12,ROW($E389)-ROW(F$12),0)</f>
        <v>6</v>
      </c>
      <c r="G389" s="361"/>
      <c r="H389" s="361"/>
      <c r="I389" s="361"/>
      <c r="J389" s="361"/>
      <c r="K389" s="361"/>
      <c r="L389" s="361"/>
      <c r="M389" s="361"/>
      <c r="N389" s="361"/>
      <c r="O389" s="361"/>
      <c r="U389" s="182"/>
    </row>
    <row r="390" spans="1:21" s="1" customFormat="1" ht="39.6" x14ac:dyDescent="0.25">
      <c r="A390" s="110" t="str">
        <f ca="1">OFFSET(PO!J$12,ROW(A390)-ROW($A$12),0)</f>
        <v>Serviço</v>
      </c>
      <c r="B390" s="112" t="str">
        <f ca="1">IF($A390=0,"",OFFSET(PO!K$12,ROW(B390)-ROW(B$12),0))</f>
        <v>16.0.0.12.</v>
      </c>
      <c r="C390" s="109" t="str">
        <f ca="1">IF(OFFSET(PO!N$12,ROW(C390)-ROW(C$12),0)=0,"",OFFSET(PO!N$12,ROW(C390)-ROW(C$12),0))</f>
        <v>CURVA 90 GRAUS, EM AÇO, CONEXÃO SOLDADA, DN 15 (1/2"), INSTALADO EM RAMAIS E SUB-RAMAIS DE GÁS - FORNECIMENTO E INSTALAÇÃO. AF_10/2020</v>
      </c>
      <c r="D390" s="111" t="str">
        <f ca="1">IF(OFFSET(PO!O$12,ROW(D390)-ROW(D$12),0)=0,"",OFFSET(PO!O$12,ROW(D390)-ROW(D$12),0))</f>
        <v>UN</v>
      </c>
      <c r="E390" s="140">
        <f ca="1">IF($A390&lt;&gt;"Serviço",0,ROUND(SUMIF($F$9:$P$9,"&lt;&gt;",$F390:$P390),15-13*PO!$X$3))</f>
        <v>2</v>
      </c>
      <c r="F390" s="361">
        <f ca="1">OFFSET(PO!$P$12,ROW($E390)-ROW(F$12),0)</f>
        <v>2</v>
      </c>
      <c r="G390" s="361"/>
      <c r="H390" s="361"/>
      <c r="I390" s="361"/>
      <c r="J390" s="361"/>
      <c r="K390" s="361"/>
      <c r="L390" s="361"/>
      <c r="M390" s="361"/>
      <c r="N390" s="361"/>
      <c r="O390" s="361"/>
      <c r="U390" s="182"/>
    </row>
    <row r="391" spans="1:21" s="1" customFormat="1" ht="39.6" x14ac:dyDescent="0.25">
      <c r="A391" s="110" t="str">
        <f ca="1">OFFSET(PO!J$12,ROW(A391)-ROW($A$12),0)</f>
        <v>Serviço</v>
      </c>
      <c r="B391" s="112" t="str">
        <f ca="1">IF($A391=0,"",OFFSET(PO!K$12,ROW(B391)-ROW(B$12),0))</f>
        <v>16.0.0.13.</v>
      </c>
      <c r="C391" s="109" t="str">
        <f ca="1">IF(OFFSET(PO!N$12,ROW(C391)-ROW(C$12),0)=0,"",OFFSET(PO!N$12,ROW(C391)-ROW(C$12),0))</f>
        <v>REQUADRO EM ALUMÍNIO TIPO VENEZIANA COM GUARNIÇÃO, FIXAÇÃO COM PARAFUSOS - FORNECIMENTO E INSTALAÇÃO. (M2)</v>
      </c>
      <c r="D391" s="111" t="str">
        <f ca="1">IF(OFFSET(PO!O$12,ROW(D391)-ROW(D$12),0)=0,"",OFFSET(PO!O$12,ROW(D391)-ROW(D$12),0))</f>
        <v>M2</v>
      </c>
      <c r="E391" s="140">
        <f ca="1">IF($A391&lt;&gt;"Serviço",0,ROUND(SUMIF($F$9:$P$9,"&lt;&gt;",$F391:$P391),15-13*PO!$X$3))</f>
        <v>0.24</v>
      </c>
      <c r="F391" s="361">
        <f ca="1">OFFSET(PO!$P$12,ROW($E391)-ROW(F$12),0)</f>
        <v>0.24</v>
      </c>
      <c r="G391" s="361"/>
      <c r="H391" s="361"/>
      <c r="I391" s="361"/>
      <c r="J391" s="361"/>
      <c r="K391" s="361"/>
      <c r="L391" s="361"/>
      <c r="M391" s="361"/>
      <c r="N391" s="361"/>
      <c r="O391" s="361"/>
      <c r="U391" s="182"/>
    </row>
    <row r="392" spans="1:21" s="1" customFormat="1" x14ac:dyDescent="0.25">
      <c r="A392" s="110" t="str">
        <f ca="1">OFFSET(PO!J$12,ROW(A392)-ROW($A$12),0)</f>
        <v>Meta</v>
      </c>
      <c r="B392" s="112" t="str">
        <f ca="1">IF($A392=0,"",OFFSET(PO!K$12,ROW(B392)-ROW(B$12),0))</f>
        <v>17.</v>
      </c>
      <c r="C392" s="109" t="str">
        <f ca="1">IF(OFFSET(PO!N$12,ROW(C392)-ROW(C$12),0)=0,"",OFFSET(PO!N$12,ROW(C392)-ROW(C$12),0))</f>
        <v>SISTEMA DE PROTEÇÃO CONTRA INCÊNDIO</v>
      </c>
      <c r="D392" s="111" t="str">
        <f ca="1">IF(OFFSET(PO!O$12,ROW(D392)-ROW(D$12),0)=0,"",OFFSET(PO!O$12,ROW(D392)-ROW(D$12),0))</f>
        <v/>
      </c>
      <c r="E392" s="140">
        <f ca="1">IF($A392&lt;&gt;"Serviço",0,ROUND(SUMIF($F$9:$P$9,"&lt;&gt;",$F392:$P392),15-13*PO!$X$3))</f>
        <v>0</v>
      </c>
      <c r="F392" s="361">
        <f ca="1">OFFSET(PO!$P$12,ROW($E392)-ROW(F$12),0)</f>
        <v>0</v>
      </c>
      <c r="G392" s="361"/>
      <c r="H392" s="361"/>
      <c r="I392" s="361"/>
      <c r="J392" s="361"/>
      <c r="K392" s="361"/>
      <c r="L392" s="361"/>
      <c r="M392" s="361"/>
      <c r="N392" s="361"/>
      <c r="O392" s="361"/>
      <c r="U392" s="182"/>
    </row>
    <row r="393" spans="1:21" s="1" customFormat="1" x14ac:dyDescent="0.25">
      <c r="A393" s="110" t="str">
        <f ca="1">OFFSET(PO!J$12,ROW(A393)-ROW($A$12),0)</f>
        <v>Nível 2</v>
      </c>
      <c r="B393" s="112" t="str">
        <f ca="1">IF($A393=0,"",OFFSET(PO!K$12,ROW(B393)-ROW(B$12),0))</f>
        <v>17.1.</v>
      </c>
      <c r="C393" s="109" t="str">
        <f ca="1">IF(OFFSET(PO!N$12,ROW(C393)-ROW(C$12),0)=0,"",OFFSET(PO!N$12,ROW(C393)-ROW(C$12),0))</f>
        <v>EXTINTORES</v>
      </c>
      <c r="D393" s="111" t="str">
        <f ca="1">IF(OFFSET(PO!O$12,ROW(D393)-ROW(D$12),0)=0,"",OFFSET(PO!O$12,ROW(D393)-ROW(D$12),0))</f>
        <v/>
      </c>
      <c r="E393" s="140">
        <f ca="1">IF($A393&lt;&gt;"Serviço",0,ROUND(SUMIF($F$9:$P$9,"&lt;&gt;",$F393:$P393),15-13*PO!$X$3))</f>
        <v>0</v>
      </c>
      <c r="F393" s="361">
        <f ca="1">OFFSET(PO!$P$12,ROW($E393)-ROW(F$12),0)</f>
        <v>0</v>
      </c>
      <c r="G393" s="361"/>
      <c r="H393" s="361"/>
      <c r="I393" s="361"/>
      <c r="J393" s="361"/>
      <c r="K393" s="361"/>
      <c r="L393" s="361"/>
      <c r="M393" s="361"/>
      <c r="N393" s="361"/>
      <c r="O393" s="361"/>
      <c r="U393" s="182"/>
    </row>
    <row r="394" spans="1:21" s="1" customFormat="1" ht="26.4" x14ac:dyDescent="0.25">
      <c r="A394" s="110" t="str">
        <f ca="1">OFFSET(PO!J$12,ROW(A394)-ROW($A$12),0)</f>
        <v>Serviço</v>
      </c>
      <c r="B394" s="112" t="str">
        <f ca="1">IF($A394=0,"",OFFSET(PO!K$12,ROW(B394)-ROW(B$12),0))</f>
        <v>17.1.0.1.</v>
      </c>
      <c r="C394" s="109" t="str">
        <f ca="1">IF(OFFSET(PO!N$12,ROW(C394)-ROW(C$12),0)=0,"",OFFSET(PO!N$12,ROW(C394)-ROW(C$12),0))</f>
        <v>EXTINTOR DE INCÊNDIO PORTÁTIL COM CARGA DE PQS DE 6 KG, CLASSE BC - FORNECIMENTO E INSTALAÇÃO. AF_10/2020_PE</v>
      </c>
      <c r="D394" s="111" t="str">
        <f ca="1">IF(OFFSET(PO!O$12,ROW(D394)-ROW(D$12),0)=0,"",OFFSET(PO!O$12,ROW(D394)-ROW(D$12),0))</f>
        <v>UN</v>
      </c>
      <c r="E394" s="140">
        <f ca="1">IF($A394&lt;&gt;"Serviço",0,ROUND(SUMIF($F$9:$P$9,"&lt;&gt;",$F394:$P394),15-13*PO!$X$3))</f>
        <v>6</v>
      </c>
      <c r="F394" s="361">
        <f ca="1">OFFSET(PO!$P$12,ROW($E394)-ROW(F$12),0)</f>
        <v>6</v>
      </c>
      <c r="G394" s="361"/>
      <c r="H394" s="361"/>
      <c r="I394" s="361"/>
      <c r="J394" s="361"/>
      <c r="K394" s="361"/>
      <c r="L394" s="361"/>
      <c r="M394" s="361"/>
      <c r="N394" s="361"/>
      <c r="O394" s="361"/>
      <c r="U394" s="182"/>
    </row>
    <row r="395" spans="1:21" s="1" customFormat="1" ht="26.4" x14ac:dyDescent="0.25">
      <c r="A395" s="110" t="str">
        <f ca="1">OFFSET(PO!J$12,ROW(A395)-ROW($A$12),0)</f>
        <v>Serviço</v>
      </c>
      <c r="B395" s="112" t="str">
        <f ca="1">IF($A395=0,"",OFFSET(PO!K$12,ROW(B395)-ROW(B$12),0))</f>
        <v>17.1.0.2.</v>
      </c>
      <c r="C395" s="109" t="str">
        <f ca="1">IF(OFFSET(PO!N$12,ROW(C395)-ROW(C$12),0)=0,"",OFFSET(PO!N$12,ROW(C395)-ROW(C$12),0))</f>
        <v>EXTINTOR DE INCÊNDIO PORTÁTIL COM CARGA DE CO2 DE 6 KG, CLASSE BC - FORNECIMENTO E INSTALAÇÃO. AF_10/2020_PE</v>
      </c>
      <c r="D395" s="111" t="str">
        <f ca="1">IF(OFFSET(PO!O$12,ROW(D395)-ROW(D$12),0)=0,"",OFFSET(PO!O$12,ROW(D395)-ROW(D$12),0))</f>
        <v>UN</v>
      </c>
      <c r="E395" s="140">
        <f ca="1">IF($A395&lt;&gt;"Serviço",0,ROUND(SUMIF($F$9:$P$9,"&lt;&gt;",$F395:$P395),15-13*PO!$X$3))</f>
        <v>2</v>
      </c>
      <c r="F395" s="361">
        <f ca="1">OFFSET(PO!$P$12,ROW($E395)-ROW(F$12),0)</f>
        <v>2</v>
      </c>
      <c r="G395" s="361"/>
      <c r="H395" s="361"/>
      <c r="I395" s="361"/>
      <c r="J395" s="361"/>
      <c r="K395" s="361"/>
      <c r="L395" s="361"/>
      <c r="M395" s="361"/>
      <c r="N395" s="361"/>
      <c r="O395" s="361"/>
      <c r="U395" s="182"/>
    </row>
    <row r="396" spans="1:21" s="1" customFormat="1" x14ac:dyDescent="0.25">
      <c r="A396" s="110" t="str">
        <f ca="1">OFFSET(PO!J$12,ROW(A396)-ROW($A$12),0)</f>
        <v>Nível 2</v>
      </c>
      <c r="B396" s="112" t="str">
        <f ca="1">IF($A396=0,"",OFFSET(PO!K$12,ROW(B396)-ROW(B$12),0))</f>
        <v>17.2.</v>
      </c>
      <c r="C396" s="109" t="str">
        <f ca="1">IF(OFFSET(PO!N$12,ROW(C396)-ROW(C$12),0)=0,"",OFFSET(PO!N$12,ROW(C396)-ROW(C$12),0))</f>
        <v>HIDRANTES</v>
      </c>
      <c r="D396" s="111" t="str">
        <f ca="1">IF(OFFSET(PO!O$12,ROW(D396)-ROW(D$12),0)=0,"",OFFSET(PO!O$12,ROW(D396)-ROW(D$12),0))</f>
        <v/>
      </c>
      <c r="E396" s="140">
        <f ca="1">IF($A396&lt;&gt;"Serviço",0,ROUND(SUMIF($F$9:$P$9,"&lt;&gt;",$F396:$P396),15-13*PO!$X$3))</f>
        <v>0</v>
      </c>
      <c r="F396" s="361">
        <f ca="1">OFFSET(PO!$P$12,ROW($E396)-ROW(F$12),0)</f>
        <v>0</v>
      </c>
      <c r="G396" s="361"/>
      <c r="H396" s="361"/>
      <c r="I396" s="361"/>
      <c r="J396" s="361"/>
      <c r="K396" s="361"/>
      <c r="L396" s="361"/>
      <c r="M396" s="361"/>
      <c r="N396" s="361"/>
      <c r="O396" s="361"/>
      <c r="U396" s="182"/>
    </row>
    <row r="397" spans="1:21" s="1" customFormat="1" ht="52.8" x14ac:dyDescent="0.25">
      <c r="A397" s="110" t="str">
        <f ca="1">OFFSET(PO!J$12,ROW(A397)-ROW($A$12),0)</f>
        <v>Serviço</v>
      </c>
      <c r="B397" s="112" t="str">
        <f ca="1">IF($A397=0,"",OFFSET(PO!K$12,ROW(B397)-ROW(B$12),0))</f>
        <v>17.2.0.1.</v>
      </c>
      <c r="C397" s="109" t="str">
        <f ca="1">IF(OFFSET(PO!N$12,ROW(C397)-ROW(C$12),0)=0,"",OFFSET(PO!N$12,ROW(C397)-ROW(C$12),0))</f>
        <v>ABRIGO PARA HIDRANTE, 75X45X17CM, COM REGISTRO GLOBO ANGULAR 45 GRAUS 2 1/2", ADAPTADOR STORZ 2 1/2", MANGUEIRA DE INCÊNDIO 15M 2 1/2" E ESGUICHO EM LATÃO 2 1/2" - FORNECIMENTO E INSTALAÇÃO. AF_10/2020</v>
      </c>
      <c r="D397" s="111" t="str">
        <f ca="1">IF(OFFSET(PO!O$12,ROW(D397)-ROW(D$12),0)=0,"",OFFSET(PO!O$12,ROW(D397)-ROW(D$12),0))</f>
        <v>UN</v>
      </c>
      <c r="E397" s="140">
        <f ca="1">IF($A397&lt;&gt;"Serviço",0,ROUND(SUMIF($F$9:$P$9,"&lt;&gt;",$F397:$P397),15-13*PO!$X$3))</f>
        <v>1</v>
      </c>
      <c r="F397" s="361">
        <f ca="1">OFFSET(PO!$P$12,ROW($E397)-ROW(F$12),0)</f>
        <v>1</v>
      </c>
      <c r="G397" s="361"/>
      <c r="H397" s="361"/>
      <c r="I397" s="361"/>
      <c r="J397" s="361"/>
      <c r="K397" s="361"/>
      <c r="L397" s="361"/>
      <c r="M397" s="361"/>
      <c r="N397" s="361"/>
      <c r="O397" s="361"/>
      <c r="U397" s="182"/>
    </row>
    <row r="398" spans="1:21" s="1" customFormat="1" ht="26.4" x14ac:dyDescent="0.25">
      <c r="A398" s="110" t="str">
        <f ca="1">OFFSET(PO!J$12,ROW(A398)-ROW($A$12),0)</f>
        <v>Serviço</v>
      </c>
      <c r="B398" s="112" t="str">
        <f ca="1">IF($A398=0,"",OFFSET(PO!K$12,ROW(B398)-ROW(B$12),0))</f>
        <v>17.2.0.2.</v>
      </c>
      <c r="C398" s="109" t="str">
        <f ca="1">IF(OFFSET(PO!N$12,ROW(C398)-ROW(C$12),0)=0,"",OFFSET(PO!N$12,ROW(C398)-ROW(C$12),0))</f>
        <v>HIDRANTE SUBTERRÂNEO PREDIAL (COM CURVA LONGA E CAIXA), DN 75 MM - FORNECIMENTO E INSTALAÇÃO. AF_10/2020</v>
      </c>
      <c r="D398" s="111" t="str">
        <f ca="1">IF(OFFSET(PO!O$12,ROW(D398)-ROW(D$12),0)=0,"",OFFSET(PO!O$12,ROW(D398)-ROW(D$12),0))</f>
        <v>UN</v>
      </c>
      <c r="E398" s="140">
        <f ca="1">IF($A398&lt;&gt;"Serviço",0,ROUND(SUMIF($F$9:$P$9,"&lt;&gt;",$F398:$P398),15-13*PO!$X$3))</f>
        <v>1</v>
      </c>
      <c r="F398" s="361">
        <f ca="1">OFFSET(PO!$P$12,ROW($E398)-ROW(F$12),0)</f>
        <v>1</v>
      </c>
      <c r="G398" s="361"/>
      <c r="H398" s="361"/>
      <c r="I398" s="361"/>
      <c r="J398" s="361"/>
      <c r="K398" s="361"/>
      <c r="L398" s="361"/>
      <c r="M398" s="361"/>
      <c r="N398" s="361"/>
      <c r="O398" s="361"/>
      <c r="U398" s="182"/>
    </row>
    <row r="399" spans="1:21" s="1" customFormat="1" x14ac:dyDescent="0.25">
      <c r="A399" s="110" t="str">
        <f ca="1">OFFSET(PO!J$12,ROW(A399)-ROW($A$12),0)</f>
        <v>Nível 2</v>
      </c>
      <c r="B399" s="112" t="str">
        <f ca="1">IF($A399=0,"",OFFSET(PO!K$12,ROW(B399)-ROW(B$12),0))</f>
        <v>17.3.</v>
      </c>
      <c r="C399" s="109" t="str">
        <f ca="1">IF(OFFSET(PO!N$12,ROW(C399)-ROW(C$12),0)=0,"",OFFSET(PO!N$12,ROW(C399)-ROW(C$12),0))</f>
        <v>ACESSÓRIOS</v>
      </c>
      <c r="D399" s="111" t="str">
        <f ca="1">IF(OFFSET(PO!O$12,ROW(D399)-ROW(D$12),0)=0,"",OFFSET(PO!O$12,ROW(D399)-ROW(D$12),0))</f>
        <v/>
      </c>
      <c r="E399" s="140">
        <f ca="1">IF($A399&lt;&gt;"Serviço",0,ROUND(SUMIF($F$9:$P$9,"&lt;&gt;",$F399:$P399),15-13*PO!$X$3))</f>
        <v>0</v>
      </c>
      <c r="F399" s="361">
        <f ca="1">OFFSET(PO!$P$12,ROW($E399)-ROW(F$12),0)</f>
        <v>0</v>
      </c>
      <c r="G399" s="361"/>
      <c r="H399" s="361"/>
      <c r="I399" s="361"/>
      <c r="J399" s="361"/>
      <c r="K399" s="361"/>
      <c r="L399" s="361"/>
      <c r="M399" s="361"/>
      <c r="N399" s="361"/>
      <c r="O399" s="361"/>
      <c r="U399" s="182"/>
    </row>
    <row r="400" spans="1:21" s="1" customFormat="1" ht="26.4" x14ac:dyDescent="0.25">
      <c r="A400" s="110" t="str">
        <f ca="1">OFFSET(PO!J$12,ROW(A400)-ROW($A$12),0)</f>
        <v>Serviço</v>
      </c>
      <c r="B400" s="112" t="str">
        <f ca="1">IF($A400=0,"",OFFSET(PO!K$12,ROW(B400)-ROW(B$12),0))</f>
        <v>17.3.0.1.</v>
      </c>
      <c r="C400" s="109" t="str">
        <f ca="1">IF(OFFSET(PO!N$12,ROW(C400)-ROW(C$12),0)=0,"",OFFSET(PO!N$12,ROW(C400)-ROW(C$12),0))</f>
        <v>REGISTRO DE GAVETA BRUTO, LATÃO, ROSCÁVEL, 2 1/2" - FORNECIMENTO E INSTALAÇÃO. AF_08/2021</v>
      </c>
      <c r="D400" s="111" t="str">
        <f ca="1">IF(OFFSET(PO!O$12,ROW(D400)-ROW(D$12),0)=0,"",OFFSET(PO!O$12,ROW(D400)-ROW(D$12),0))</f>
        <v>UN</v>
      </c>
      <c r="E400" s="140">
        <f ca="1">IF($A400&lt;&gt;"Serviço",0,ROUND(SUMIF($F$9:$P$9,"&lt;&gt;",$F400:$P400),15-13*PO!$X$3))</f>
        <v>5</v>
      </c>
      <c r="F400" s="361">
        <f ca="1">OFFSET(PO!$P$12,ROW($E400)-ROW(F$12),0)</f>
        <v>5</v>
      </c>
      <c r="G400" s="361"/>
      <c r="H400" s="361"/>
      <c r="I400" s="361"/>
      <c r="J400" s="361"/>
      <c r="K400" s="361"/>
      <c r="L400" s="361"/>
      <c r="M400" s="361"/>
      <c r="N400" s="361"/>
      <c r="O400" s="361"/>
      <c r="U400" s="182"/>
    </row>
    <row r="401" spans="1:21" s="1" customFormat="1" ht="26.4" x14ac:dyDescent="0.25">
      <c r="A401" s="110" t="str">
        <f ca="1">OFFSET(PO!J$12,ROW(A401)-ROW($A$12),0)</f>
        <v>Serviço</v>
      </c>
      <c r="B401" s="112" t="str">
        <f ca="1">IF($A401=0,"",OFFSET(PO!K$12,ROW(B401)-ROW(B$12),0))</f>
        <v>17.3.0.2.</v>
      </c>
      <c r="C401" s="109" t="str">
        <f ca="1">IF(OFFSET(PO!N$12,ROW(C401)-ROW(C$12),0)=0,"",OFFSET(PO!N$12,ROW(C401)-ROW(C$12),0))</f>
        <v>VÁLVULA DE RETENÇÃO HORIZONTAL, DE BRONZE, ROSCÁVEL, 2 1/2" - FORNECIMENTO E INSTALAÇÃO. AF_08/2021</v>
      </c>
      <c r="D401" s="111" t="str">
        <f ca="1">IF(OFFSET(PO!O$12,ROW(D401)-ROW(D$12),0)=0,"",OFFSET(PO!O$12,ROW(D401)-ROW(D$12),0))</f>
        <v>UN</v>
      </c>
      <c r="E401" s="140">
        <f ca="1">IF($A401&lt;&gt;"Serviço",0,ROUND(SUMIF($F$9:$P$9,"&lt;&gt;",$F401:$P401),15-13*PO!$X$3))</f>
        <v>3</v>
      </c>
      <c r="F401" s="361">
        <f ca="1">OFFSET(PO!$P$12,ROW($E401)-ROW(F$12),0)</f>
        <v>3</v>
      </c>
      <c r="G401" s="361"/>
      <c r="H401" s="361"/>
      <c r="I401" s="361"/>
      <c r="J401" s="361"/>
      <c r="K401" s="361"/>
      <c r="L401" s="361"/>
      <c r="M401" s="361"/>
      <c r="N401" s="361"/>
      <c r="O401" s="361"/>
      <c r="U401" s="182"/>
    </row>
    <row r="402" spans="1:21" s="1" customFormat="1" ht="26.4" x14ac:dyDescent="0.25">
      <c r="A402" s="110" t="str">
        <f ca="1">OFFSET(PO!J$12,ROW(A402)-ROW($A$12),0)</f>
        <v>Serviço</v>
      </c>
      <c r="B402" s="112" t="str">
        <f ca="1">IF($A402=0,"",OFFSET(PO!K$12,ROW(B402)-ROW(B$12),0))</f>
        <v>17.3.0.3.</v>
      </c>
      <c r="C402" s="109" t="str">
        <f ca="1">IF(OFFSET(PO!N$12,ROW(C402)-ROW(C$12),0)=0,"",OFFSET(PO!N$12,ROW(C402)-ROW(C$12),0))</f>
        <v>MANÔMETRO 0 A 200 PSI (0 A 14 KGF/CM2), D = 50MM - FORNECIMENTO E INSTALAÇÃO. AF_10/2020</v>
      </c>
      <c r="D402" s="111" t="str">
        <f ca="1">IF(OFFSET(PO!O$12,ROW(D402)-ROW(D$12),0)=0,"",OFFSET(PO!O$12,ROW(D402)-ROW(D$12),0))</f>
        <v>UN</v>
      </c>
      <c r="E402" s="140">
        <f ca="1">IF($A402&lt;&gt;"Serviço",0,ROUND(SUMIF($F$9:$P$9,"&lt;&gt;",$F402:$P402),15-13*PO!$X$3))</f>
        <v>1</v>
      </c>
      <c r="F402" s="361">
        <f ca="1">OFFSET(PO!$P$12,ROW($E402)-ROW(F$12),0)</f>
        <v>1</v>
      </c>
      <c r="G402" s="361"/>
      <c r="H402" s="361"/>
      <c r="I402" s="361"/>
      <c r="J402" s="361"/>
      <c r="K402" s="361"/>
      <c r="L402" s="361"/>
      <c r="M402" s="361"/>
      <c r="N402" s="361"/>
      <c r="O402" s="361"/>
      <c r="U402" s="182"/>
    </row>
    <row r="403" spans="1:21" s="1" customFormat="1" x14ac:dyDescent="0.25">
      <c r="A403" s="110" t="str">
        <f ca="1">OFFSET(PO!J$12,ROW(A403)-ROW($A$12),0)</f>
        <v>Serviço</v>
      </c>
      <c r="B403" s="112" t="str">
        <f ca="1">IF($A403=0,"",OFFSET(PO!K$12,ROW(B403)-ROW(B$12),0))</f>
        <v>17.3.0.4.</v>
      </c>
      <c r="C403" s="109" t="str">
        <f ca="1">IF(OFFSET(PO!N$12,ROW(C403)-ROW(C$12),0)=0,"",OFFSET(PO!N$12,ROW(C403)-ROW(C$12),0))</f>
        <v>MOTOBOMBA CENTRIFUGA (UN)</v>
      </c>
      <c r="D403" s="111" t="str">
        <f ca="1">IF(OFFSET(PO!O$12,ROW(D403)-ROW(D$12),0)=0,"",OFFSET(PO!O$12,ROW(D403)-ROW(D$12),0))</f>
        <v>U N</v>
      </c>
      <c r="E403" s="140">
        <f ca="1">IF($A403&lt;&gt;"Serviço",0,ROUND(SUMIF($F$9:$P$9,"&lt;&gt;",$F403:$P403),15-13*PO!$X$3))</f>
        <v>1</v>
      </c>
      <c r="F403" s="361">
        <f ca="1">OFFSET(PO!$P$12,ROW($E403)-ROW(F$12),0)</f>
        <v>1</v>
      </c>
      <c r="G403" s="361"/>
      <c r="H403" s="361"/>
      <c r="I403" s="361"/>
      <c r="J403" s="361"/>
      <c r="K403" s="361"/>
      <c r="L403" s="361"/>
      <c r="M403" s="361"/>
      <c r="N403" s="361"/>
      <c r="O403" s="361"/>
      <c r="U403" s="182"/>
    </row>
    <row r="404" spans="1:21" s="1" customFormat="1" x14ac:dyDescent="0.25">
      <c r="A404" s="110" t="str">
        <f ca="1">OFFSET(PO!J$12,ROW(A404)-ROW($A$12),0)</f>
        <v>Serviço</v>
      </c>
      <c r="B404" s="112" t="str">
        <f ca="1">IF($A404=0,"",OFFSET(PO!K$12,ROW(B404)-ROW(B$12),0))</f>
        <v>17.3.0.5.</v>
      </c>
      <c r="C404" s="109" t="str">
        <f ca="1">IF(OFFSET(PO!N$12,ROW(C404)-ROW(C$12),0)=0,"",OFFSET(PO!N$12,ROW(C404)-ROW(C$12),0))</f>
        <v>PRESSOSTATO (UN)</v>
      </c>
      <c r="D404" s="111" t="str">
        <f ca="1">IF(OFFSET(PO!O$12,ROW(D404)-ROW(D$12),0)=0,"",OFFSET(PO!O$12,ROW(D404)-ROW(D$12),0))</f>
        <v xml:space="preserve">U N </v>
      </c>
      <c r="E404" s="140">
        <f ca="1">IF($A404&lt;&gt;"Serviço",0,ROUND(SUMIF($F$9:$P$9,"&lt;&gt;",$F404:$P404),15-13*PO!$X$3))</f>
        <v>1</v>
      </c>
      <c r="F404" s="361">
        <f ca="1">OFFSET(PO!$P$12,ROW($E404)-ROW(F$12),0)</f>
        <v>1</v>
      </c>
      <c r="G404" s="361"/>
      <c r="H404" s="361"/>
      <c r="I404" s="361"/>
      <c r="J404" s="361"/>
      <c r="K404" s="361"/>
      <c r="L404" s="361"/>
      <c r="M404" s="361"/>
      <c r="N404" s="361"/>
      <c r="O404" s="361"/>
      <c r="U404" s="182"/>
    </row>
    <row r="405" spans="1:21" s="1" customFormat="1" x14ac:dyDescent="0.25">
      <c r="A405" s="110" t="str">
        <f ca="1">OFFSET(PO!J$12,ROW(A405)-ROW($A$12),0)</f>
        <v>Serviço</v>
      </c>
      <c r="B405" s="112" t="str">
        <f ca="1">IF($A405=0,"",OFFSET(PO!K$12,ROW(B405)-ROW(B$12),0))</f>
        <v>17.3.0.6.</v>
      </c>
      <c r="C405" s="109" t="str">
        <f ca="1">IF(OFFSET(PO!N$12,ROW(C405)-ROW(C$12),0)=0,"",OFFSET(PO!N$12,ROW(C405)-ROW(C$12),0))</f>
        <v>VÁLVULA DE ALÍVIO (un)</v>
      </c>
      <c r="D405" s="111" t="str">
        <f ca="1">IF(OFFSET(PO!O$12,ROW(D405)-ROW(D$12),0)=0,"",OFFSET(PO!O$12,ROW(D405)-ROW(D$12),0))</f>
        <v>U N</v>
      </c>
      <c r="E405" s="140">
        <f ca="1">IF($A405&lt;&gt;"Serviço",0,ROUND(SUMIF($F$9:$P$9,"&lt;&gt;",$F405:$P405),15-13*PO!$X$3))</f>
        <v>1</v>
      </c>
      <c r="F405" s="361">
        <f ca="1">OFFSET(PO!$P$12,ROW($E405)-ROW(F$12),0)</f>
        <v>1</v>
      </c>
      <c r="G405" s="361"/>
      <c r="H405" s="361"/>
      <c r="I405" s="361"/>
      <c r="J405" s="361"/>
      <c r="K405" s="361"/>
      <c r="L405" s="361"/>
      <c r="M405" s="361"/>
      <c r="N405" s="361"/>
      <c r="O405" s="361"/>
      <c r="U405" s="182"/>
    </row>
    <row r="406" spans="1:21" s="1" customFormat="1" ht="39.6" x14ac:dyDescent="0.25">
      <c r="A406" s="110" t="str">
        <f ca="1">OFFSET(PO!J$12,ROW(A406)-ROW($A$12),0)</f>
        <v>Serviço</v>
      </c>
      <c r="B406" s="112" t="str">
        <f ca="1">IF($A406=0,"",OFFSET(PO!K$12,ROW(B406)-ROW(B$12),0))</f>
        <v>17.3.0.7.</v>
      </c>
      <c r="C406" s="109" t="str">
        <f ca="1">IF(OFFSET(PO!N$12,ROW(C406)-ROW(C$12),0)=0,"",OFFSET(PO!N$12,ROW(C406)-ROW(C$12),0))</f>
        <v>BOMBA CENTRÍFUGA, MONOFÁSICA, 0,5 CV OU 0,49 HP, HM 6 A 20 M, Q 1,2 A 8,3 M3/H - FORNECIMENTO E INSTALAÇÃO. AF_12/2020</v>
      </c>
      <c r="D406" s="111" t="str">
        <f ca="1">IF(OFFSET(PO!O$12,ROW(D406)-ROW(D$12),0)=0,"",OFFSET(PO!O$12,ROW(D406)-ROW(D$12),0))</f>
        <v>UN</v>
      </c>
      <c r="E406" s="140">
        <f ca="1">IF($A406&lt;&gt;"Serviço",0,ROUND(SUMIF($F$9:$P$9,"&lt;&gt;",$F406:$P406),15-13*PO!$X$3))</f>
        <v>2</v>
      </c>
      <c r="F406" s="361">
        <f ca="1">OFFSET(PO!$P$12,ROW($E406)-ROW(F$12),0)</f>
        <v>2</v>
      </c>
      <c r="G406" s="361"/>
      <c r="H406" s="361"/>
      <c r="I406" s="361"/>
      <c r="J406" s="361"/>
      <c r="K406" s="361"/>
      <c r="L406" s="361"/>
      <c r="M406" s="361"/>
      <c r="N406" s="361"/>
      <c r="O406" s="361"/>
      <c r="U406" s="182"/>
    </row>
    <row r="407" spans="1:21" s="1" customFormat="1" x14ac:dyDescent="0.25">
      <c r="A407" s="110" t="str">
        <f ca="1">OFFSET(PO!J$12,ROW(A407)-ROW($A$12),0)</f>
        <v>Serviço</v>
      </c>
      <c r="B407" s="112" t="str">
        <f ca="1">IF($A407=0,"",OFFSET(PO!K$12,ROW(B407)-ROW(B$12),0))</f>
        <v>17.3.0.8.</v>
      </c>
      <c r="C407" s="109" t="str">
        <f ca="1">IF(OFFSET(PO!N$12,ROW(C407)-ROW(C$12),0)=0,"",OFFSET(PO!N$12,ROW(C407)-ROW(C$12),0))</f>
        <v>CENTRAL ALARME ENDEREÇAVEL (UN)</v>
      </c>
      <c r="D407" s="111" t="str">
        <f ca="1">IF(OFFSET(PO!O$12,ROW(D407)-ROW(D$12),0)=0,"",OFFSET(PO!O$12,ROW(D407)-ROW(D$12),0))</f>
        <v>U N</v>
      </c>
      <c r="E407" s="140">
        <f ca="1">IF($A407&lt;&gt;"Serviço",0,ROUND(SUMIF($F$9:$P$9,"&lt;&gt;",$F407:$P407),15-13*PO!$X$3))</f>
        <v>1</v>
      </c>
      <c r="F407" s="361">
        <f ca="1">OFFSET(PO!$P$12,ROW($E407)-ROW(F$12),0)</f>
        <v>1</v>
      </c>
      <c r="G407" s="361"/>
      <c r="H407" s="361"/>
      <c r="I407" s="361"/>
      <c r="J407" s="361"/>
      <c r="K407" s="361"/>
      <c r="L407" s="361"/>
      <c r="M407" s="361"/>
      <c r="N407" s="361"/>
      <c r="O407" s="361"/>
      <c r="U407" s="182"/>
    </row>
    <row r="408" spans="1:21" s="1" customFormat="1" x14ac:dyDescent="0.25">
      <c r="A408" s="110" t="str">
        <f ca="1">OFFSET(PO!J$12,ROW(A408)-ROW($A$12),0)</f>
        <v>Nível 2</v>
      </c>
      <c r="B408" s="112" t="str">
        <f ca="1">IF($A408=0,"",OFFSET(PO!K$12,ROW(B408)-ROW(B$12),0))</f>
        <v>17.4.</v>
      </c>
      <c r="C408" s="109" t="str">
        <f ca="1">IF(OFFSET(PO!N$12,ROW(C408)-ROW(C$12),0)=0,"",OFFSET(PO!N$12,ROW(C408)-ROW(C$12),0))</f>
        <v>TUBULAÇÕES E CONEXÕES</v>
      </c>
      <c r="D408" s="111" t="str">
        <f ca="1">IF(OFFSET(PO!O$12,ROW(D408)-ROW(D$12),0)=0,"",OFFSET(PO!O$12,ROW(D408)-ROW(D$12),0))</f>
        <v/>
      </c>
      <c r="E408" s="140">
        <f ca="1">IF($A408&lt;&gt;"Serviço",0,ROUND(SUMIF($F$9:$P$9,"&lt;&gt;",$F408:$P408),15-13*PO!$X$3))</f>
        <v>0</v>
      </c>
      <c r="F408" s="361">
        <f ca="1">OFFSET(PO!$P$12,ROW($E408)-ROW(F$12),0)</f>
        <v>0</v>
      </c>
      <c r="G408" s="361"/>
      <c r="H408" s="361"/>
      <c r="I408" s="361"/>
      <c r="J408" s="361"/>
      <c r="K408" s="361"/>
      <c r="L408" s="361"/>
      <c r="M408" s="361"/>
      <c r="N408" s="361"/>
      <c r="O408" s="361"/>
      <c r="U408" s="182"/>
    </row>
    <row r="409" spans="1:21" s="1" customFormat="1" ht="39.6" x14ac:dyDescent="0.25">
      <c r="A409" s="110" t="str">
        <f ca="1">OFFSET(PO!J$12,ROW(A409)-ROW($A$12),0)</f>
        <v>Serviço</v>
      </c>
      <c r="B409" s="112" t="str">
        <f ca="1">IF($A409=0,"",OFFSET(PO!K$12,ROW(B409)-ROW(B$12),0))</f>
        <v>17.4.0.1.</v>
      </c>
      <c r="C409" s="109" t="str">
        <f ca="1">IF(OFFSET(PO!N$12,ROW(C409)-ROW(C$12),0)=0,"",OFFSET(PO!N$12,ROW(C409)-ROW(C$12),0))</f>
        <v>COTOVELO 90 GRAUS, EM FERRO GALVANIZADO, CONEXÃO ROSQUEADA, DN 65 MM (2 1/2"), INSTALADO EM RESERVAÇÃO PREDIAL DE ÁGUA - FORNECIMENTO E INSTALAÇÃO. AF_04/2024</v>
      </c>
      <c r="D409" s="111" t="str">
        <f ca="1">IF(OFFSET(PO!O$12,ROW(D409)-ROW(D$12),0)=0,"",OFFSET(PO!O$12,ROW(D409)-ROW(D$12),0))</f>
        <v>UN</v>
      </c>
      <c r="E409" s="140">
        <f ca="1">IF($A409&lt;&gt;"Serviço",0,ROUND(SUMIF($F$9:$P$9,"&lt;&gt;",$F409:$P409),15-13*PO!$X$3))</f>
        <v>7</v>
      </c>
      <c r="F409" s="361">
        <f ca="1">OFFSET(PO!$P$12,ROW($E409)-ROW(F$12),0)</f>
        <v>7</v>
      </c>
      <c r="G409" s="361"/>
      <c r="H409" s="361"/>
      <c r="I409" s="361"/>
      <c r="J409" s="361"/>
      <c r="K409" s="361"/>
      <c r="L409" s="361"/>
      <c r="M409" s="361"/>
      <c r="N409" s="361"/>
      <c r="O409" s="361"/>
      <c r="U409" s="182"/>
    </row>
    <row r="410" spans="1:21" s="1" customFormat="1" ht="52.8" x14ac:dyDescent="0.25">
      <c r="A410" s="110" t="str">
        <f ca="1">OFFSET(PO!J$12,ROW(A410)-ROW($A$12),0)</f>
        <v>Serviço</v>
      </c>
      <c r="B410" s="112" t="str">
        <f ca="1">IF($A410=0,"",OFFSET(PO!K$12,ROW(B410)-ROW(B$12),0))</f>
        <v>17.4.0.2.</v>
      </c>
      <c r="C410" s="109" t="str">
        <f ca="1">IF(OFFSET(PO!N$12,ROW(C410)-ROW(C$12),0)=0,"",OFFSET(PO!N$12,ROW(C410)-ROW(C$12),0))</f>
        <v>TUBO DE AÇO GALVANIZADO COM COSTURA, CLASSE MÉDIA, DN 65 (2 1/2"), CONEXÃO ROSQUEADA, INSTALADO EM REDE DE ALIMENTAÇÃO PARA HIDRANTE - FORNECIMENTO E INSTALAÇÃO. AF_10/2020</v>
      </c>
      <c r="D410" s="111" t="str">
        <f ca="1">IF(OFFSET(PO!O$12,ROW(D410)-ROW(D$12),0)=0,"",OFFSET(PO!O$12,ROW(D410)-ROW(D$12),0))</f>
        <v>M</v>
      </c>
      <c r="E410" s="140">
        <f ca="1">IF($A410&lt;&gt;"Serviço",0,ROUND(SUMIF($F$9:$P$9,"&lt;&gt;",$F410:$P410),15-13*PO!$X$3))</f>
        <v>63</v>
      </c>
      <c r="F410" s="361">
        <f ca="1">OFFSET(PO!$P$12,ROW($E410)-ROW(F$12),0)</f>
        <v>63</v>
      </c>
      <c r="G410" s="361"/>
      <c r="H410" s="361"/>
      <c r="I410" s="361"/>
      <c r="J410" s="361"/>
      <c r="K410" s="361"/>
      <c r="L410" s="361"/>
      <c r="M410" s="361"/>
      <c r="N410" s="361"/>
      <c r="O410" s="361"/>
      <c r="U410" s="182"/>
    </row>
    <row r="411" spans="1:21" s="1" customFormat="1" ht="39.6" x14ac:dyDescent="0.25">
      <c r="A411" s="110" t="str">
        <f ca="1">OFFSET(PO!J$12,ROW(A411)-ROW($A$12),0)</f>
        <v>Serviço</v>
      </c>
      <c r="B411" s="112" t="str">
        <f ca="1">IF($A411=0,"",OFFSET(PO!K$12,ROW(B411)-ROW(B$12),0))</f>
        <v>17.4.0.3.</v>
      </c>
      <c r="C411" s="109" t="str">
        <f ca="1">IF(OFFSET(PO!N$12,ROW(C411)-ROW(C$12),0)=0,"",OFFSET(PO!N$12,ROW(C411)-ROW(C$12),0))</f>
        <v>COTOVELO 45 GRAUS, EM FERRO GALVANIZADO, CONEXÃO ROSQUEADA, DN 65 MM (2 1/2"), INSTALADO EM RESERVAÇÃO PREDIAL DE ÁGUA - FORNECIMENTO E INSTALAÇÃO. AF_04/2024</v>
      </c>
      <c r="D411" s="111" t="str">
        <f ca="1">IF(OFFSET(PO!O$12,ROW(D411)-ROW(D$12),0)=0,"",OFFSET(PO!O$12,ROW(D411)-ROW(D$12),0))</f>
        <v>UN</v>
      </c>
      <c r="E411" s="140">
        <f ca="1">IF($A411&lt;&gt;"Serviço",0,ROUND(SUMIF($F$9:$P$9,"&lt;&gt;",$F411:$P411),15-13*PO!$X$3))</f>
        <v>1</v>
      </c>
      <c r="F411" s="361">
        <f ca="1">OFFSET(PO!$P$12,ROW($E411)-ROW(F$12),0)</f>
        <v>1</v>
      </c>
      <c r="G411" s="361"/>
      <c r="H411" s="361"/>
      <c r="I411" s="361"/>
      <c r="J411" s="361"/>
      <c r="K411" s="361"/>
      <c r="L411" s="361"/>
      <c r="M411" s="361"/>
      <c r="N411" s="361"/>
      <c r="O411" s="361"/>
      <c r="U411" s="182"/>
    </row>
    <row r="412" spans="1:21" s="1" customFormat="1" ht="39.6" x14ac:dyDescent="0.25">
      <c r="A412" s="110" t="str">
        <f ca="1">OFFSET(PO!J$12,ROW(A412)-ROW($A$12),0)</f>
        <v>Serviço</v>
      </c>
      <c r="B412" s="112" t="str">
        <f ca="1">IF($A412=0,"",OFFSET(PO!K$12,ROW(B412)-ROW(B$12),0))</f>
        <v>17.4.0.4.</v>
      </c>
      <c r="C412" s="109" t="str">
        <f ca="1">IF(OFFSET(PO!N$12,ROW(C412)-ROW(C$12),0)=0,"",OFFSET(PO!N$12,ROW(C412)-ROW(C$12),0))</f>
        <v>NIPLE, EM FERRO GALVANIZADO, CONEXÃO ROSQUEADA, DN 65 (2 1/2"), INSTALADO EM REDE DE ALIMENTAÇÃO PARA SPRINKLER - FORNECIMENTO E INSTALAÇÃO. AF_10/2020</v>
      </c>
      <c r="D412" s="111" t="str">
        <f ca="1">IF(OFFSET(PO!O$12,ROW(D412)-ROW(D$12),0)=0,"",OFFSET(PO!O$12,ROW(D412)-ROW(D$12),0))</f>
        <v>UN</v>
      </c>
      <c r="E412" s="140">
        <f ca="1">IF($A412&lt;&gt;"Serviço",0,ROUND(SUMIF($F$9:$P$9,"&lt;&gt;",$F412:$P412),15-13*PO!$X$3))</f>
        <v>2</v>
      </c>
      <c r="F412" s="361">
        <f ca="1">OFFSET(PO!$P$12,ROW($E412)-ROW(F$12),0)</f>
        <v>2</v>
      </c>
      <c r="G412" s="361"/>
      <c r="H412" s="361"/>
      <c r="I412" s="361"/>
      <c r="J412" s="361"/>
      <c r="K412" s="361"/>
      <c r="L412" s="361"/>
      <c r="M412" s="361"/>
      <c r="N412" s="361"/>
      <c r="O412" s="361"/>
      <c r="U412" s="182"/>
    </row>
    <row r="413" spans="1:21" s="1" customFormat="1" ht="39.6" x14ac:dyDescent="0.25">
      <c r="A413" s="110" t="str">
        <f ca="1">OFFSET(PO!J$12,ROW(A413)-ROW($A$12),0)</f>
        <v>Serviço</v>
      </c>
      <c r="B413" s="112" t="str">
        <f ca="1">IF($A413=0,"",OFFSET(PO!K$12,ROW(B413)-ROW(B$12),0))</f>
        <v>17.4.0.5.</v>
      </c>
      <c r="C413" s="109" t="str">
        <f ca="1">IF(OFFSET(PO!N$12,ROW(C413)-ROW(C$12),0)=0,"",OFFSET(PO!N$12,ROW(C413)-ROW(C$12),0))</f>
        <v>TÊ, EM FERRO GALVANIZADO, CONEXÃO ROSQUEADA, DN 65 (2 1/2"), INSTALADO EM REDE DE ALIMENTAÇÃO PARA HIDRANTE - FORNECIMENTO E INSTALAÇÃO. AF_10/2020</v>
      </c>
      <c r="D413" s="111" t="str">
        <f ca="1">IF(OFFSET(PO!O$12,ROW(D413)-ROW(D$12),0)=0,"",OFFSET(PO!O$12,ROW(D413)-ROW(D$12),0))</f>
        <v>UN</v>
      </c>
      <c r="E413" s="140">
        <f ca="1">IF($A413&lt;&gt;"Serviço",0,ROUND(SUMIF($F$9:$P$9,"&lt;&gt;",$F413:$P413),15-13*PO!$X$3))</f>
        <v>4</v>
      </c>
      <c r="F413" s="361">
        <f ca="1">OFFSET(PO!$P$12,ROW($E413)-ROW(F$12),0)</f>
        <v>4</v>
      </c>
      <c r="G413" s="361"/>
      <c r="H413" s="361"/>
      <c r="I413" s="361"/>
      <c r="J413" s="361"/>
      <c r="K413" s="361"/>
      <c r="L413" s="361"/>
      <c r="M413" s="361"/>
      <c r="N413" s="361"/>
      <c r="O413" s="361"/>
      <c r="U413" s="182"/>
    </row>
    <row r="414" spans="1:21" s="1" customFormat="1" x14ac:dyDescent="0.25">
      <c r="A414" s="110" t="str">
        <f ca="1">OFFSET(PO!J$12,ROW(A414)-ROW($A$12),0)</f>
        <v>Nível 2</v>
      </c>
      <c r="B414" s="112" t="str">
        <f ca="1">IF($A414=0,"",OFFSET(PO!K$12,ROW(B414)-ROW(B$12),0))</f>
        <v>17.5.</v>
      </c>
      <c r="C414" s="109" t="str">
        <f ca="1">IF(OFFSET(PO!N$12,ROW(C414)-ROW(C$12),0)=0,"",OFFSET(PO!N$12,ROW(C414)-ROW(C$12),0))</f>
        <v>SINALIZAÇÕES</v>
      </c>
      <c r="D414" s="111" t="str">
        <f ca="1">IF(OFFSET(PO!O$12,ROW(D414)-ROW(D$12),0)=0,"",OFFSET(PO!O$12,ROW(D414)-ROW(D$12),0))</f>
        <v/>
      </c>
      <c r="E414" s="140">
        <f ca="1">IF($A414&lt;&gt;"Serviço",0,ROUND(SUMIF($F$9:$P$9,"&lt;&gt;",$F414:$P414),15-13*PO!$X$3))</f>
        <v>0</v>
      </c>
      <c r="F414" s="361">
        <f ca="1">OFFSET(PO!$P$12,ROW($E414)-ROW(F$12),0)</f>
        <v>0</v>
      </c>
      <c r="G414" s="361"/>
      <c r="H414" s="361"/>
      <c r="I414" s="361"/>
      <c r="J414" s="361"/>
      <c r="K414" s="361"/>
      <c r="L414" s="361"/>
      <c r="M414" s="361"/>
      <c r="N414" s="361"/>
      <c r="O414" s="361"/>
      <c r="U414" s="182"/>
    </row>
    <row r="415" spans="1:21" s="1" customFormat="1" ht="26.4" x14ac:dyDescent="0.25">
      <c r="A415" s="110" t="str">
        <f ca="1">OFFSET(PO!J$12,ROW(A415)-ROW($A$12),0)</f>
        <v>Serviço</v>
      </c>
      <c r="B415" s="112" t="str">
        <f ca="1">IF($A415=0,"",OFFSET(PO!K$12,ROW(B415)-ROW(B$12),0))</f>
        <v>17.5.0.1.</v>
      </c>
      <c r="C415" s="109" t="str">
        <f ca="1">IF(OFFSET(PO!N$12,ROW(C415)-ROW(C$12),0)=0,"",OFFSET(PO!N$12,ROW(C415)-ROW(C$12),0))</f>
        <v>LUMINÁRIA DE EMERGÊNCIA, COM 30 LÂMPADAS LED DE 2 W, SEM REATOR - FORNECIMENTO E INSTALAÇÃO. AF_09/2024</v>
      </c>
      <c r="D415" s="111" t="str">
        <f ca="1">IF(OFFSET(PO!O$12,ROW(D415)-ROW(D$12),0)=0,"",OFFSET(PO!O$12,ROW(D415)-ROW(D$12),0))</f>
        <v>UN</v>
      </c>
      <c r="E415" s="140">
        <f ca="1">IF($A415&lt;&gt;"Serviço",0,ROUND(SUMIF($F$9:$P$9,"&lt;&gt;",$F415:$P415),15-13*PO!$X$3))</f>
        <v>36</v>
      </c>
      <c r="F415" s="361">
        <f ca="1">OFFSET(PO!$P$12,ROW($E415)-ROW(F$12),0)</f>
        <v>36</v>
      </c>
      <c r="G415" s="361"/>
      <c r="H415" s="361"/>
      <c r="I415" s="361"/>
      <c r="J415" s="361"/>
      <c r="K415" s="361"/>
      <c r="L415" s="361"/>
      <c r="M415" s="361"/>
      <c r="N415" s="361"/>
      <c r="O415" s="361"/>
      <c r="U415" s="182"/>
    </row>
    <row r="416" spans="1:21" s="1" customFormat="1" ht="26.4" x14ac:dyDescent="0.25">
      <c r="A416" s="110" t="str">
        <f ca="1">OFFSET(PO!J$12,ROW(A416)-ROW($A$12),0)</f>
        <v>Serviço</v>
      </c>
      <c r="B416" s="112" t="str">
        <f ca="1">IF($A416=0,"",OFFSET(PO!K$12,ROW(B416)-ROW(B$12),0))</f>
        <v>17.5.0.2.</v>
      </c>
      <c r="C416" s="109" t="str">
        <f ca="1">IF(OFFSET(PO!N$12,ROW(C416)-ROW(C$12),0)=0,"",OFFSET(PO!N$12,ROW(C416)-ROW(C$12),0))</f>
        <v>SINALIZAÇÃO COM PLACA INDICATIVA FIXADA NA ESTRUTURA. (UN)</v>
      </c>
      <c r="D416" s="111" t="str">
        <f ca="1">IF(OFFSET(PO!O$12,ROW(D416)-ROW(D$12),0)=0,"",OFFSET(PO!O$12,ROW(D416)-ROW(D$12),0))</f>
        <v>U N</v>
      </c>
      <c r="E416" s="140">
        <f ca="1">IF($A416&lt;&gt;"Serviço",0,ROUND(SUMIF($F$9:$P$9,"&lt;&gt;",$F416:$P416),15-13*PO!$X$3))</f>
        <v>34</v>
      </c>
      <c r="F416" s="361">
        <f ca="1">OFFSET(PO!$P$12,ROW($E416)-ROW(F$12),0)</f>
        <v>34</v>
      </c>
      <c r="G416" s="361"/>
      <c r="H416" s="361"/>
      <c r="I416" s="361"/>
      <c r="J416" s="361"/>
      <c r="K416" s="361"/>
      <c r="L416" s="361"/>
      <c r="M416" s="361"/>
      <c r="N416" s="361"/>
      <c r="O416" s="361"/>
      <c r="U416" s="182"/>
    </row>
    <row r="417" spans="1:21" s="1" customFormat="1" ht="26.4" x14ac:dyDescent="0.25">
      <c r="A417" s="110" t="str">
        <f ca="1">OFFSET(PO!J$12,ROW(A417)-ROW($A$12),0)</f>
        <v>Serviço</v>
      </c>
      <c r="B417" s="112" t="str">
        <f ca="1">IF($A417=0,"",OFFSET(PO!K$12,ROW(B417)-ROW(B$12),0))</f>
        <v>17.5.0.3.</v>
      </c>
      <c r="C417" s="109" t="str">
        <f ca="1">IF(OFFSET(PO!N$12,ROW(C417)-ROW(C$12),0)=0,"",OFFSET(PO!N$12,ROW(C417)-ROW(C$12),0))</f>
        <v>PINTURA DE SINALIZAÇÃO VERTICAL DE SEGURANÇA, FAIXAS AMARELA E PRETA, APLICAÇÃO MANUAL, 2 DEMÃOS. AF_05/2021</v>
      </c>
      <c r="D417" s="111" t="str">
        <f ca="1">IF(OFFSET(PO!O$12,ROW(D417)-ROW(D$12),0)=0,"",OFFSET(PO!O$12,ROW(D417)-ROW(D$12),0))</f>
        <v>M2</v>
      </c>
      <c r="E417" s="140">
        <f ca="1">IF($A417&lt;&gt;"Serviço",0,ROUND(SUMIF($F$9:$P$9,"&lt;&gt;",$F417:$P417),15-13*PO!$X$3))</f>
        <v>5</v>
      </c>
      <c r="F417" s="361">
        <f ca="1">OFFSET(PO!$P$12,ROW($E417)-ROW(F$12),0)</f>
        <v>5</v>
      </c>
      <c r="G417" s="361"/>
      <c r="H417" s="361"/>
      <c r="I417" s="361"/>
      <c r="J417" s="361"/>
      <c r="K417" s="361"/>
      <c r="L417" s="361"/>
      <c r="M417" s="361"/>
      <c r="N417" s="361"/>
      <c r="O417" s="361"/>
      <c r="U417" s="182"/>
    </row>
    <row r="418" spans="1:21" s="1" customFormat="1" x14ac:dyDescent="0.25">
      <c r="A418" s="110" t="str">
        <f ca="1">OFFSET(PO!J$12,ROW(A418)-ROW($A$12),0)</f>
        <v>Meta</v>
      </c>
      <c r="B418" s="112" t="str">
        <f ca="1">IF($A418=0,"",OFFSET(PO!K$12,ROW(B418)-ROW(B$12),0))</f>
        <v>18.</v>
      </c>
      <c r="C418" s="109" t="str">
        <f ca="1">IF(OFFSET(PO!N$12,ROW(C418)-ROW(C$12),0)=0,"",OFFSET(PO!N$12,ROW(C418)-ROW(C$12),0))</f>
        <v>INSTALAÇÕES ELÉTRICAS</v>
      </c>
      <c r="D418" s="111" t="str">
        <f ca="1">IF(OFFSET(PO!O$12,ROW(D418)-ROW(D$12),0)=0,"",OFFSET(PO!O$12,ROW(D418)-ROW(D$12),0))</f>
        <v/>
      </c>
      <c r="E418" s="140">
        <f ca="1">IF($A418&lt;&gt;"Serviço",0,ROUND(SUMIF($F$9:$P$9,"&lt;&gt;",$F418:$P418),15-13*PO!$X$3))</f>
        <v>0</v>
      </c>
      <c r="F418" s="361">
        <f ca="1">OFFSET(PO!$P$12,ROW($E418)-ROW(F$12),0)</f>
        <v>0</v>
      </c>
      <c r="G418" s="361"/>
      <c r="H418" s="361"/>
      <c r="I418" s="361"/>
      <c r="J418" s="361"/>
      <c r="K418" s="361"/>
      <c r="L418" s="361"/>
      <c r="M418" s="361"/>
      <c r="N418" s="361"/>
      <c r="O418" s="361"/>
      <c r="U418" s="182"/>
    </row>
    <row r="419" spans="1:21" s="1" customFormat="1" x14ac:dyDescent="0.25">
      <c r="A419" s="110" t="str">
        <f ca="1">OFFSET(PO!J$12,ROW(A419)-ROW($A$12),0)</f>
        <v>Nível 2</v>
      </c>
      <c r="B419" s="112" t="str">
        <f ca="1">IF($A419=0,"",OFFSET(PO!K$12,ROW(B419)-ROW(B$12),0))</f>
        <v>18.1.</v>
      </c>
      <c r="C419" s="109" t="str">
        <f ca="1">IF(OFFSET(PO!N$12,ROW(C419)-ROW(C$12),0)=0,"",OFFSET(PO!N$12,ROW(C419)-ROW(C$12),0))</f>
        <v>QUADROS</v>
      </c>
      <c r="D419" s="111" t="str">
        <f ca="1">IF(OFFSET(PO!O$12,ROW(D419)-ROW(D$12),0)=0,"",OFFSET(PO!O$12,ROW(D419)-ROW(D$12),0))</f>
        <v/>
      </c>
      <c r="E419" s="140">
        <f ca="1">IF($A419&lt;&gt;"Serviço",0,ROUND(SUMIF($F$9:$P$9,"&lt;&gt;",$F419:$P419),15-13*PO!$X$3))</f>
        <v>0</v>
      </c>
      <c r="F419" s="361">
        <f ca="1">OFFSET(PO!$P$12,ROW($E419)-ROW(F$12),0)</f>
        <v>0</v>
      </c>
      <c r="G419" s="361"/>
      <c r="H419" s="361"/>
      <c r="I419" s="361"/>
      <c r="J419" s="361"/>
      <c r="K419" s="361"/>
      <c r="L419" s="361"/>
      <c r="M419" s="361"/>
      <c r="N419" s="361"/>
      <c r="O419" s="361"/>
      <c r="U419" s="182"/>
    </row>
    <row r="420" spans="1:21" s="1" customFormat="1" ht="52.8" x14ac:dyDescent="0.25">
      <c r="A420" s="110" t="str">
        <f ca="1">OFFSET(PO!J$12,ROW(A420)-ROW($A$12),0)</f>
        <v>Serviço</v>
      </c>
      <c r="B420" s="112" t="str">
        <f ca="1">IF($A420=0,"",OFFSET(PO!K$12,ROW(B420)-ROW(B$12),0))</f>
        <v>18.1.0.1.</v>
      </c>
      <c r="C420" s="109" t="str">
        <f ca="1">IF(OFFSET(PO!N$12,ROW(C420)-ROW(C$12),0)=0,"",OFFSET(PO!N$12,ROW(C420)-ROW(C$12),0))</f>
        <v>QUADRO DE DISTRIBUIÇÃO DE ENERGIA EM CHAPA DE AÇO GALVANIZADO, DE EMBUTIR, COM BARRAMENTO TRIFÁSICO, PARA 12 DISJUNTORES DIN 100A - FORNECIMENTO E INSTALAÇÃO. AF_10/2020</v>
      </c>
      <c r="D420" s="111" t="str">
        <f ca="1">IF(OFFSET(PO!O$12,ROW(D420)-ROW(D$12),0)=0,"",OFFSET(PO!O$12,ROW(D420)-ROW(D$12),0))</f>
        <v>UN</v>
      </c>
      <c r="E420" s="140">
        <f ca="1">IF($A420&lt;&gt;"Serviço",0,ROUND(SUMIF($F$9:$P$9,"&lt;&gt;",$F420:$P420),15-13*PO!$X$3))</f>
        <v>1</v>
      </c>
      <c r="F420" s="361">
        <f ca="1">OFFSET(PO!$P$12,ROW($E420)-ROW(F$12),0)</f>
        <v>1</v>
      </c>
      <c r="G420" s="361"/>
      <c r="H420" s="361"/>
      <c r="I420" s="361"/>
      <c r="J420" s="361"/>
      <c r="K420" s="361"/>
      <c r="L420" s="361"/>
      <c r="M420" s="361"/>
      <c r="N420" s="361"/>
      <c r="O420" s="361"/>
      <c r="U420" s="182"/>
    </row>
    <row r="421" spans="1:21" s="1" customFormat="1" ht="52.8" x14ac:dyDescent="0.25">
      <c r="A421" s="110" t="str">
        <f ca="1">OFFSET(PO!J$12,ROW(A421)-ROW($A$12),0)</f>
        <v>Serviço</v>
      </c>
      <c r="B421" s="112" t="str">
        <f ca="1">IF($A421=0,"",OFFSET(PO!K$12,ROW(B421)-ROW(B$12),0))</f>
        <v>18.1.0.2.</v>
      </c>
      <c r="C421" s="109" t="str">
        <f ca="1">IF(OFFSET(PO!N$12,ROW(C421)-ROW(C$12),0)=0,"",OFFSET(PO!N$12,ROW(C421)-ROW(C$12),0))</f>
        <v>QUADRO DE DISTRIBUIÇÃO DE ENERGIA EM CHAPA DE AÇO GALVANIZADO, DE EMBUTIR, COM BARRAMENTO TRIFÁSICO, PARA 18 DISJUNTORES DIN 100A - FORNECIMENTO E INSTALAÇÃO. AF_10/2020</v>
      </c>
      <c r="D421" s="111" t="str">
        <f ca="1">IF(OFFSET(PO!O$12,ROW(D421)-ROW(D$12),0)=0,"",OFFSET(PO!O$12,ROW(D421)-ROW(D$12),0))</f>
        <v>UN</v>
      </c>
      <c r="E421" s="140">
        <f ca="1">IF($A421&lt;&gt;"Serviço",0,ROUND(SUMIF($F$9:$P$9,"&lt;&gt;",$F421:$P421),15-13*PO!$X$3))</f>
        <v>2</v>
      </c>
      <c r="F421" s="361">
        <f ca="1">OFFSET(PO!$P$12,ROW($E421)-ROW(F$12),0)</f>
        <v>2</v>
      </c>
      <c r="G421" s="361"/>
      <c r="H421" s="361"/>
      <c r="I421" s="361"/>
      <c r="J421" s="361"/>
      <c r="K421" s="361"/>
      <c r="L421" s="361"/>
      <c r="M421" s="361"/>
      <c r="N421" s="361"/>
      <c r="O421" s="361"/>
      <c r="U421" s="182"/>
    </row>
    <row r="422" spans="1:21" s="1" customFormat="1" ht="52.8" x14ac:dyDescent="0.25">
      <c r="A422" s="110" t="str">
        <f ca="1">OFFSET(PO!J$12,ROW(A422)-ROW($A$12),0)</f>
        <v>Serviço</v>
      </c>
      <c r="B422" s="112" t="str">
        <f ca="1">IF($A422=0,"",OFFSET(PO!K$12,ROW(B422)-ROW(B$12),0))</f>
        <v>18.1.0.3.</v>
      </c>
      <c r="C422" s="109" t="str">
        <f ca="1">IF(OFFSET(PO!N$12,ROW(C422)-ROW(C$12),0)=0,"",OFFSET(PO!N$12,ROW(C422)-ROW(C$12),0))</f>
        <v>QUADRO DE DISTRIBUIÇÃO DE ENERGIA EM CHAPA DE AÇO GALVANIZADO, DE EMBUTIR, COM BARRAMENTO TRIFÁSICO, PARA 24 DISJUNTORES DIN 100A - FORNECIMENTO E INSTALAÇÃO. AF_10/2020</v>
      </c>
      <c r="D422" s="111" t="str">
        <f ca="1">IF(OFFSET(PO!O$12,ROW(D422)-ROW(D$12),0)=0,"",OFFSET(PO!O$12,ROW(D422)-ROW(D$12),0))</f>
        <v>UN</v>
      </c>
      <c r="E422" s="140">
        <f ca="1">IF($A422&lt;&gt;"Serviço",0,ROUND(SUMIF($F$9:$P$9,"&lt;&gt;",$F422:$P422),15-13*PO!$X$3))</f>
        <v>3</v>
      </c>
      <c r="F422" s="361">
        <f ca="1">OFFSET(PO!$P$12,ROW($E422)-ROW(F$12),0)</f>
        <v>3</v>
      </c>
      <c r="G422" s="361"/>
      <c r="H422" s="361"/>
      <c r="I422" s="361"/>
      <c r="J422" s="361"/>
      <c r="K422" s="361"/>
      <c r="L422" s="361"/>
      <c r="M422" s="361"/>
      <c r="N422" s="361"/>
      <c r="O422" s="361"/>
      <c r="U422" s="182"/>
    </row>
    <row r="423" spans="1:21" s="1" customFormat="1" ht="26.4" x14ac:dyDescent="0.25">
      <c r="A423" s="110" t="str">
        <f ca="1">OFFSET(PO!J$12,ROW(A423)-ROW($A$12),0)</f>
        <v>Serviço</v>
      </c>
      <c r="B423" s="112" t="str">
        <f ca="1">IF($A423=0,"",OFFSET(PO!K$12,ROW(B423)-ROW(B$12),0))</f>
        <v>18.1.0.4.</v>
      </c>
      <c r="C423" s="109" t="str">
        <f ca="1">IF(OFFSET(PO!N$12,ROW(C423)-ROW(C$12),0)=0,"",OFFSET(PO!N$12,ROW(C423)-ROW(C$12),0))</f>
        <v>QUADRO DE MEDIÇÃO GERAL DE ENERGIA PARA 1 MEDIDOR DE SOBREPOR - FORNECIMENTO E INSTALAÇÃO. AF_10/2020</v>
      </c>
      <c r="D423" s="111" t="str">
        <f ca="1">IF(OFFSET(PO!O$12,ROW(D423)-ROW(D$12),0)=0,"",OFFSET(PO!O$12,ROW(D423)-ROW(D$12),0))</f>
        <v>UN</v>
      </c>
      <c r="E423" s="140">
        <f ca="1">IF($A423&lt;&gt;"Serviço",0,ROUND(SUMIF($F$9:$P$9,"&lt;&gt;",$F423:$P423),15-13*PO!$X$3))</f>
        <v>1</v>
      </c>
      <c r="F423" s="361">
        <f ca="1">OFFSET(PO!$P$12,ROW($E423)-ROW(F$12),0)</f>
        <v>1</v>
      </c>
      <c r="G423" s="361"/>
      <c r="H423" s="361"/>
      <c r="I423" s="361"/>
      <c r="J423" s="361"/>
      <c r="K423" s="361"/>
      <c r="L423" s="361"/>
      <c r="M423" s="361"/>
      <c r="N423" s="361"/>
      <c r="O423" s="361"/>
      <c r="U423" s="182"/>
    </row>
    <row r="424" spans="1:21" s="1" customFormat="1" x14ac:dyDescent="0.25">
      <c r="A424" s="110" t="str">
        <f ca="1">OFFSET(PO!J$12,ROW(A424)-ROW($A$12),0)</f>
        <v>Nível 2</v>
      </c>
      <c r="B424" s="112" t="str">
        <f ca="1">IF($A424=0,"",OFFSET(PO!K$12,ROW(B424)-ROW(B$12),0))</f>
        <v>18.2.</v>
      </c>
      <c r="C424" s="109" t="str">
        <f ca="1">IF(OFFSET(PO!N$12,ROW(C424)-ROW(C$12),0)=0,"",OFFSET(PO!N$12,ROW(C424)-ROW(C$12),0))</f>
        <v>DISJUNTORES</v>
      </c>
      <c r="D424" s="111" t="str">
        <f ca="1">IF(OFFSET(PO!O$12,ROW(D424)-ROW(D$12),0)=0,"",OFFSET(PO!O$12,ROW(D424)-ROW(D$12),0))</f>
        <v/>
      </c>
      <c r="E424" s="140">
        <f ca="1">IF($A424&lt;&gt;"Serviço",0,ROUND(SUMIF($F$9:$P$9,"&lt;&gt;",$F424:$P424),15-13*PO!$X$3))</f>
        <v>0</v>
      </c>
      <c r="F424" s="361">
        <f ca="1">OFFSET(PO!$P$12,ROW($E424)-ROW(F$12),0)</f>
        <v>0</v>
      </c>
      <c r="G424" s="361"/>
      <c r="H424" s="361"/>
      <c r="I424" s="361"/>
      <c r="J424" s="361"/>
      <c r="K424" s="361"/>
      <c r="L424" s="361"/>
      <c r="M424" s="361"/>
      <c r="N424" s="361"/>
      <c r="O424" s="361"/>
      <c r="U424" s="182"/>
    </row>
    <row r="425" spans="1:21" s="1" customFormat="1" ht="26.4" x14ac:dyDescent="0.25">
      <c r="A425" s="110" t="str">
        <f ca="1">OFFSET(PO!J$12,ROW(A425)-ROW($A$12),0)</f>
        <v>Serviço</v>
      </c>
      <c r="B425" s="112" t="str">
        <f ca="1">IF($A425=0,"",OFFSET(PO!K$12,ROW(B425)-ROW(B$12),0))</f>
        <v>18.2.0.1.</v>
      </c>
      <c r="C425" s="109" t="str">
        <f ca="1">IF(OFFSET(PO!N$12,ROW(C425)-ROW(C$12),0)=0,"",OFFSET(PO!N$12,ROW(C425)-ROW(C$12),0))</f>
        <v>DISJUNTOR MONOPOLAR TIPO DIN, CORRENTE NOMINAL DE 10A - FORNECIMENTO E INSTALAÇÃO. AF_10/2020</v>
      </c>
      <c r="D425" s="111" t="str">
        <f ca="1">IF(OFFSET(PO!O$12,ROW(D425)-ROW(D$12),0)=0,"",OFFSET(PO!O$12,ROW(D425)-ROW(D$12),0))</f>
        <v>UN</v>
      </c>
      <c r="E425" s="140">
        <f ca="1">IF($A425&lt;&gt;"Serviço",0,ROUND(SUMIF($F$9:$P$9,"&lt;&gt;",$F425:$P425),15-13*PO!$X$3))</f>
        <v>66</v>
      </c>
      <c r="F425" s="361">
        <f ca="1">OFFSET(PO!$P$12,ROW($E425)-ROW(F$12),0)</f>
        <v>66</v>
      </c>
      <c r="G425" s="361"/>
      <c r="H425" s="361"/>
      <c r="I425" s="361"/>
      <c r="J425" s="361"/>
      <c r="K425" s="361"/>
      <c r="L425" s="361"/>
      <c r="M425" s="361"/>
      <c r="N425" s="361"/>
      <c r="O425" s="361"/>
      <c r="U425" s="182"/>
    </row>
    <row r="426" spans="1:21" s="1" customFormat="1" ht="26.4" x14ac:dyDescent="0.25">
      <c r="A426" s="110" t="str">
        <f ca="1">OFFSET(PO!J$12,ROW(A426)-ROW($A$12),0)</f>
        <v>Serviço</v>
      </c>
      <c r="B426" s="112" t="str">
        <f ca="1">IF($A426=0,"",OFFSET(PO!K$12,ROW(B426)-ROW(B$12),0))</f>
        <v>18.2.0.2.</v>
      </c>
      <c r="C426" s="109" t="str">
        <f ca="1">IF(OFFSET(PO!N$12,ROW(C426)-ROW(C$12),0)=0,"",OFFSET(PO!N$12,ROW(C426)-ROW(C$12),0))</f>
        <v>DISJUNTOR MONOPOLAR TIPO DIN, CORRENTE NOMINAL DE 16A - FORNECIMENTO E INSTALAÇÃO. AF_10/2020</v>
      </c>
      <c r="D426" s="111" t="str">
        <f ca="1">IF(OFFSET(PO!O$12,ROW(D426)-ROW(D$12),0)=0,"",OFFSET(PO!O$12,ROW(D426)-ROW(D$12),0))</f>
        <v>UN</v>
      </c>
      <c r="E426" s="140">
        <f ca="1">IF($A426&lt;&gt;"Serviço",0,ROUND(SUMIF($F$9:$P$9,"&lt;&gt;",$F426:$P426),15-13*PO!$X$3))</f>
        <v>5</v>
      </c>
      <c r="F426" s="361">
        <f ca="1">OFFSET(PO!$P$12,ROW($E426)-ROW(F$12),0)</f>
        <v>5</v>
      </c>
      <c r="G426" s="361"/>
      <c r="H426" s="361"/>
      <c r="I426" s="361"/>
      <c r="J426" s="361"/>
      <c r="K426" s="361"/>
      <c r="L426" s="361"/>
      <c r="M426" s="361"/>
      <c r="N426" s="361"/>
      <c r="O426" s="361"/>
      <c r="U426" s="182"/>
    </row>
    <row r="427" spans="1:21" s="1" customFormat="1" ht="26.4" x14ac:dyDescent="0.25">
      <c r="A427" s="110" t="str">
        <f ca="1">OFFSET(PO!J$12,ROW(A427)-ROW($A$12),0)</f>
        <v>Serviço</v>
      </c>
      <c r="B427" s="112" t="str">
        <f ca="1">IF($A427=0,"",OFFSET(PO!K$12,ROW(B427)-ROW(B$12),0))</f>
        <v>18.2.0.3.</v>
      </c>
      <c r="C427" s="109" t="str">
        <f ca="1">IF(OFFSET(PO!N$12,ROW(C427)-ROW(C$12),0)=0,"",OFFSET(PO!N$12,ROW(C427)-ROW(C$12),0))</f>
        <v>DISJUNTOR MONOPOLAR TIPO DIN, CORRENTE NOMINAL DE 20A - FORNECIMENTO E INSTALAÇÃO. AF_10/2020</v>
      </c>
      <c r="D427" s="111" t="str">
        <f ca="1">IF(OFFSET(PO!O$12,ROW(D427)-ROW(D$12),0)=0,"",OFFSET(PO!O$12,ROW(D427)-ROW(D$12),0))</f>
        <v>UN</v>
      </c>
      <c r="E427" s="140">
        <f ca="1">IF($A427&lt;&gt;"Serviço",0,ROUND(SUMIF($F$9:$P$9,"&lt;&gt;",$F427:$P427),15-13*PO!$X$3))</f>
        <v>16</v>
      </c>
      <c r="F427" s="361">
        <f ca="1">OFFSET(PO!$P$12,ROW($E427)-ROW(F$12),0)</f>
        <v>16</v>
      </c>
      <c r="G427" s="361"/>
      <c r="H427" s="361"/>
      <c r="I427" s="361"/>
      <c r="J427" s="361"/>
      <c r="K427" s="361"/>
      <c r="L427" s="361"/>
      <c r="M427" s="361"/>
      <c r="N427" s="361"/>
      <c r="O427" s="361"/>
      <c r="U427" s="182"/>
    </row>
    <row r="428" spans="1:21" s="1" customFormat="1" ht="26.4" x14ac:dyDescent="0.25">
      <c r="A428" s="110" t="str">
        <f ca="1">OFFSET(PO!J$12,ROW(A428)-ROW($A$12),0)</f>
        <v>Serviço</v>
      </c>
      <c r="B428" s="112" t="str">
        <f ca="1">IF($A428=0,"",OFFSET(PO!K$12,ROW(B428)-ROW(B$12),0))</f>
        <v>18.2.0.4.</v>
      </c>
      <c r="C428" s="109" t="str">
        <f ca="1">IF(OFFSET(PO!N$12,ROW(C428)-ROW(C$12),0)=0,"",OFFSET(PO!N$12,ROW(C428)-ROW(C$12),0))</f>
        <v>DISJUNTOR MONOPOLAR TIPO DIN, CORRENTE NOMINAL DE 25A - FORNECIMENTO E INSTALAÇÃO. AF_10/2020</v>
      </c>
      <c r="D428" s="111" t="str">
        <f ca="1">IF(OFFSET(PO!O$12,ROW(D428)-ROW(D$12),0)=0,"",OFFSET(PO!O$12,ROW(D428)-ROW(D$12),0))</f>
        <v>UN</v>
      </c>
      <c r="E428" s="140">
        <f ca="1">IF($A428&lt;&gt;"Serviço",0,ROUND(SUMIF($F$9:$P$9,"&lt;&gt;",$F428:$P428),15-13*PO!$X$3))</f>
        <v>4</v>
      </c>
      <c r="F428" s="361">
        <f ca="1">OFFSET(PO!$P$12,ROW($E428)-ROW(F$12),0)</f>
        <v>4</v>
      </c>
      <c r="G428" s="361"/>
      <c r="H428" s="361"/>
      <c r="I428" s="361"/>
      <c r="J428" s="361"/>
      <c r="K428" s="361"/>
      <c r="L428" s="361"/>
      <c r="M428" s="361"/>
      <c r="N428" s="361"/>
      <c r="O428" s="361"/>
      <c r="U428" s="182"/>
    </row>
    <row r="429" spans="1:21" s="1" customFormat="1" ht="26.4" x14ac:dyDescent="0.25">
      <c r="A429" s="110" t="str">
        <f ca="1">OFFSET(PO!J$12,ROW(A429)-ROW($A$12),0)</f>
        <v>Serviço</v>
      </c>
      <c r="B429" s="112" t="str">
        <f ca="1">IF($A429=0,"",OFFSET(PO!K$12,ROW(B429)-ROW(B$12),0))</f>
        <v>18.2.0.5.</v>
      </c>
      <c r="C429" s="109" t="str">
        <f ca="1">IF(OFFSET(PO!N$12,ROW(C429)-ROW(C$12),0)=0,"",OFFSET(PO!N$12,ROW(C429)-ROW(C$12),0))</f>
        <v>DISJUNTOR MONOPOLAR TIPO DIN, CORRENTE NOMINAL DE 40A - FORNECIMENTO E INSTALAÇÃO. AF_10/2020</v>
      </c>
      <c r="D429" s="111" t="str">
        <f ca="1">IF(OFFSET(PO!O$12,ROW(D429)-ROW(D$12),0)=0,"",OFFSET(PO!O$12,ROW(D429)-ROW(D$12),0))</f>
        <v>UN</v>
      </c>
      <c r="E429" s="140">
        <f ca="1">IF($A429&lt;&gt;"Serviço",0,ROUND(SUMIF($F$9:$P$9,"&lt;&gt;",$F429:$P429),15-13*PO!$X$3))</f>
        <v>1</v>
      </c>
      <c r="F429" s="361">
        <f ca="1">OFFSET(PO!$P$12,ROW($E429)-ROW(F$12),0)</f>
        <v>1</v>
      </c>
      <c r="G429" s="361"/>
      <c r="H429" s="361"/>
      <c r="I429" s="361"/>
      <c r="J429" s="361"/>
      <c r="K429" s="361"/>
      <c r="L429" s="361"/>
      <c r="M429" s="361"/>
      <c r="N429" s="361"/>
      <c r="O429" s="361"/>
      <c r="U429" s="182"/>
    </row>
    <row r="430" spans="1:21" s="1" customFormat="1" ht="26.4" x14ac:dyDescent="0.25">
      <c r="A430" s="110" t="str">
        <f ca="1">OFFSET(PO!J$12,ROW(A430)-ROW($A$12),0)</f>
        <v>Serviço</v>
      </c>
      <c r="B430" s="112" t="str">
        <f ca="1">IF($A430=0,"",OFFSET(PO!K$12,ROW(B430)-ROW(B$12),0))</f>
        <v>18.2.0.6.</v>
      </c>
      <c r="C430" s="109" t="str">
        <f ca="1">IF(OFFSET(PO!N$12,ROW(C430)-ROW(C$12),0)=0,"",OFFSET(PO!N$12,ROW(C430)-ROW(C$12),0))</f>
        <v>DISJUNTOR TRIPOLAR TIPO DIN, CORRENTE NOMINAL DE 16A - FORNECIMENTO E INSTALAÇÃO. AF_10/2020</v>
      </c>
      <c r="D430" s="111" t="str">
        <f ca="1">IF(OFFSET(PO!O$12,ROW(D430)-ROW(D$12),0)=0,"",OFFSET(PO!O$12,ROW(D430)-ROW(D$12),0))</f>
        <v>UN</v>
      </c>
      <c r="E430" s="140">
        <f ca="1">IF($A430&lt;&gt;"Serviço",0,ROUND(SUMIF($F$9:$P$9,"&lt;&gt;",$F430:$P430),15-13*PO!$X$3))</f>
        <v>2</v>
      </c>
      <c r="F430" s="361">
        <f ca="1">OFFSET(PO!$P$12,ROW($E430)-ROW(F$12),0)</f>
        <v>2</v>
      </c>
      <c r="G430" s="361"/>
      <c r="H430" s="361"/>
      <c r="I430" s="361"/>
      <c r="J430" s="361"/>
      <c r="K430" s="361"/>
      <c r="L430" s="361"/>
      <c r="M430" s="361"/>
      <c r="N430" s="361"/>
      <c r="O430" s="361"/>
      <c r="U430" s="182"/>
    </row>
    <row r="431" spans="1:21" s="1" customFormat="1" ht="26.4" x14ac:dyDescent="0.25">
      <c r="A431" s="110" t="str">
        <f ca="1">OFFSET(PO!J$12,ROW(A431)-ROW($A$12),0)</f>
        <v>Serviço</v>
      </c>
      <c r="B431" s="112" t="str">
        <f ca="1">IF($A431=0,"",OFFSET(PO!K$12,ROW(B431)-ROW(B$12),0))</f>
        <v>18.2.0.7.</v>
      </c>
      <c r="C431" s="109" t="str">
        <f ca="1">IF(OFFSET(PO!N$12,ROW(C431)-ROW(C$12),0)=0,"",OFFSET(PO!N$12,ROW(C431)-ROW(C$12),0))</f>
        <v>DISJUNTOR TRIPOLAR TIPO DIN, CORRENTE NOMINAL DE 32A - FORNECIMENTO E INSTALAÇÃO. AF_10/2020</v>
      </c>
      <c r="D431" s="111" t="str">
        <f ca="1">IF(OFFSET(PO!O$12,ROW(D431)-ROW(D$12),0)=0,"",OFFSET(PO!O$12,ROW(D431)-ROW(D$12),0))</f>
        <v>UN</v>
      </c>
      <c r="E431" s="140">
        <f ca="1">IF($A431&lt;&gt;"Serviço",0,ROUND(SUMIF($F$9:$P$9,"&lt;&gt;",$F431:$P431),15-13*PO!$X$3))</f>
        <v>4</v>
      </c>
      <c r="F431" s="361">
        <f ca="1">OFFSET(PO!$P$12,ROW($E431)-ROW(F$12),0)</f>
        <v>4</v>
      </c>
      <c r="G431" s="361"/>
      <c r="H431" s="361"/>
      <c r="I431" s="361"/>
      <c r="J431" s="361"/>
      <c r="K431" s="361"/>
      <c r="L431" s="361"/>
      <c r="M431" s="361"/>
      <c r="N431" s="361"/>
      <c r="O431" s="361"/>
      <c r="U431" s="182"/>
    </row>
    <row r="432" spans="1:21" s="1" customFormat="1" ht="26.4" x14ac:dyDescent="0.25">
      <c r="A432" s="110" t="str">
        <f ca="1">OFFSET(PO!J$12,ROW(A432)-ROW($A$12),0)</f>
        <v>Serviço</v>
      </c>
      <c r="B432" s="112" t="str">
        <f ca="1">IF($A432=0,"",OFFSET(PO!K$12,ROW(B432)-ROW(B$12),0))</f>
        <v>18.2.0.8.</v>
      </c>
      <c r="C432" s="109" t="str">
        <f ca="1">IF(OFFSET(PO!N$12,ROW(C432)-ROW(C$12),0)=0,"",OFFSET(PO!N$12,ROW(C432)-ROW(C$12),0))</f>
        <v>DISJUNTOR TRIPOLAR TIPO DIN, CORRENTE NOMINAL DE 40A - FORNECIMENTO E INSTALAÇÃO. AF_10/2020</v>
      </c>
      <c r="D432" s="111" t="str">
        <f ca="1">IF(OFFSET(PO!O$12,ROW(D432)-ROW(D$12),0)=0,"",OFFSET(PO!O$12,ROW(D432)-ROW(D$12),0))</f>
        <v>UN</v>
      </c>
      <c r="E432" s="140">
        <f ca="1">IF($A432&lt;&gt;"Serviço",0,ROUND(SUMIF($F$9:$P$9,"&lt;&gt;",$F432:$P432),15-13*PO!$X$3))</f>
        <v>2</v>
      </c>
      <c r="F432" s="361">
        <f ca="1">OFFSET(PO!$P$12,ROW($E432)-ROW(F$12),0)</f>
        <v>2</v>
      </c>
      <c r="G432" s="361"/>
      <c r="H432" s="361"/>
      <c r="I432" s="361"/>
      <c r="J432" s="361"/>
      <c r="K432" s="361"/>
      <c r="L432" s="361"/>
      <c r="M432" s="361"/>
      <c r="N432" s="361"/>
      <c r="O432" s="361"/>
      <c r="U432" s="182"/>
    </row>
    <row r="433" spans="1:21" s="1" customFormat="1" ht="26.4" x14ac:dyDescent="0.25">
      <c r="A433" s="110" t="str">
        <f ca="1">OFFSET(PO!J$12,ROW(A433)-ROW($A$12),0)</f>
        <v>Serviço</v>
      </c>
      <c r="B433" s="112" t="str">
        <f ca="1">IF($A433=0,"",OFFSET(PO!K$12,ROW(B433)-ROW(B$12),0))</f>
        <v>18.2.0.9.</v>
      </c>
      <c r="C433" s="109" t="str">
        <f ca="1">IF(OFFSET(PO!N$12,ROW(C433)-ROW(C$12),0)=0,"",OFFSET(PO!N$12,ROW(C433)-ROW(C$12),0))</f>
        <v>DISJUNTOR TRIPOLAR TIPO DIN, CORRENTE NOMINAL DE 50A - FORNECIMENTO E INSTALAÇÃO. AF_10/2020</v>
      </c>
      <c r="D433" s="111" t="str">
        <f ca="1">IF(OFFSET(PO!O$12,ROW(D433)-ROW(D$12),0)=0,"",OFFSET(PO!O$12,ROW(D433)-ROW(D$12),0))</f>
        <v>UN</v>
      </c>
      <c r="E433" s="140">
        <f ca="1">IF($A433&lt;&gt;"Serviço",0,ROUND(SUMIF($F$9:$P$9,"&lt;&gt;",$F433:$P433),15-13*PO!$X$3))</f>
        <v>2</v>
      </c>
      <c r="F433" s="361">
        <f ca="1">OFFSET(PO!$P$12,ROW($E433)-ROW(F$12),0)</f>
        <v>2</v>
      </c>
      <c r="G433" s="361"/>
      <c r="H433" s="361"/>
      <c r="I433" s="361"/>
      <c r="J433" s="361"/>
      <c r="K433" s="361"/>
      <c r="L433" s="361"/>
      <c r="M433" s="361"/>
      <c r="N433" s="361"/>
      <c r="O433" s="361"/>
      <c r="U433" s="182"/>
    </row>
    <row r="434" spans="1:21" s="1" customFormat="1" ht="26.4" x14ac:dyDescent="0.25">
      <c r="A434" s="110" t="str">
        <f ca="1">OFFSET(PO!J$12,ROW(A434)-ROW($A$12),0)</f>
        <v>Serviço</v>
      </c>
      <c r="B434" s="112" t="str">
        <f ca="1">IF($A434=0,"",OFFSET(PO!K$12,ROW(B434)-ROW(B$12),0))</f>
        <v>18.2.0.10.</v>
      </c>
      <c r="C434" s="109" t="str">
        <f ca="1">IF(OFFSET(PO!N$12,ROW(C434)-ROW(C$12),0)=0,"",OFFSET(PO!N$12,ROW(C434)-ROW(C$12),0))</f>
        <v>DISJUNTOR TRIPOLAR TIPO NEMA, CORRENTE NOMINAL DE 60 ATÉ 100A - FORNECIMENTO E INSTALAÇÃO. AF_10/2020</v>
      </c>
      <c r="D434" s="111" t="str">
        <f ca="1">IF(OFFSET(PO!O$12,ROW(D434)-ROW(D$12),0)=0,"",OFFSET(PO!O$12,ROW(D434)-ROW(D$12),0))</f>
        <v>UN</v>
      </c>
      <c r="E434" s="140">
        <f ca="1">IF($A434&lt;&gt;"Serviço",0,ROUND(SUMIF($F$9:$P$9,"&lt;&gt;",$F434:$P434),15-13*PO!$X$3))</f>
        <v>2</v>
      </c>
      <c r="F434" s="361">
        <f ca="1">OFFSET(PO!$P$12,ROW($E434)-ROW(F$12),0)</f>
        <v>2</v>
      </c>
      <c r="G434" s="361"/>
      <c r="H434" s="361"/>
      <c r="I434" s="361"/>
      <c r="J434" s="361"/>
      <c r="K434" s="361"/>
      <c r="L434" s="361"/>
      <c r="M434" s="361"/>
      <c r="N434" s="361"/>
      <c r="O434" s="361"/>
      <c r="U434" s="182"/>
    </row>
    <row r="435" spans="1:21" s="1" customFormat="1" ht="26.4" x14ac:dyDescent="0.25">
      <c r="A435" s="110" t="str">
        <f ca="1">OFFSET(PO!J$12,ROW(A435)-ROW($A$12),0)</f>
        <v>Serviço</v>
      </c>
      <c r="B435" s="112" t="str">
        <f ca="1">IF($A435=0,"",OFFSET(PO!K$12,ROW(B435)-ROW(B$12),0))</f>
        <v>18.2.0.11.</v>
      </c>
      <c r="C435" s="109" t="str">
        <f ca="1">IF(OFFSET(PO!N$12,ROW(C435)-ROW(C$12),0)=0,"",OFFSET(PO!N$12,ROW(C435)-ROW(C$12),0))</f>
        <v>DISJUNTOR TERMOMAGNÉTICO TRIPOLAR , CORRENTE NOMINAL DE 250A - FORNECIMENTO E INSTALAÇÃO. AF_10/2020</v>
      </c>
      <c r="D435" s="111" t="str">
        <f ca="1">IF(OFFSET(PO!O$12,ROW(D435)-ROW(D$12),0)=0,"",OFFSET(PO!O$12,ROW(D435)-ROW(D$12),0))</f>
        <v>UN</v>
      </c>
      <c r="E435" s="140">
        <f ca="1">IF($A435&lt;&gt;"Serviço",0,ROUND(SUMIF($F$9:$P$9,"&lt;&gt;",$F435:$P435),15-13*PO!$X$3))</f>
        <v>2</v>
      </c>
      <c r="F435" s="361">
        <f ca="1">OFFSET(PO!$P$12,ROW($E435)-ROW(F$12),0)</f>
        <v>2</v>
      </c>
      <c r="G435" s="361"/>
      <c r="H435" s="361"/>
      <c r="I435" s="361"/>
      <c r="J435" s="361"/>
      <c r="K435" s="361"/>
      <c r="L435" s="361"/>
      <c r="M435" s="361"/>
      <c r="N435" s="361"/>
      <c r="O435" s="361"/>
      <c r="U435" s="182"/>
    </row>
    <row r="436" spans="1:21" s="1" customFormat="1" ht="26.4" x14ac:dyDescent="0.25">
      <c r="A436" s="110" t="str">
        <f ca="1">OFFSET(PO!J$12,ROW(A436)-ROW($A$12),0)</f>
        <v>Serviço</v>
      </c>
      <c r="B436" s="112" t="str">
        <f ca="1">IF($A436=0,"",OFFSET(PO!K$12,ROW(B436)-ROW(B$12),0))</f>
        <v>18.2.0.12.</v>
      </c>
      <c r="C436" s="109" t="str">
        <f ca="1">IF(OFFSET(PO!N$12,ROW(C436)-ROW(C$12),0)=0,"",OFFSET(PO!N$12,ROW(C436)-ROW(C$12),0))</f>
        <v>DISJUNTOR BIPOLAR TIPO DR, CORRENTE NOMINAL DE 25A - 30mA</v>
      </c>
      <c r="D436" s="111" t="str">
        <f ca="1">IF(OFFSET(PO!O$12,ROW(D436)-ROW(D$12),0)=0,"",OFFSET(PO!O$12,ROW(D436)-ROW(D$12),0))</f>
        <v>UN</v>
      </c>
      <c r="E436" s="140">
        <f ca="1">IF($A436&lt;&gt;"Serviço",0,ROUND(SUMIF($F$9:$P$9,"&lt;&gt;",$F436:$P436),15-13*PO!$X$3))</f>
        <v>1</v>
      </c>
      <c r="F436" s="361">
        <f ca="1">OFFSET(PO!$P$12,ROW($E436)-ROW(F$12),0)</f>
        <v>1</v>
      </c>
      <c r="G436" s="361"/>
      <c r="H436" s="361"/>
      <c r="I436" s="361"/>
      <c r="J436" s="361"/>
      <c r="K436" s="361"/>
      <c r="L436" s="361"/>
      <c r="M436" s="361"/>
      <c r="N436" s="361"/>
      <c r="O436" s="361"/>
      <c r="U436" s="182"/>
    </row>
    <row r="437" spans="1:21" s="1" customFormat="1" ht="26.4" x14ac:dyDescent="0.25">
      <c r="A437" s="110" t="str">
        <f ca="1">OFFSET(PO!J$12,ROW(A437)-ROW($A$12),0)</f>
        <v>Serviço</v>
      </c>
      <c r="B437" s="112" t="str">
        <f ca="1">IF($A437=0,"",OFFSET(PO!K$12,ROW(B437)-ROW(B$12),0))</f>
        <v>18.2.0.13.</v>
      </c>
      <c r="C437" s="109" t="str">
        <f ca="1">IF(OFFSET(PO!N$12,ROW(C437)-ROW(C$12),0)=0,"",OFFSET(PO!N$12,ROW(C437)-ROW(C$12),0))</f>
        <v>DISJUNTOR BIPOLAR TIPO DR, CORRENTE NOMINAL DE 40A - 30mA</v>
      </c>
      <c r="D437" s="111" t="str">
        <f ca="1">IF(OFFSET(PO!O$12,ROW(D437)-ROW(D$12),0)=0,"",OFFSET(PO!O$12,ROW(D437)-ROW(D$12),0))</f>
        <v>UN</v>
      </c>
      <c r="E437" s="140">
        <f ca="1">IF($A437&lt;&gt;"Serviço",0,ROUND(SUMIF($F$9:$P$9,"&lt;&gt;",$F437:$P437),15-13*PO!$X$3))</f>
        <v>5</v>
      </c>
      <c r="F437" s="361">
        <f ca="1">OFFSET(PO!$P$12,ROW($E437)-ROW(F$12),0)</f>
        <v>5</v>
      </c>
      <c r="G437" s="361"/>
      <c r="H437" s="361"/>
      <c r="I437" s="361"/>
      <c r="J437" s="361"/>
      <c r="K437" s="361"/>
      <c r="L437" s="361"/>
      <c r="M437" s="361"/>
      <c r="N437" s="361"/>
      <c r="O437" s="361"/>
      <c r="U437" s="182"/>
    </row>
    <row r="438" spans="1:21" s="1" customFormat="1" x14ac:dyDescent="0.25">
      <c r="A438" s="110" t="str">
        <f ca="1">OFFSET(PO!J$12,ROW(A438)-ROW($A$12),0)</f>
        <v>Serviço</v>
      </c>
      <c r="B438" s="112" t="str">
        <f ca="1">IF($A438=0,"",OFFSET(PO!K$12,ROW(B438)-ROW(B$12),0))</f>
        <v>18.2.0.14.</v>
      </c>
      <c r="C438" s="109" t="str">
        <f ca="1">IF(OFFSET(PO!N$12,ROW(C438)-ROW(C$12),0)=0,"",OFFSET(PO!N$12,ROW(C438)-ROW(C$12),0))</f>
        <v>DISPOSITIVO CONTRA SURTO - DPS 40 kA</v>
      </c>
      <c r="D438" s="111" t="str">
        <f ca="1">IF(OFFSET(PO!O$12,ROW(D438)-ROW(D$12),0)=0,"",OFFSET(PO!O$12,ROW(D438)-ROW(D$12),0))</f>
        <v>UN</v>
      </c>
      <c r="E438" s="140">
        <f ca="1">IF($A438&lt;&gt;"Serviço",0,ROUND(SUMIF($F$9:$P$9,"&lt;&gt;",$F438:$P438),15-13*PO!$X$3))</f>
        <v>40</v>
      </c>
      <c r="F438" s="361">
        <f ca="1">OFFSET(PO!$P$12,ROW($E438)-ROW(F$12),0)</f>
        <v>40</v>
      </c>
      <c r="G438" s="361"/>
      <c r="H438" s="361"/>
      <c r="I438" s="361"/>
      <c r="J438" s="361"/>
      <c r="K438" s="361"/>
      <c r="L438" s="361"/>
      <c r="M438" s="361"/>
      <c r="N438" s="361"/>
      <c r="O438" s="361"/>
      <c r="U438" s="182"/>
    </row>
    <row r="439" spans="1:21" s="1" customFormat="1" x14ac:dyDescent="0.25">
      <c r="A439" s="110" t="str">
        <f ca="1">OFFSET(PO!J$12,ROW(A439)-ROW($A$12),0)</f>
        <v>Serviço</v>
      </c>
      <c r="B439" s="112" t="str">
        <f ca="1">IF($A439=0,"",OFFSET(PO!K$12,ROW(B439)-ROW(B$12),0))</f>
        <v>18.2.0.15.</v>
      </c>
      <c r="C439" s="109" t="str">
        <f ca="1">IF(OFFSET(PO!N$12,ROW(C439)-ROW(C$12),0)=0,"",OFFSET(PO!N$12,ROW(C439)-ROW(C$12),0))</f>
        <v>DISPOSITIVO CONTRA SURTO - DPS 80 kA</v>
      </c>
      <c r="D439" s="111" t="str">
        <f ca="1">IF(OFFSET(PO!O$12,ROW(D439)-ROW(D$12),0)=0,"",OFFSET(PO!O$12,ROW(D439)-ROW(D$12),0))</f>
        <v>UN</v>
      </c>
      <c r="E439" s="140">
        <f ca="1">IF($A439&lt;&gt;"Serviço",0,ROUND(SUMIF($F$9:$P$9,"&lt;&gt;",$F439:$P439),15-13*PO!$X$3))</f>
        <v>8</v>
      </c>
      <c r="F439" s="361">
        <f ca="1">OFFSET(PO!$P$12,ROW($E439)-ROW(F$12),0)</f>
        <v>8</v>
      </c>
      <c r="G439" s="361"/>
      <c r="H439" s="361"/>
      <c r="I439" s="361"/>
      <c r="J439" s="361"/>
      <c r="K439" s="361"/>
      <c r="L439" s="361"/>
      <c r="M439" s="361"/>
      <c r="N439" s="361"/>
      <c r="O439" s="361"/>
      <c r="U439" s="182"/>
    </row>
    <row r="440" spans="1:21" s="1" customFormat="1" x14ac:dyDescent="0.25">
      <c r="A440" s="110" t="str">
        <f ca="1">OFFSET(PO!J$12,ROW(A440)-ROW($A$12),0)</f>
        <v>Nível 2</v>
      </c>
      <c r="B440" s="112" t="str">
        <f ca="1">IF($A440=0,"",OFFSET(PO!K$12,ROW(B440)-ROW(B$12),0))</f>
        <v>18.3.</v>
      </c>
      <c r="C440" s="109" t="str">
        <f ca="1">IF(OFFSET(PO!N$12,ROW(C440)-ROW(C$12),0)=0,"",OFFSET(PO!N$12,ROW(C440)-ROW(C$12),0))</f>
        <v>ELETRODUTOS E ACESSÓRIOS</v>
      </c>
      <c r="D440" s="111" t="str">
        <f ca="1">IF(OFFSET(PO!O$12,ROW(D440)-ROW(D$12),0)=0,"",OFFSET(PO!O$12,ROW(D440)-ROW(D$12),0))</f>
        <v/>
      </c>
      <c r="E440" s="140">
        <f ca="1">IF($A440&lt;&gt;"Serviço",0,ROUND(SUMIF($F$9:$P$9,"&lt;&gt;",$F440:$P440),15-13*PO!$X$3))</f>
        <v>0</v>
      </c>
      <c r="F440" s="361">
        <f ca="1">OFFSET(PO!$P$12,ROW($E440)-ROW(F$12),0)</f>
        <v>0</v>
      </c>
      <c r="G440" s="361"/>
      <c r="H440" s="361"/>
      <c r="I440" s="361"/>
      <c r="J440" s="361"/>
      <c r="K440" s="361"/>
      <c r="L440" s="361"/>
      <c r="M440" s="361"/>
      <c r="N440" s="361"/>
      <c r="O440" s="361"/>
      <c r="U440" s="182"/>
    </row>
    <row r="441" spans="1:21" s="1" customFormat="1" ht="39.6" x14ac:dyDescent="0.25">
      <c r="A441" s="110" t="str">
        <f ca="1">OFFSET(PO!J$12,ROW(A441)-ROW($A$12),0)</f>
        <v>Serviço</v>
      </c>
      <c r="B441" s="112" t="str">
        <f ca="1">IF($A441=0,"",OFFSET(PO!K$12,ROW(B441)-ROW(B$12),0))</f>
        <v>18.3.0.1.</v>
      </c>
      <c r="C441" s="109" t="str">
        <f ca="1">IF(OFFSET(PO!N$12,ROW(C441)-ROW(C$12),0)=0,"",OFFSET(PO!N$12,ROW(C441)-ROW(C$12),0))</f>
        <v>ELETRODUTO FLEXÍVEL CORRUGADO, PVC, DN 25 MM (3/4"), PARA CIRCUITOS TERMINAIS, INSTALADO EM FORRO - FORNECIMENTO E INSTALAÇÃO. AF_03/2023_PA</v>
      </c>
      <c r="D441" s="111" t="str">
        <f ca="1">IF(OFFSET(PO!O$12,ROW(D441)-ROW(D$12),0)=0,"",OFFSET(PO!O$12,ROW(D441)-ROW(D$12),0))</f>
        <v>M</v>
      </c>
      <c r="E441" s="140">
        <f ca="1">IF($A441&lt;&gt;"Serviço",0,ROUND(SUMIF($F$9:$P$9,"&lt;&gt;",$F441:$P441),15-13*PO!$X$3))</f>
        <v>408.3</v>
      </c>
      <c r="F441" s="361">
        <f ca="1">OFFSET(PO!$P$12,ROW($E441)-ROW(F$12),0)</f>
        <v>408.3</v>
      </c>
      <c r="G441" s="361"/>
      <c r="H441" s="361"/>
      <c r="I441" s="361"/>
      <c r="J441" s="361"/>
      <c r="K441" s="361"/>
      <c r="L441" s="361"/>
      <c r="M441" s="361"/>
      <c r="N441" s="361"/>
      <c r="O441" s="361"/>
      <c r="U441" s="182"/>
    </row>
    <row r="442" spans="1:21" s="1" customFormat="1" ht="39.6" x14ac:dyDescent="0.25">
      <c r="A442" s="110" t="str">
        <f ca="1">OFFSET(PO!J$12,ROW(A442)-ROW($A$12),0)</f>
        <v>Serviço</v>
      </c>
      <c r="B442" s="112" t="str">
        <f ca="1">IF($A442=0,"",OFFSET(PO!K$12,ROW(B442)-ROW(B$12),0))</f>
        <v>18.3.0.2.</v>
      </c>
      <c r="C442" s="109" t="str">
        <f ca="1">IF(OFFSET(PO!N$12,ROW(C442)-ROW(C$12),0)=0,"",OFFSET(PO!N$12,ROW(C442)-ROW(C$12),0))</f>
        <v>ELETRODUTO FLEXÍVEL CORRUGADO, PVC, DN 32 MM (1"), PARA CIRCUITOS TERMINAIS, INSTALADO EM FORRO - FORNECIMENTO E INSTALAÇÃO. AF_03/2023_PA</v>
      </c>
      <c r="D442" s="111" t="str">
        <f ca="1">IF(OFFSET(PO!O$12,ROW(D442)-ROW(D$12),0)=0,"",OFFSET(PO!O$12,ROW(D442)-ROW(D$12),0))</f>
        <v>M</v>
      </c>
      <c r="E442" s="140">
        <f ca="1">IF($A442&lt;&gt;"Serviço",0,ROUND(SUMIF($F$9:$P$9,"&lt;&gt;",$F442:$P442),15-13*PO!$X$3))</f>
        <v>174.4</v>
      </c>
      <c r="F442" s="361">
        <f ca="1">OFFSET(PO!$P$12,ROW($E442)-ROW(F$12),0)</f>
        <v>174.4</v>
      </c>
      <c r="G442" s="361"/>
      <c r="H442" s="361"/>
      <c r="I442" s="361"/>
      <c r="J442" s="361"/>
      <c r="K442" s="361"/>
      <c r="L442" s="361"/>
      <c r="M442" s="361"/>
      <c r="N442" s="361"/>
      <c r="O442" s="361"/>
      <c r="U442" s="182"/>
    </row>
    <row r="443" spans="1:21" s="1" customFormat="1" ht="39.6" x14ac:dyDescent="0.25">
      <c r="A443" s="110" t="str">
        <f ca="1">OFFSET(PO!J$12,ROW(A443)-ROW($A$12),0)</f>
        <v>Serviço</v>
      </c>
      <c r="B443" s="112" t="str">
        <f ca="1">IF($A443=0,"",OFFSET(PO!K$12,ROW(B443)-ROW(B$12),0))</f>
        <v>18.3.0.3.</v>
      </c>
      <c r="C443" s="109" t="str">
        <f ca="1">IF(OFFSET(PO!N$12,ROW(C443)-ROW(C$12),0)=0,"",OFFSET(PO!N$12,ROW(C443)-ROW(C$12),0))</f>
        <v>ELETRODUTO RÍGIDO ROSCÁVEL, PVC, DN 50 MM (1 1/2"), PARA REDE ENTERRADA DE DISTRIBUIÇÃO DE ENERGIA ELÉTRICA - FORNECIMENTO E INSTALAÇÃO. AF_12/2021</v>
      </c>
      <c r="D443" s="111" t="str">
        <f ca="1">IF(OFFSET(PO!O$12,ROW(D443)-ROW(D$12),0)=0,"",OFFSET(PO!O$12,ROW(D443)-ROW(D$12),0))</f>
        <v>M</v>
      </c>
      <c r="E443" s="140">
        <f ca="1">IF($A443&lt;&gt;"Serviço",0,ROUND(SUMIF($F$9:$P$9,"&lt;&gt;",$F443:$P443),15-13*PO!$X$3))</f>
        <v>334.9</v>
      </c>
      <c r="F443" s="361">
        <f ca="1">OFFSET(PO!$P$12,ROW($E443)-ROW(F$12),0)</f>
        <v>334.9</v>
      </c>
      <c r="G443" s="361"/>
      <c r="H443" s="361"/>
      <c r="I443" s="361"/>
      <c r="J443" s="361"/>
      <c r="K443" s="361"/>
      <c r="L443" s="361"/>
      <c r="M443" s="361"/>
      <c r="N443" s="361"/>
      <c r="O443" s="361"/>
      <c r="U443" s="182"/>
    </row>
    <row r="444" spans="1:21" s="1" customFormat="1" ht="39.6" x14ac:dyDescent="0.25">
      <c r="A444" s="110" t="str">
        <f ca="1">OFFSET(PO!J$12,ROW(A444)-ROW($A$12),0)</f>
        <v>Serviço</v>
      </c>
      <c r="B444" s="112" t="str">
        <f ca="1">IF($A444=0,"",OFFSET(PO!K$12,ROW(B444)-ROW(B$12),0))</f>
        <v>18.3.0.4.</v>
      </c>
      <c r="C444" s="109" t="str">
        <f ca="1">IF(OFFSET(PO!N$12,ROW(C444)-ROW(C$12),0)=0,"",OFFSET(PO!N$12,ROW(C444)-ROW(C$12),0))</f>
        <v>ELETRODUTO RÍGIDO ROSCÁVEL, PVC, DN 60 MM (2"), PARA REDE ENTERRADA DE DISTRIBUIÇÃO DE ENERGIA ELÉTRICA - FORNECIMENTO E INSTALAÇÃO. AF_12/2021</v>
      </c>
      <c r="D444" s="111" t="str">
        <f ca="1">IF(OFFSET(PO!O$12,ROW(D444)-ROW(D$12),0)=0,"",OFFSET(PO!O$12,ROW(D444)-ROW(D$12),0))</f>
        <v>M</v>
      </c>
      <c r="E444" s="140">
        <f ca="1">IF($A444&lt;&gt;"Serviço",0,ROUND(SUMIF($F$9:$P$9,"&lt;&gt;",$F444:$P444),15-13*PO!$X$3))</f>
        <v>10.199999999999999</v>
      </c>
      <c r="F444" s="361">
        <f ca="1">OFFSET(PO!$P$12,ROW($E444)-ROW(F$12),0)</f>
        <v>10.199999999999999</v>
      </c>
      <c r="G444" s="361"/>
      <c r="H444" s="361"/>
      <c r="I444" s="361"/>
      <c r="J444" s="361"/>
      <c r="K444" s="361"/>
      <c r="L444" s="361"/>
      <c r="M444" s="361"/>
      <c r="N444" s="361"/>
      <c r="O444" s="361"/>
      <c r="U444" s="182"/>
    </row>
    <row r="445" spans="1:21" s="1" customFormat="1" ht="39.6" x14ac:dyDescent="0.25">
      <c r="A445" s="110" t="str">
        <f ca="1">OFFSET(PO!J$12,ROW(A445)-ROW($A$12),0)</f>
        <v>Serviço</v>
      </c>
      <c r="B445" s="112" t="str">
        <f ca="1">IF($A445=0,"",OFFSET(PO!K$12,ROW(B445)-ROW(B$12),0))</f>
        <v>18.3.0.5.</v>
      </c>
      <c r="C445" s="109" t="str">
        <f ca="1">IF(OFFSET(PO!N$12,ROW(C445)-ROW(C$12),0)=0,"",OFFSET(PO!N$12,ROW(C445)-ROW(C$12),0))</f>
        <v>ELETRODUTO RÍGIDO ROSCÁVEL, PVC, DN 85 MM (3"), PARA REDE ENTERRADA DE DISTRIBUIÇÃO DE ENERGIA ELÉTRICA - FORNECIMENTO E INSTALAÇÃO. AF_12/2021</v>
      </c>
      <c r="D445" s="111" t="str">
        <f ca="1">IF(OFFSET(PO!O$12,ROW(D445)-ROW(D$12),0)=0,"",OFFSET(PO!O$12,ROW(D445)-ROW(D$12),0))</f>
        <v>M</v>
      </c>
      <c r="E445" s="140">
        <f ca="1">IF($A445&lt;&gt;"Serviço",0,ROUND(SUMIF($F$9:$P$9,"&lt;&gt;",$F445:$P445),15-13*PO!$X$3))</f>
        <v>40</v>
      </c>
      <c r="F445" s="361">
        <f ca="1">OFFSET(PO!$P$12,ROW($E445)-ROW(F$12),0)</f>
        <v>40</v>
      </c>
      <c r="G445" s="361"/>
      <c r="H445" s="361"/>
      <c r="I445" s="361"/>
      <c r="J445" s="361"/>
      <c r="K445" s="361"/>
      <c r="L445" s="361"/>
      <c r="M445" s="361"/>
      <c r="N445" s="361"/>
      <c r="O445" s="361"/>
      <c r="U445" s="182"/>
    </row>
    <row r="446" spans="1:21" s="1" customFormat="1" ht="26.4" x14ac:dyDescent="0.25">
      <c r="A446" s="110" t="str">
        <f ca="1">OFFSET(PO!J$12,ROW(A446)-ROW($A$12),0)</f>
        <v>Serviço</v>
      </c>
      <c r="B446" s="112" t="str">
        <f ca="1">IF($A446=0,"",OFFSET(PO!K$12,ROW(B446)-ROW(B$12),0))</f>
        <v>18.3.0.6.</v>
      </c>
      <c r="C446" s="109" t="str">
        <f ca="1">IF(OFFSET(PO!N$12,ROW(C446)-ROW(C$12),0)=0,"",OFFSET(PO!N$12,ROW(C446)-ROW(C$12),0))</f>
        <v>LETRODUTO EM ACO ZINCADO OU GALVANIZADO DN=3/4", APARENTE - FORNECIMENTO E INSTALAÇÃO. (M)</v>
      </c>
      <c r="D446" s="111" t="str">
        <f ca="1">IF(OFFSET(PO!O$12,ROW(D446)-ROW(D$12),0)=0,"",OFFSET(PO!O$12,ROW(D446)-ROW(D$12),0))</f>
        <v>M</v>
      </c>
      <c r="E446" s="140">
        <f ca="1">IF($A446&lt;&gt;"Serviço",0,ROUND(SUMIF($F$9:$P$9,"&lt;&gt;",$F446:$P446),15-13*PO!$X$3))</f>
        <v>29.8</v>
      </c>
      <c r="F446" s="361">
        <f ca="1">OFFSET(PO!$P$12,ROW($E446)-ROW(F$12),0)</f>
        <v>29.8</v>
      </c>
      <c r="G446" s="361"/>
      <c r="H446" s="361"/>
      <c r="I446" s="361"/>
      <c r="J446" s="361"/>
      <c r="K446" s="361"/>
      <c r="L446" s="361"/>
      <c r="M446" s="361"/>
      <c r="N446" s="361"/>
      <c r="O446" s="361"/>
      <c r="U446" s="182"/>
    </row>
    <row r="447" spans="1:21" s="1" customFormat="1" ht="39.6" x14ac:dyDescent="0.25">
      <c r="A447" s="110" t="str">
        <f ca="1">OFFSET(PO!J$12,ROW(A447)-ROW($A$12),0)</f>
        <v>Serviço</v>
      </c>
      <c r="B447" s="112" t="str">
        <f ca="1">IF($A447=0,"",OFFSET(PO!K$12,ROW(B447)-ROW(B$12),0))</f>
        <v>18.3.0.7.</v>
      </c>
      <c r="C447" s="109" t="str">
        <f ca="1">IF(OFFSET(PO!N$12,ROW(C447)-ROW(C$12),0)=0,"",OFFSET(PO!N$12,ROW(C447)-ROW(C$12),0))</f>
        <v>CAIXA ENTERRADA ELÉTRICA RETANGULAR, EM ALVENARIA COM TIJOLOS CERÂMICOS MACIÇOS, FUNDO COM BRITA, DIMENSÕES INTERNAS: 0,3X0,3X0,3 M. AF_12/2020</v>
      </c>
      <c r="D447" s="111" t="str">
        <f ca="1">IF(OFFSET(PO!O$12,ROW(D447)-ROW(D$12),0)=0,"",OFFSET(PO!O$12,ROW(D447)-ROW(D$12),0))</f>
        <v>UN</v>
      </c>
      <c r="E447" s="140">
        <f ca="1">IF($A447&lt;&gt;"Serviço",0,ROUND(SUMIF($F$9:$P$9,"&lt;&gt;",$F447:$P447),15-13*PO!$X$3))</f>
        <v>11</v>
      </c>
      <c r="F447" s="361">
        <f ca="1">OFFSET(PO!$P$12,ROW($E447)-ROW(F$12),0)</f>
        <v>11</v>
      </c>
      <c r="G447" s="361"/>
      <c r="H447" s="361"/>
      <c r="I447" s="361"/>
      <c r="J447" s="361"/>
      <c r="K447" s="361"/>
      <c r="L447" s="361"/>
      <c r="M447" s="361"/>
      <c r="N447" s="361"/>
      <c r="O447" s="361"/>
      <c r="U447" s="182"/>
    </row>
    <row r="448" spans="1:21" s="1" customFormat="1" ht="26.4" x14ac:dyDescent="0.25">
      <c r="A448" s="110" t="str">
        <f ca="1">OFFSET(PO!J$12,ROW(A448)-ROW($A$12),0)</f>
        <v>Serviço</v>
      </c>
      <c r="B448" s="112" t="str">
        <f ca="1">IF($A448=0,"",OFFSET(PO!K$12,ROW(B448)-ROW(B$12),0))</f>
        <v>18.3.0.8.</v>
      </c>
      <c r="C448" s="109" t="str">
        <f ca="1">IF(OFFSET(PO!N$12,ROW(C448)-ROW(C$12),0)=0,"",OFFSET(PO!N$12,ROW(C448)-ROW(C$12),0))</f>
        <v>CAIXA OCTOGONAL 3" X 3", PVC, INSTALADA EM LAJE - FORNECIMENTO E INSTALAÇÃO. AF_03/2023</v>
      </c>
      <c r="D448" s="111" t="str">
        <f ca="1">IF(OFFSET(PO!O$12,ROW(D448)-ROW(D$12),0)=0,"",OFFSET(PO!O$12,ROW(D448)-ROW(D$12),0))</f>
        <v>UN</v>
      </c>
      <c r="E448" s="140">
        <f ca="1">IF($A448&lt;&gt;"Serviço",0,ROUND(SUMIF($F$9:$P$9,"&lt;&gt;",$F448:$P448),15-13*PO!$X$3))</f>
        <v>100</v>
      </c>
      <c r="F448" s="361">
        <f ca="1">OFFSET(PO!$P$12,ROW($E448)-ROW(F$12),0)</f>
        <v>100</v>
      </c>
      <c r="G448" s="361"/>
      <c r="H448" s="361"/>
      <c r="I448" s="361"/>
      <c r="J448" s="361"/>
      <c r="K448" s="361"/>
      <c r="L448" s="361"/>
      <c r="M448" s="361"/>
      <c r="N448" s="361"/>
      <c r="O448" s="361"/>
      <c r="U448" s="182"/>
    </row>
    <row r="449" spans="1:21" s="1" customFormat="1" ht="39.6" x14ac:dyDescent="0.25">
      <c r="A449" s="110" t="str">
        <f ca="1">OFFSET(PO!J$12,ROW(A449)-ROW($A$12),0)</f>
        <v>Serviço</v>
      </c>
      <c r="B449" s="112" t="str">
        <f ca="1">IF($A449=0,"",OFFSET(PO!K$12,ROW(B449)-ROW(B$12),0))</f>
        <v>18.3.0.9.</v>
      </c>
      <c r="C449" s="109" t="str">
        <f ca="1">IF(OFFSET(PO!N$12,ROW(C449)-ROW(C$12),0)=0,"",OFFSET(PO!N$12,ROW(C449)-ROW(C$12),0))</f>
        <v>CAIXA RETANGULAR 4" X 2" MÉDIA (1,30 M DO PISO), PVC, INSTALADA EM PAREDE - FORNECIMENTO E INSTALAÇÃO. AF_03/2023</v>
      </c>
      <c r="D449" s="111" t="str">
        <f ca="1">IF(OFFSET(PO!O$12,ROW(D449)-ROW(D$12),0)=0,"",OFFSET(PO!O$12,ROW(D449)-ROW(D$12),0))</f>
        <v>UN</v>
      </c>
      <c r="E449" s="140">
        <f ca="1">IF($A449&lt;&gt;"Serviço",0,ROUND(SUMIF($F$9:$P$9,"&lt;&gt;",$F449:$P449),15-13*PO!$X$3))</f>
        <v>170</v>
      </c>
      <c r="F449" s="361">
        <f ca="1">OFFSET(PO!$P$12,ROW($E449)-ROW(F$12),0)</f>
        <v>170</v>
      </c>
      <c r="G449" s="361"/>
      <c r="H449" s="361"/>
      <c r="I449" s="361"/>
      <c r="J449" s="361"/>
      <c r="K449" s="361"/>
      <c r="L449" s="361"/>
      <c r="M449" s="361"/>
      <c r="N449" s="361"/>
      <c r="O449" s="361"/>
      <c r="U449" s="182"/>
    </row>
    <row r="450" spans="1:21" s="1" customFormat="1" x14ac:dyDescent="0.25">
      <c r="A450" s="110" t="str">
        <f ca="1">OFFSET(PO!J$12,ROW(A450)-ROW($A$12),0)</f>
        <v>Nível 2</v>
      </c>
      <c r="B450" s="112" t="str">
        <f ca="1">IF($A450=0,"",OFFSET(PO!K$12,ROW(B450)-ROW(B$12),0))</f>
        <v>18.4.</v>
      </c>
      <c r="C450" s="109" t="str">
        <f ca="1">IF(OFFSET(PO!N$12,ROW(C450)-ROW(C$12),0)=0,"",OFFSET(PO!N$12,ROW(C450)-ROW(C$12),0))</f>
        <v>CABOS FIOS E CONDUTORES</v>
      </c>
      <c r="D450" s="111" t="str">
        <f ca="1">IF(OFFSET(PO!O$12,ROW(D450)-ROW(D$12),0)=0,"",OFFSET(PO!O$12,ROW(D450)-ROW(D$12),0))</f>
        <v/>
      </c>
      <c r="E450" s="140">
        <f ca="1">IF($A450&lt;&gt;"Serviço",0,ROUND(SUMIF($F$9:$P$9,"&lt;&gt;",$F450:$P450),15-13*PO!$X$3))</f>
        <v>0</v>
      </c>
      <c r="F450" s="361">
        <f ca="1">OFFSET(PO!$P$12,ROW($E450)-ROW(F$12),0)</f>
        <v>0</v>
      </c>
      <c r="G450" s="361"/>
      <c r="H450" s="361"/>
      <c r="I450" s="361"/>
      <c r="J450" s="361"/>
      <c r="K450" s="361"/>
      <c r="L450" s="361"/>
      <c r="M450" s="361"/>
      <c r="N450" s="361"/>
      <c r="O450" s="361"/>
      <c r="U450" s="182"/>
    </row>
    <row r="451" spans="1:21" s="1" customFormat="1" ht="39.6" x14ac:dyDescent="0.25">
      <c r="A451" s="110" t="str">
        <f ca="1">OFFSET(PO!J$12,ROW(A451)-ROW($A$12),0)</f>
        <v>Serviço</v>
      </c>
      <c r="B451" s="112" t="str">
        <f ca="1">IF($A451=0,"",OFFSET(PO!K$12,ROW(B451)-ROW(B$12),0))</f>
        <v>18.4.0.1.</v>
      </c>
      <c r="C451" s="109" t="str">
        <f ca="1">IF(OFFSET(PO!N$12,ROW(C451)-ROW(C$12),0)=0,"",OFFSET(PO!N$12,ROW(C451)-ROW(C$12),0))</f>
        <v>CABO DE COBRE FLEXÍVEL ISOLADO, 2,5 MM², ANTI-CHAMA 450/750 V, PARA CIRCUITOS TERMINAIS - FORNECIMENTO E INSTALAÇÃO. AF_03/2023</v>
      </c>
      <c r="D451" s="111" t="str">
        <f ca="1">IF(OFFSET(PO!O$12,ROW(D451)-ROW(D$12),0)=0,"",OFFSET(PO!O$12,ROW(D451)-ROW(D$12),0))</f>
        <v>M</v>
      </c>
      <c r="E451" s="140">
        <f ca="1">IF($A451&lt;&gt;"Serviço",0,ROUND(SUMIF($F$9:$P$9,"&lt;&gt;",$F451:$P451),15-13*PO!$X$3))</f>
        <v>5871.3</v>
      </c>
      <c r="F451" s="361">
        <f ca="1">OFFSET(PO!$P$12,ROW($E451)-ROW(F$12),0)</f>
        <v>5871.3</v>
      </c>
      <c r="G451" s="361"/>
      <c r="H451" s="361"/>
      <c r="I451" s="361"/>
      <c r="J451" s="361"/>
      <c r="K451" s="361"/>
      <c r="L451" s="361"/>
      <c r="M451" s="361"/>
      <c r="N451" s="361"/>
      <c r="O451" s="361"/>
      <c r="U451" s="182"/>
    </row>
    <row r="452" spans="1:21" s="1" customFormat="1" ht="39.6" x14ac:dyDescent="0.25">
      <c r="A452" s="110" t="str">
        <f ca="1">OFFSET(PO!J$12,ROW(A452)-ROW($A$12),0)</f>
        <v>Serviço</v>
      </c>
      <c r="B452" s="112" t="str">
        <f ca="1">IF($A452=0,"",OFFSET(PO!K$12,ROW(B452)-ROW(B$12),0))</f>
        <v>18.4.0.2.</v>
      </c>
      <c r="C452" s="109" t="str">
        <f ca="1">IF(OFFSET(PO!N$12,ROW(C452)-ROW(C$12),0)=0,"",OFFSET(PO!N$12,ROW(C452)-ROW(C$12),0))</f>
        <v>CABO DE COBRE FLEXÍVEL ISOLADO, 4 MM², ANTI-CHAMA 450/750 V, PARA CIRCUITOS TERMINAIS - FORNECIMENTO E INSTALAÇÃO. AF_03/2023</v>
      </c>
      <c r="D452" s="111" t="str">
        <f ca="1">IF(OFFSET(PO!O$12,ROW(D452)-ROW(D$12),0)=0,"",OFFSET(PO!O$12,ROW(D452)-ROW(D$12),0))</f>
        <v>M</v>
      </c>
      <c r="E452" s="140">
        <f ca="1">IF($A452&lt;&gt;"Serviço",0,ROUND(SUMIF($F$9:$P$9,"&lt;&gt;",$F452:$P452),15-13*PO!$X$3))</f>
        <v>253.9</v>
      </c>
      <c r="F452" s="361">
        <f ca="1">OFFSET(PO!$P$12,ROW($E452)-ROW(F$12),0)</f>
        <v>253.9</v>
      </c>
      <c r="G452" s="361"/>
      <c r="H452" s="361"/>
      <c r="I452" s="361"/>
      <c r="J452" s="361"/>
      <c r="K452" s="361"/>
      <c r="L452" s="361"/>
      <c r="M452" s="361"/>
      <c r="N452" s="361"/>
      <c r="O452" s="361"/>
      <c r="U452" s="182"/>
    </row>
    <row r="453" spans="1:21" s="1" customFormat="1" ht="39.6" x14ac:dyDescent="0.25">
      <c r="A453" s="110" t="str">
        <f ca="1">OFFSET(PO!J$12,ROW(A453)-ROW($A$12),0)</f>
        <v>Serviço</v>
      </c>
      <c r="B453" s="112" t="str">
        <f ca="1">IF($A453=0,"",OFFSET(PO!K$12,ROW(B453)-ROW(B$12),0))</f>
        <v>18.4.0.3.</v>
      </c>
      <c r="C453" s="109" t="str">
        <f ca="1">IF(OFFSET(PO!N$12,ROW(C453)-ROW(C$12),0)=0,"",OFFSET(PO!N$12,ROW(C453)-ROW(C$12),0))</f>
        <v>CABO DE COBRE FLEXÍVEL ISOLADO, 6 MM², ANTI-CHAMA 450/750 V, PARA CIRCUITOS TERMINAIS - FORNECIMENTO E INSTALAÇÃO. AF_03/2023</v>
      </c>
      <c r="D453" s="111" t="str">
        <f ca="1">IF(OFFSET(PO!O$12,ROW(D453)-ROW(D$12),0)=0,"",OFFSET(PO!O$12,ROW(D453)-ROW(D$12),0))</f>
        <v>M</v>
      </c>
      <c r="E453" s="140">
        <f ca="1">IF($A453&lt;&gt;"Serviço",0,ROUND(SUMIF($F$9:$P$9,"&lt;&gt;",$F453:$P453),15-13*PO!$X$3))</f>
        <v>1472.4</v>
      </c>
      <c r="F453" s="361">
        <f ca="1">OFFSET(PO!$P$12,ROW($E453)-ROW(F$12),0)</f>
        <v>1472.4</v>
      </c>
      <c r="G453" s="361"/>
      <c r="H453" s="361"/>
      <c r="I453" s="361"/>
      <c r="J453" s="361"/>
      <c r="K453" s="361"/>
      <c r="L453" s="361"/>
      <c r="M453" s="361"/>
      <c r="N453" s="361"/>
      <c r="O453" s="361"/>
      <c r="U453" s="182"/>
    </row>
    <row r="454" spans="1:21" s="1" customFormat="1" ht="39.6" x14ac:dyDescent="0.25">
      <c r="A454" s="110" t="str">
        <f ca="1">OFFSET(PO!J$12,ROW(A454)-ROW($A$12),0)</f>
        <v>Serviço</v>
      </c>
      <c r="B454" s="112" t="str">
        <f ca="1">IF($A454=0,"",OFFSET(PO!K$12,ROW(B454)-ROW(B$12),0))</f>
        <v>18.4.0.4.</v>
      </c>
      <c r="C454" s="109" t="str">
        <f ca="1">IF(OFFSET(PO!N$12,ROW(C454)-ROW(C$12),0)=0,"",OFFSET(PO!N$12,ROW(C454)-ROW(C$12),0))</f>
        <v>CABO DE COBRE FLEXÍVEL ISOLADO, 16 MM², ANTI-CHAMA 450/750 V, PARA CIRCUITOS TERMINAIS - FORNECIMENTO E INSTALAÇÃO. AF_03/2023</v>
      </c>
      <c r="D454" s="111" t="str">
        <f ca="1">IF(OFFSET(PO!O$12,ROW(D454)-ROW(D$12),0)=0,"",OFFSET(PO!O$12,ROW(D454)-ROW(D$12),0))</f>
        <v>M</v>
      </c>
      <c r="E454" s="140">
        <f ca="1">IF($A454&lt;&gt;"Serviço",0,ROUND(SUMIF($F$9:$P$9,"&lt;&gt;",$F454:$P454),15-13*PO!$X$3))</f>
        <v>34.5</v>
      </c>
      <c r="F454" s="361">
        <f ca="1">OFFSET(PO!$P$12,ROW($E454)-ROW(F$12),0)</f>
        <v>34.5</v>
      </c>
      <c r="G454" s="361"/>
      <c r="H454" s="361"/>
      <c r="I454" s="361"/>
      <c r="J454" s="361"/>
      <c r="K454" s="361"/>
      <c r="L454" s="361"/>
      <c r="M454" s="361"/>
      <c r="N454" s="361"/>
      <c r="O454" s="361"/>
      <c r="U454" s="182"/>
    </row>
    <row r="455" spans="1:21" s="1" customFormat="1" ht="52.8" x14ac:dyDescent="0.25">
      <c r="A455" s="110" t="str">
        <f ca="1">OFFSET(PO!J$12,ROW(A455)-ROW($A$12),0)</f>
        <v>Serviço</v>
      </c>
      <c r="B455" s="112" t="str">
        <f ca="1">IF($A455=0,"",OFFSET(PO!K$12,ROW(B455)-ROW(B$12),0))</f>
        <v>18.4.0.5.</v>
      </c>
      <c r="C455" s="109" t="str">
        <f ca="1">IF(OFFSET(PO!N$12,ROW(C455)-ROW(C$12),0)=0,"",OFFSET(PO!N$12,ROW(C455)-ROW(C$12),0))</f>
        <v>CABO DE COBRE FLEXÍVEL ISOLADO, 25 MM², ANTI-CHAMA 0,6/1,0 KV, PARA REDE ENTERRADA DE DISTRIBUIÇÃO DE ENERGIA ELÉTRICA - FORNECIMENTO E INSTALAÇÃO. AF_12/2021</v>
      </c>
      <c r="D455" s="111" t="str">
        <f ca="1">IF(OFFSET(PO!O$12,ROW(D455)-ROW(D$12),0)=0,"",OFFSET(PO!O$12,ROW(D455)-ROW(D$12),0))</f>
        <v>M</v>
      </c>
      <c r="E455" s="140">
        <f ca="1">IF($A455&lt;&gt;"Serviço",0,ROUND(SUMIF($F$9:$P$9,"&lt;&gt;",$F455:$P455),15-13*PO!$X$3))</f>
        <v>58.3</v>
      </c>
      <c r="F455" s="361">
        <f ca="1">OFFSET(PO!$P$12,ROW($E455)-ROW(F$12),0)</f>
        <v>58.3</v>
      </c>
      <c r="G455" s="361"/>
      <c r="H455" s="361"/>
      <c r="I455" s="361"/>
      <c r="J455" s="361"/>
      <c r="K455" s="361"/>
      <c r="L455" s="361"/>
      <c r="M455" s="361"/>
      <c r="N455" s="361"/>
      <c r="O455" s="361"/>
      <c r="U455" s="182"/>
    </row>
    <row r="456" spans="1:21" s="1" customFormat="1" ht="52.8" x14ac:dyDescent="0.25">
      <c r="A456" s="110" t="str">
        <f ca="1">OFFSET(PO!J$12,ROW(A456)-ROW($A$12),0)</f>
        <v>Serviço</v>
      </c>
      <c r="B456" s="112" t="str">
        <f ca="1">IF($A456=0,"",OFFSET(PO!K$12,ROW(B456)-ROW(B$12),0))</f>
        <v>18.4.0.6.</v>
      </c>
      <c r="C456" s="109" t="str">
        <f ca="1">IF(OFFSET(PO!N$12,ROW(C456)-ROW(C$12),0)=0,"",OFFSET(PO!N$12,ROW(C456)-ROW(C$12),0))</f>
        <v>CABO DE COBRE FLEXÍVEL ISOLADO, 35 MM², ANTI-CHAMA 0,6/1,0 KV, PARA REDE ENTERRADA DE DISTRIBUIÇÃO DE ENERGIA ELÉTRICA - FORNECIMENTO E INSTALAÇÃO. AF_12/2021</v>
      </c>
      <c r="D456" s="111" t="str">
        <f ca="1">IF(OFFSET(PO!O$12,ROW(D456)-ROW(D$12),0)=0,"",OFFSET(PO!O$12,ROW(D456)-ROW(D$12),0))</f>
        <v>M</v>
      </c>
      <c r="E456" s="140">
        <f ca="1">IF($A456&lt;&gt;"Serviço",0,ROUND(SUMIF($F$9:$P$9,"&lt;&gt;",$F456:$P456),15-13*PO!$X$3))</f>
        <v>88.6</v>
      </c>
      <c r="F456" s="361">
        <f ca="1">OFFSET(PO!$P$12,ROW($E456)-ROW(F$12),0)</f>
        <v>88.6</v>
      </c>
      <c r="G456" s="361"/>
      <c r="H456" s="361"/>
      <c r="I456" s="361"/>
      <c r="J456" s="361"/>
      <c r="K456" s="361"/>
      <c r="L456" s="361"/>
      <c r="M456" s="361"/>
      <c r="N456" s="361"/>
      <c r="O456" s="361"/>
      <c r="U456" s="182"/>
    </row>
    <row r="457" spans="1:21" s="1" customFormat="1" ht="52.8" x14ac:dyDescent="0.25">
      <c r="A457" s="110" t="str">
        <f ca="1">OFFSET(PO!J$12,ROW(A457)-ROW($A$12),0)</f>
        <v>Serviço</v>
      </c>
      <c r="B457" s="112" t="str">
        <f ca="1">IF($A457=0,"",OFFSET(PO!K$12,ROW(B457)-ROW(B$12),0))</f>
        <v>18.4.0.7.</v>
      </c>
      <c r="C457" s="109" t="str">
        <f ca="1">IF(OFFSET(PO!N$12,ROW(C457)-ROW(C$12),0)=0,"",OFFSET(PO!N$12,ROW(C457)-ROW(C$12),0))</f>
        <v>CABO DE COBRE FLEXÍVEL ISOLADO, 70 MM², ANTI-CHAMA 0,6/1,0 KV, PARA REDE ENTERRADA DE DISTRIBUIÇÃO DE ENERGIA ELÉTRICA - FORNECIMENTO E INSTALAÇÃO. AF_12/2021</v>
      </c>
      <c r="D457" s="111" t="str">
        <f ca="1">IF(OFFSET(PO!O$12,ROW(D457)-ROW(D$12),0)=0,"",OFFSET(PO!O$12,ROW(D457)-ROW(D$12),0))</f>
        <v>M</v>
      </c>
      <c r="E457" s="140">
        <f ca="1">IF($A457&lt;&gt;"Serviço",0,ROUND(SUMIF($F$9:$P$9,"&lt;&gt;",$F457:$P457),15-13*PO!$X$3))</f>
        <v>282.8</v>
      </c>
      <c r="F457" s="361">
        <f ca="1">OFFSET(PO!$P$12,ROW($E457)-ROW(F$12),0)</f>
        <v>282.8</v>
      </c>
      <c r="G457" s="361"/>
      <c r="H457" s="361"/>
      <c r="I457" s="361"/>
      <c r="J457" s="361"/>
      <c r="K457" s="361"/>
      <c r="L457" s="361"/>
      <c r="M457" s="361"/>
      <c r="N457" s="361"/>
      <c r="O457" s="361"/>
      <c r="U457" s="182"/>
    </row>
    <row r="458" spans="1:21" s="1" customFormat="1" ht="39.6" x14ac:dyDescent="0.25">
      <c r="A458" s="110" t="str">
        <f ca="1">OFFSET(PO!J$12,ROW(A458)-ROW($A$12),0)</f>
        <v>Serviço</v>
      </c>
      <c r="B458" s="112" t="str">
        <f ca="1">IF($A458=0,"",OFFSET(PO!K$12,ROW(B458)-ROW(B$12),0))</f>
        <v>18.4.0.8.</v>
      </c>
      <c r="C458" s="109" t="str">
        <f ca="1">IF(OFFSET(PO!N$12,ROW(C458)-ROW(C$12),0)=0,"",OFFSET(PO!N$12,ROW(C458)-ROW(C$12),0))</f>
        <v>CABO DE COBRE FLEXÍVEL ISOLADO, 95 MM², 0,6/1,0 KV, PARA REDE AÉREA DE DISTRIBUIÇÃO DE ENERGIA ELÉTRICA DE BAIXA TENSÃO - FORNECIMENTO E INSTALAÇÃO. AF_07/2020</v>
      </c>
      <c r="D458" s="111" t="str">
        <f ca="1">IF(OFFSET(PO!O$12,ROW(D458)-ROW(D$12),0)=0,"",OFFSET(PO!O$12,ROW(D458)-ROW(D$12),0))</f>
        <v>M</v>
      </c>
      <c r="E458" s="140">
        <f ca="1">IF($A458&lt;&gt;"Serviço",0,ROUND(SUMIF($F$9:$P$9,"&lt;&gt;",$F458:$P458),15-13*PO!$X$3))</f>
        <v>40</v>
      </c>
      <c r="F458" s="361">
        <f ca="1">OFFSET(PO!$P$12,ROW($E458)-ROW(F$12),0)</f>
        <v>40</v>
      </c>
      <c r="G458" s="361"/>
      <c r="H458" s="361"/>
      <c r="I458" s="361"/>
      <c r="J458" s="361"/>
      <c r="K458" s="361"/>
      <c r="L458" s="361"/>
      <c r="M458" s="361"/>
      <c r="N458" s="361"/>
      <c r="O458" s="361"/>
      <c r="U458" s="182"/>
    </row>
    <row r="459" spans="1:21" s="1" customFormat="1" ht="52.8" x14ac:dyDescent="0.25">
      <c r="A459" s="110" t="str">
        <f ca="1">OFFSET(PO!J$12,ROW(A459)-ROW($A$12),0)</f>
        <v>Serviço</v>
      </c>
      <c r="B459" s="112" t="str">
        <f ca="1">IF($A459=0,"",OFFSET(PO!K$12,ROW(B459)-ROW(B$12),0))</f>
        <v>18.4.0.9.</v>
      </c>
      <c r="C459" s="109" t="str">
        <f ca="1">IF(OFFSET(PO!N$12,ROW(C459)-ROW(C$12),0)=0,"",OFFSET(PO!N$12,ROW(C459)-ROW(C$12),0))</f>
        <v>CABO DE COBRE FLEXÍVEL ISOLADO, 150 MM², ANTI-CHAMA 0,6/1,0 KV, PARA REDE ENTERRADA DE DISTRIBUIÇÃO DE ENERGIA ELÉTRICA - FORNECIMENTO E INSTALAÇÃO. AF_12/2021</v>
      </c>
      <c r="D459" s="111" t="str">
        <f ca="1">IF(OFFSET(PO!O$12,ROW(D459)-ROW(D$12),0)=0,"",OFFSET(PO!O$12,ROW(D459)-ROW(D$12),0))</f>
        <v>M</v>
      </c>
      <c r="E459" s="140">
        <f ca="1">IF($A459&lt;&gt;"Serviço",0,ROUND(SUMIF($F$9:$P$9,"&lt;&gt;",$F459:$P459),15-13*PO!$X$3))</f>
        <v>159.80000000000001</v>
      </c>
      <c r="F459" s="361">
        <f ca="1">OFFSET(PO!$P$12,ROW($E459)-ROW(F$12),0)</f>
        <v>159.80000000000001</v>
      </c>
      <c r="G459" s="361"/>
      <c r="H459" s="361"/>
      <c r="I459" s="361"/>
      <c r="J459" s="361"/>
      <c r="K459" s="361"/>
      <c r="L459" s="361"/>
      <c r="M459" s="361"/>
      <c r="N459" s="361"/>
      <c r="O459" s="361"/>
      <c r="U459" s="182"/>
    </row>
    <row r="460" spans="1:21" s="1" customFormat="1" x14ac:dyDescent="0.25">
      <c r="A460" s="110" t="str">
        <f ca="1">OFFSET(PO!J$12,ROW(A460)-ROW($A$12),0)</f>
        <v>Nível 2</v>
      </c>
      <c r="B460" s="112" t="str">
        <f ca="1">IF($A460=0,"",OFFSET(PO!K$12,ROW(B460)-ROW(B$12),0))</f>
        <v>18.5.</v>
      </c>
      <c r="C460" s="109" t="str">
        <f ca="1">IF(OFFSET(PO!N$12,ROW(C460)-ROW(C$12),0)=0,"",OFFSET(PO!N$12,ROW(C460)-ROW(C$12),0))</f>
        <v>ELETROCALHAS</v>
      </c>
      <c r="D460" s="111" t="str">
        <f ca="1">IF(OFFSET(PO!O$12,ROW(D460)-ROW(D$12),0)=0,"",OFFSET(PO!O$12,ROW(D460)-ROW(D$12),0))</f>
        <v/>
      </c>
      <c r="E460" s="140">
        <f ca="1">IF($A460&lt;&gt;"Serviço",0,ROUND(SUMIF($F$9:$P$9,"&lt;&gt;",$F460:$P460),15-13*PO!$X$3))</f>
        <v>0</v>
      </c>
      <c r="F460" s="361">
        <f ca="1">OFFSET(PO!$P$12,ROW($E460)-ROW(F$12),0)</f>
        <v>0</v>
      </c>
      <c r="G460" s="361"/>
      <c r="H460" s="361"/>
      <c r="I460" s="361"/>
      <c r="J460" s="361"/>
      <c r="K460" s="361"/>
      <c r="L460" s="361"/>
      <c r="M460" s="361"/>
      <c r="N460" s="361"/>
      <c r="O460" s="361"/>
      <c r="U460" s="182"/>
    </row>
    <row r="461" spans="1:21" s="1" customFormat="1" ht="39.6" x14ac:dyDescent="0.25">
      <c r="A461" s="110" t="str">
        <f ca="1">OFFSET(PO!J$12,ROW(A461)-ROW($A$12),0)</f>
        <v>Serviço</v>
      </c>
      <c r="B461" s="112" t="str">
        <f ca="1">IF($A461=0,"",OFFSET(PO!K$12,ROW(B461)-ROW(B$12),0))</f>
        <v>18.5.0.1.</v>
      </c>
      <c r="C461" s="109" t="str">
        <f ca="1">IF(OFFSET(PO!N$12,ROW(C461)-ROW(C$12),0)=0,"",OFFSET(PO!N$12,ROW(C461)-ROW(C$12),0))</f>
        <v>ELETROCALHA LISA OU PERFURADA EM AÇO GALVANIZADO, LARGURA  150MM E ALTURA 100MM, INCLUSIVE EMENDA E FIXAÇÃO - FORNECIMENTO E INSTALAÇÃO. (M)</v>
      </c>
      <c r="D461" s="111" t="str">
        <f ca="1">IF(OFFSET(PO!O$12,ROW(D461)-ROW(D$12),0)=0,"",OFFSET(PO!O$12,ROW(D461)-ROW(D$12),0))</f>
        <v>M</v>
      </c>
      <c r="E461" s="140">
        <f ca="1">IF($A461&lt;&gt;"Serviço",0,ROUND(SUMIF($F$9:$P$9,"&lt;&gt;",$F461:$P461),15-13*PO!$X$3))</f>
        <v>75.2</v>
      </c>
      <c r="F461" s="361">
        <f ca="1">OFFSET(PO!$P$12,ROW($E461)-ROW(F$12),0)</f>
        <v>75.2</v>
      </c>
      <c r="G461" s="361"/>
      <c r="H461" s="361"/>
      <c r="I461" s="361"/>
      <c r="J461" s="361"/>
      <c r="K461" s="361"/>
      <c r="L461" s="361"/>
      <c r="M461" s="361"/>
      <c r="N461" s="361"/>
      <c r="O461" s="361"/>
      <c r="U461" s="182"/>
    </row>
    <row r="462" spans="1:21" s="1" customFormat="1" ht="39.6" x14ac:dyDescent="0.25">
      <c r="A462" s="110" t="str">
        <f ca="1">OFFSET(PO!J$12,ROW(A462)-ROW($A$12),0)</f>
        <v>Serviço</v>
      </c>
      <c r="B462" s="112" t="str">
        <f ca="1">IF($A462=0,"",OFFSET(PO!K$12,ROW(B462)-ROW(B$12),0))</f>
        <v>18.5.0.2.</v>
      </c>
      <c r="C462" s="109" t="str">
        <f ca="1">IF(OFFSET(PO!N$12,ROW(C462)-ROW(C$12),0)=0,"",OFFSET(PO!N$12,ROW(C462)-ROW(C$12),0))</f>
        <v>SUPORTE PARA 2 ELETRODUTOS, ESPAÇADO A CADA 80 CM, EM PERFILADO COM COMPRIMENTO DE 25 CM FIXADO EM LAJE, POR METRO DE ELETRODUTO FIXADO. AF_09/2023</v>
      </c>
      <c r="D462" s="111" t="str">
        <f ca="1">IF(OFFSET(PO!O$12,ROW(D462)-ROW(D$12),0)=0,"",OFFSET(PO!O$12,ROW(D462)-ROW(D$12),0))</f>
        <v>M</v>
      </c>
      <c r="E462" s="140">
        <f ca="1">IF($A462&lt;&gt;"Serviço",0,ROUND(SUMIF($F$9:$P$9,"&lt;&gt;",$F462:$P462),15-13*PO!$X$3))</f>
        <v>75.2</v>
      </c>
      <c r="F462" s="361">
        <f ca="1">OFFSET(PO!$P$12,ROW($E462)-ROW(F$12),0)</f>
        <v>75.2</v>
      </c>
      <c r="G462" s="361"/>
      <c r="H462" s="361"/>
      <c r="I462" s="361"/>
      <c r="J462" s="361"/>
      <c r="K462" s="361"/>
      <c r="L462" s="361"/>
      <c r="M462" s="361"/>
      <c r="N462" s="361"/>
      <c r="O462" s="361"/>
      <c r="U462" s="182"/>
    </row>
    <row r="463" spans="1:21" s="1" customFormat="1" x14ac:dyDescent="0.25">
      <c r="A463" s="110" t="str">
        <f ca="1">OFFSET(PO!J$12,ROW(A463)-ROW($A$12),0)</f>
        <v>Nível 2</v>
      </c>
      <c r="B463" s="112" t="str">
        <f ca="1">IF($A463=0,"",OFFSET(PO!K$12,ROW(B463)-ROW(B$12),0))</f>
        <v>18.6.</v>
      </c>
      <c r="C463" s="109" t="str">
        <f ca="1">IF(OFFSET(PO!N$12,ROW(C463)-ROW(C$12),0)=0,"",OFFSET(PO!N$12,ROW(C463)-ROW(C$12),0))</f>
        <v>ILUMINAÇÃO E TOMADAS</v>
      </c>
      <c r="D463" s="111" t="str">
        <f ca="1">IF(OFFSET(PO!O$12,ROW(D463)-ROW(D$12),0)=0,"",OFFSET(PO!O$12,ROW(D463)-ROW(D$12),0))</f>
        <v/>
      </c>
      <c r="E463" s="140">
        <f ca="1">IF($A463&lt;&gt;"Serviço",0,ROUND(SUMIF($F$9:$P$9,"&lt;&gt;",$F463:$P463),15-13*PO!$X$3))</f>
        <v>0</v>
      </c>
      <c r="F463" s="361">
        <f ca="1">OFFSET(PO!$P$12,ROW($E463)-ROW(F$12),0)</f>
        <v>0</v>
      </c>
      <c r="G463" s="361"/>
      <c r="H463" s="361"/>
      <c r="I463" s="361"/>
      <c r="J463" s="361"/>
      <c r="K463" s="361"/>
      <c r="L463" s="361"/>
      <c r="M463" s="361"/>
      <c r="N463" s="361"/>
      <c r="O463" s="361"/>
      <c r="U463" s="182"/>
    </row>
    <row r="464" spans="1:21" s="1" customFormat="1" ht="26.4" x14ac:dyDescent="0.25">
      <c r="A464" s="110" t="str">
        <f ca="1">OFFSET(PO!J$12,ROW(A464)-ROW($A$12),0)</f>
        <v>Serviço</v>
      </c>
      <c r="B464" s="112" t="str">
        <f ca="1">IF($A464=0,"",OFFSET(PO!K$12,ROW(B464)-ROW(B$12),0))</f>
        <v>18.6.0.1.</v>
      </c>
      <c r="C464" s="109" t="str">
        <f ca="1">IF(OFFSET(PO!N$12,ROW(C464)-ROW(C$12),0)=0,"",OFFSET(PO!N$12,ROW(C464)-ROW(C$12),0))</f>
        <v>TOMADA BAIXA DE EMBUTIR (1 MÓDULO), 2P+T 10 A, INCLUINDO SUPORTE E PLACA - FORNECIMENTO E INSTALAÇÃO. AF_03/2023</v>
      </c>
      <c r="D464" s="111" t="str">
        <f ca="1">IF(OFFSET(PO!O$12,ROW(D464)-ROW(D$12),0)=0,"",OFFSET(PO!O$12,ROW(D464)-ROW(D$12),0))</f>
        <v>UN</v>
      </c>
      <c r="E464" s="140">
        <f ca="1">IF($A464&lt;&gt;"Serviço",0,ROUND(SUMIF($F$9:$P$9,"&lt;&gt;",$F464:$P464),15-13*PO!$X$3))</f>
        <v>95</v>
      </c>
      <c r="F464" s="361">
        <f ca="1">OFFSET(PO!$P$12,ROW($E464)-ROW(F$12),0)</f>
        <v>95</v>
      </c>
      <c r="G464" s="361"/>
      <c r="H464" s="361"/>
      <c r="I464" s="361"/>
      <c r="J464" s="361"/>
      <c r="K464" s="361"/>
      <c r="L464" s="361"/>
      <c r="M464" s="361"/>
      <c r="N464" s="361"/>
      <c r="O464" s="361"/>
      <c r="U464" s="182"/>
    </row>
    <row r="465" spans="1:21" s="1" customFormat="1" ht="26.4" x14ac:dyDescent="0.25">
      <c r="A465" s="110" t="str">
        <f ca="1">OFFSET(PO!J$12,ROW(A465)-ROW($A$12),0)</f>
        <v>Serviço</v>
      </c>
      <c r="B465" s="112" t="str">
        <f ca="1">IF($A465=0,"",OFFSET(PO!K$12,ROW(B465)-ROW(B$12),0))</f>
        <v>18.6.0.2.</v>
      </c>
      <c r="C465" s="109" t="str">
        <f ca="1">IF(OFFSET(PO!N$12,ROW(C465)-ROW(C$12),0)=0,"",OFFSET(PO!N$12,ROW(C465)-ROW(C$12),0))</f>
        <v>TOMADA BAIXA DE EMBUTIR (1 MÓDULO), 2P+T 20 A, INCLUINDO SUPORTE E PLACA - FORNECIMENTO E INSTALAÇÃO. AF_03/2023</v>
      </c>
      <c r="D465" s="111" t="str">
        <f ca="1">IF(OFFSET(PO!O$12,ROW(D465)-ROW(D$12),0)=0,"",OFFSET(PO!O$12,ROW(D465)-ROW(D$12),0))</f>
        <v>UN</v>
      </c>
      <c r="E465" s="140">
        <f ca="1">IF($A465&lt;&gt;"Serviço",0,ROUND(SUMIF($F$9:$P$9,"&lt;&gt;",$F465:$P465),15-13*PO!$X$3))</f>
        <v>23</v>
      </c>
      <c r="F465" s="361">
        <f ca="1">OFFSET(PO!$P$12,ROW($E465)-ROW(F$12),0)</f>
        <v>23</v>
      </c>
      <c r="G465" s="361"/>
      <c r="H465" s="361"/>
      <c r="I465" s="361"/>
      <c r="J465" s="361"/>
      <c r="K465" s="361"/>
      <c r="L465" s="361"/>
      <c r="M465" s="361"/>
      <c r="N465" s="361"/>
      <c r="O465" s="361"/>
      <c r="U465" s="182"/>
    </row>
    <row r="466" spans="1:21" s="1" customFormat="1" ht="39.6" x14ac:dyDescent="0.25">
      <c r="A466" s="110" t="str">
        <f ca="1">OFFSET(PO!J$12,ROW(A466)-ROW($A$12),0)</f>
        <v>Serviço</v>
      </c>
      <c r="B466" s="112" t="str">
        <f ca="1">IF($A466=0,"",OFFSET(PO!K$12,ROW(B466)-ROW(B$12),0))</f>
        <v>18.6.0.3.</v>
      </c>
      <c r="C466" s="109" t="str">
        <f ca="1">IF(OFFSET(PO!N$12,ROW(C466)-ROW(C$12),0)=0,"",OFFSET(PO!N$12,ROW(C466)-ROW(C$12),0))</f>
        <v>INTERRUPTOR PARALELO (1 MÓDULO) COM 1 TOMADA DE EMBUTIR 2P+T 10 A, INCLUINDO SUPORTE E PLACA - FORNECIMENTO E INSTALAÇÃO. AF_03/2023</v>
      </c>
      <c r="D466" s="111" t="str">
        <f ca="1">IF(OFFSET(PO!O$12,ROW(D466)-ROW(D$12),0)=0,"",OFFSET(PO!O$12,ROW(D466)-ROW(D$12),0))</f>
        <v>UN</v>
      </c>
      <c r="E466" s="140">
        <f ca="1">IF($A466&lt;&gt;"Serviço",0,ROUND(SUMIF($F$9:$P$9,"&lt;&gt;",$F466:$P466),15-13*PO!$X$3))</f>
        <v>34</v>
      </c>
      <c r="F466" s="361">
        <f ca="1">OFFSET(PO!$P$12,ROW($E466)-ROW(F$12),0)</f>
        <v>34</v>
      </c>
      <c r="G466" s="361"/>
      <c r="H466" s="361"/>
      <c r="I466" s="361"/>
      <c r="J466" s="361"/>
      <c r="K466" s="361"/>
      <c r="L466" s="361"/>
      <c r="M466" s="361"/>
      <c r="N466" s="361"/>
      <c r="O466" s="361"/>
      <c r="U466" s="182"/>
    </row>
    <row r="467" spans="1:21" s="1" customFormat="1" ht="26.4" x14ac:dyDescent="0.25">
      <c r="A467" s="110" t="str">
        <f ca="1">OFFSET(PO!J$12,ROW(A467)-ROW($A$12),0)</f>
        <v>Serviço</v>
      </c>
      <c r="B467" s="112" t="str">
        <f ca="1">IF($A467=0,"",OFFSET(PO!K$12,ROW(B467)-ROW(B$12),0))</f>
        <v>18.6.0.4.</v>
      </c>
      <c r="C467" s="109" t="str">
        <f ca="1">IF(OFFSET(PO!N$12,ROW(C467)-ROW(C$12),0)=0,"",OFFSET(PO!N$12,ROW(C467)-ROW(C$12),0))</f>
        <v>INTERRUPTOR PARALELO (1 MÓDULO), 10A/250V, INCLUINDO SUPORTE E PLACA - FORNECIMENTO E INSTALAÇÃO. AF_03/2023</v>
      </c>
      <c r="D467" s="111" t="str">
        <f ca="1">IF(OFFSET(PO!O$12,ROW(D467)-ROW(D$12),0)=0,"",OFFSET(PO!O$12,ROW(D467)-ROW(D$12),0))</f>
        <v>UN</v>
      </c>
      <c r="E467" s="140">
        <f ca="1">IF($A467&lt;&gt;"Serviço",0,ROUND(SUMIF($F$9:$P$9,"&lt;&gt;",$F467:$P467),15-13*PO!$X$3))</f>
        <v>3</v>
      </c>
      <c r="F467" s="361">
        <f ca="1">OFFSET(PO!$P$12,ROW($E467)-ROW(F$12),0)</f>
        <v>3</v>
      </c>
      <c r="G467" s="361"/>
      <c r="H467" s="361"/>
      <c r="I467" s="361"/>
      <c r="J467" s="361"/>
      <c r="K467" s="361"/>
      <c r="L467" s="361"/>
      <c r="M467" s="361"/>
      <c r="N467" s="361"/>
      <c r="O467" s="361"/>
      <c r="U467" s="182"/>
    </row>
    <row r="468" spans="1:21" s="1" customFormat="1" ht="39.6" x14ac:dyDescent="0.25">
      <c r="A468" s="110" t="str">
        <f ca="1">OFFSET(PO!J$12,ROW(A468)-ROW($A$12),0)</f>
        <v>Serviço</v>
      </c>
      <c r="B468" s="112" t="str">
        <f ca="1">IF($A468=0,"",OFFSET(PO!K$12,ROW(B468)-ROW(B$12),0))</f>
        <v>18.6.0.5.</v>
      </c>
      <c r="C468" s="109" t="str">
        <f ca="1">IF(OFFSET(PO!N$12,ROW(C468)-ROW(C$12),0)=0,"",OFFSET(PO!N$12,ROW(C468)-ROW(C$12),0))</f>
        <v>INTERRUPTOR PARALELO (2 MÓDULOS) COM 1 TOMADA DE EMBUTIR 2P+T 10 A, INCLUINDO SUPORTE E PLACA - FORNECIMENTO E INSTALAÇÃO. AF_03/2023</v>
      </c>
      <c r="D468" s="111" t="str">
        <f ca="1">IF(OFFSET(PO!O$12,ROW(D468)-ROW(D$12),0)=0,"",OFFSET(PO!O$12,ROW(D468)-ROW(D$12),0))</f>
        <v>UN</v>
      </c>
      <c r="E468" s="140">
        <f ca="1">IF($A468&lt;&gt;"Serviço",0,ROUND(SUMIF($F$9:$P$9,"&lt;&gt;",$F468:$P468),15-13*PO!$X$3))</f>
        <v>2</v>
      </c>
      <c r="F468" s="361">
        <f ca="1">OFFSET(PO!$P$12,ROW($E468)-ROW(F$12),0)</f>
        <v>2</v>
      </c>
      <c r="G468" s="361"/>
      <c r="H468" s="361"/>
      <c r="I468" s="361"/>
      <c r="J468" s="361"/>
      <c r="K468" s="361"/>
      <c r="L468" s="361"/>
      <c r="M468" s="361"/>
      <c r="N468" s="361"/>
      <c r="O468" s="361"/>
      <c r="U468" s="182"/>
    </row>
    <row r="469" spans="1:21" s="1" customFormat="1" ht="26.4" x14ac:dyDescent="0.25">
      <c r="A469" s="110" t="str">
        <f ca="1">OFFSET(PO!J$12,ROW(A469)-ROW($A$12),0)</f>
        <v>Serviço</v>
      </c>
      <c r="B469" s="112" t="str">
        <f ca="1">IF($A469=0,"",OFFSET(PO!K$12,ROW(B469)-ROW(B$12),0))</f>
        <v>18.6.0.6.</v>
      </c>
      <c r="C469" s="109" t="str">
        <f ca="1">IF(OFFSET(PO!N$12,ROW(C469)-ROW(C$12),0)=0,"",OFFSET(PO!N$12,ROW(C469)-ROW(C$12),0))</f>
        <v>INTERRUPTOR SIMPLES (3 MÓDULOS), 10A/250V, INCLUINDO SUPORTE E PLACA - FORNECIMENTO E INSTALAÇÃO. AF_03/2023</v>
      </c>
      <c r="D469" s="111" t="str">
        <f ca="1">IF(OFFSET(PO!O$12,ROW(D469)-ROW(D$12),0)=0,"",OFFSET(PO!O$12,ROW(D469)-ROW(D$12),0))</f>
        <v>UN</v>
      </c>
      <c r="E469" s="140">
        <f ca="1">IF($A469&lt;&gt;"Serviço",0,ROUND(SUMIF($F$9:$P$9,"&lt;&gt;",$F469:$P469),15-13*PO!$X$3))</f>
        <v>1</v>
      </c>
      <c r="F469" s="361">
        <f ca="1">OFFSET(PO!$P$12,ROW($E469)-ROW(F$12),0)</f>
        <v>1</v>
      </c>
      <c r="G469" s="361"/>
      <c r="H469" s="361"/>
      <c r="I469" s="361"/>
      <c r="J469" s="361"/>
      <c r="K469" s="361"/>
      <c r="L469" s="361"/>
      <c r="M469" s="361"/>
      <c r="N469" s="361"/>
      <c r="O469" s="361"/>
      <c r="U469" s="182"/>
    </row>
    <row r="470" spans="1:21" s="1" customFormat="1" ht="26.4" x14ac:dyDescent="0.25">
      <c r="A470" s="110" t="str">
        <f ca="1">OFFSET(PO!J$12,ROW(A470)-ROW($A$12),0)</f>
        <v>Serviço</v>
      </c>
      <c r="B470" s="112" t="str">
        <f ca="1">IF($A470=0,"",OFFSET(PO!K$12,ROW(B470)-ROW(B$12),0))</f>
        <v>18.6.0.7.</v>
      </c>
      <c r="C470" s="109" t="str">
        <f ca="1">IF(OFFSET(PO!N$12,ROW(C470)-ROW(C$12),0)=0,"",OFFSET(PO!N$12,ROW(C470)-ROW(C$12),0))</f>
        <v xml:space="preserve"> ESPELHO / PLACA CEGA 4" X 2", PARA INSTALACAO DE TOMADAS E INTERRUPTORES (UN)</v>
      </c>
      <c r="D470" s="111" t="str">
        <f ca="1">IF(OFFSET(PO!O$12,ROW(D470)-ROW(D$12),0)=0,"",OFFSET(PO!O$12,ROW(D470)-ROW(D$12),0))</f>
        <v>U N</v>
      </c>
      <c r="E470" s="140">
        <f ca="1">IF($A470&lt;&gt;"Serviço",0,ROUND(SUMIF($F$9:$P$9,"&lt;&gt;",$F470:$P470),15-13*PO!$X$3))</f>
        <v>10</v>
      </c>
      <c r="F470" s="361">
        <f ca="1">OFFSET(PO!$P$12,ROW($E470)-ROW(F$12),0)</f>
        <v>10</v>
      </c>
      <c r="G470" s="361"/>
      <c r="H470" s="361"/>
      <c r="I470" s="361"/>
      <c r="J470" s="361"/>
      <c r="K470" s="361"/>
      <c r="L470" s="361"/>
      <c r="M470" s="361"/>
      <c r="N470" s="361"/>
      <c r="O470" s="361"/>
      <c r="U470" s="182"/>
    </row>
    <row r="471" spans="1:21" s="1" customFormat="1" ht="39.6" x14ac:dyDescent="0.25">
      <c r="A471" s="110" t="str">
        <f ca="1">OFFSET(PO!J$12,ROW(A471)-ROW($A$12),0)</f>
        <v>Serviço</v>
      </c>
      <c r="B471" s="112" t="str">
        <f ca="1">IF($A471=0,"",OFFSET(PO!K$12,ROW(B471)-ROW(B$12),0))</f>
        <v>18.6.0.8.</v>
      </c>
      <c r="C471" s="109" t="str">
        <f ca="1">IF(OFFSET(PO!N$12,ROW(C471)-ROW(C$12),0)=0,"",OFFSET(PO!N$12,ROW(C471)-ROW(C$12),0))</f>
        <v>LUMINÁRIA TIPO CALHA, DE SOBREPOR, COM 2 LÂMPADAS TUBULARES FLUORESCENTES DE 36 W, COM REATOR DE PARTIDA RÁPIDA - FORNECIMENTO E INSTALAÇÃO. AF_02/2020</v>
      </c>
      <c r="D471" s="111" t="str">
        <f ca="1">IF(OFFSET(PO!O$12,ROW(D471)-ROW(D$12),0)=0,"",OFFSET(PO!O$12,ROW(D471)-ROW(D$12),0))</f>
        <v>UN</v>
      </c>
      <c r="E471" s="140">
        <f ca="1">IF($A471&lt;&gt;"Serviço",0,ROUND(SUMIF($F$9:$P$9,"&lt;&gt;",$F471:$P471),15-13*PO!$X$3))</f>
        <v>8</v>
      </c>
      <c r="F471" s="361">
        <f ca="1">OFFSET(PO!$P$12,ROW($E471)-ROW(F$12),0)</f>
        <v>8</v>
      </c>
      <c r="G471" s="361"/>
      <c r="H471" s="361"/>
      <c r="I471" s="361"/>
      <c r="J471" s="361"/>
      <c r="K471" s="361"/>
      <c r="L471" s="361"/>
      <c r="M471" s="361"/>
      <c r="N471" s="361"/>
      <c r="O471" s="361"/>
      <c r="U471" s="182"/>
    </row>
    <row r="472" spans="1:21" s="1" customFormat="1" ht="26.4" x14ac:dyDescent="0.25">
      <c r="A472" s="110" t="str">
        <f ca="1">OFFSET(PO!J$12,ROW(A472)-ROW($A$12),0)</f>
        <v>Serviço</v>
      </c>
      <c r="B472" s="112" t="str">
        <f ca="1">IF($A472=0,"",OFFSET(PO!K$12,ROW(B472)-ROW(B$12),0))</f>
        <v>18.6.0.9.</v>
      </c>
      <c r="C472" s="109" t="str">
        <f ca="1">IF(OFFSET(PO!N$12,ROW(C472)-ROW(C$12),0)=0,"",OFFSET(PO!N$12,ROW(C472)-ROW(C$12),0))</f>
        <v>LUMINÁRIA DE EMBUTIR COMPLETA EM FORRO DE GESSO OU MODULADO COM PERFIL "T", PARA 2 LAMPADAS T8 16/18W.</v>
      </c>
      <c r="D472" s="111" t="str">
        <f ca="1">IF(OFFSET(PO!O$12,ROW(D472)-ROW(D$12),0)=0,"",OFFSET(PO!O$12,ROW(D472)-ROW(D$12),0))</f>
        <v>UN</v>
      </c>
      <c r="E472" s="140">
        <f ca="1">IF($A472&lt;&gt;"Serviço",0,ROUND(SUMIF($F$9:$P$9,"&lt;&gt;",$F472:$P472),15-13*PO!$X$3))</f>
        <v>11</v>
      </c>
      <c r="F472" s="361">
        <f ca="1">OFFSET(PO!$P$12,ROW($E472)-ROW(F$12),0)</f>
        <v>11</v>
      </c>
      <c r="G472" s="361"/>
      <c r="H472" s="361"/>
      <c r="I472" s="361"/>
      <c r="J472" s="361"/>
      <c r="K472" s="361"/>
      <c r="L472" s="361"/>
      <c r="M472" s="361"/>
      <c r="N472" s="361"/>
      <c r="O472" s="361"/>
      <c r="U472" s="182"/>
    </row>
    <row r="473" spans="1:21" s="1" customFormat="1" ht="26.4" x14ac:dyDescent="0.25">
      <c r="A473" s="110" t="str">
        <f ca="1">OFFSET(PO!J$12,ROW(A473)-ROW($A$12),0)</f>
        <v>Serviço</v>
      </c>
      <c r="B473" s="112" t="str">
        <f ca="1">IF($A473=0,"",OFFSET(PO!K$12,ROW(B473)-ROW(B$12),0))</f>
        <v>18.6.0.10.</v>
      </c>
      <c r="C473" s="109" t="str">
        <f ca="1">IF(OFFSET(PO!N$12,ROW(C473)-ROW(C$12),0)=0,"",OFFSET(PO!N$12,ROW(C473)-ROW(C$12),0))</f>
        <v>LUMINÁRIA DE EMBUTIR COMPLETA EM FORRO DE GESSO OU MODULADO COM PERFIL "T", PARA 2 LAMPADAS T8 32/36W.</v>
      </c>
      <c r="D473" s="111" t="str">
        <f ca="1">IF(OFFSET(PO!O$12,ROW(D473)-ROW(D$12),0)=0,"",OFFSET(PO!O$12,ROW(D473)-ROW(D$12),0))</f>
        <v>UN</v>
      </c>
      <c r="E473" s="140">
        <f ca="1">IF($A473&lt;&gt;"Serviço",0,ROUND(SUMIF($F$9:$P$9,"&lt;&gt;",$F473:$P473),15-13*PO!$X$3))</f>
        <v>81</v>
      </c>
      <c r="F473" s="361">
        <f ca="1">OFFSET(PO!$P$12,ROW($E473)-ROW(F$12),0)</f>
        <v>81</v>
      </c>
      <c r="G473" s="361"/>
      <c r="H473" s="361"/>
      <c r="I473" s="361"/>
      <c r="J473" s="361"/>
      <c r="K473" s="361"/>
      <c r="L473" s="361"/>
      <c r="M473" s="361"/>
      <c r="N473" s="361"/>
      <c r="O473" s="361"/>
      <c r="U473" s="182"/>
    </row>
    <row r="474" spans="1:21" s="1" customFormat="1" ht="39.6" x14ac:dyDescent="0.25">
      <c r="A474" s="110" t="str">
        <f ca="1">OFFSET(PO!J$12,ROW(A474)-ROW($A$12),0)</f>
        <v>Serviço</v>
      </c>
      <c r="B474" s="112" t="str">
        <f ca="1">IF($A474=0,"",OFFSET(PO!K$12,ROW(B474)-ROW(B$12),0))</f>
        <v>18.6.0.11.</v>
      </c>
      <c r="C474" s="109" t="str">
        <f ca="1">IF(OFFSET(PO!N$12,ROW(C474)-ROW(C$12),0)=0,"",OFFSET(PO!N$12,ROW(C474)-ROW(C$12),0))</f>
        <v>REFLETOR EM ALUMÍNIO, DE SUPORTE E ALÇA, COM 1 LÂMPADA VAPOR DE MERCÚRIO DE 70 W, COM REATOR ALTO FATOR DE POTÊNCIA - FORNECIMENTO E INSTALAÇÃO.</v>
      </c>
      <c r="D474" s="111" t="str">
        <f ca="1">IF(OFFSET(PO!O$12,ROW(D474)-ROW(D$12),0)=0,"",OFFSET(PO!O$12,ROW(D474)-ROW(D$12),0))</f>
        <v>UN</v>
      </c>
      <c r="E474" s="140">
        <f ca="1">IF($A474&lt;&gt;"Serviço",0,ROUND(SUMIF($F$9:$P$9,"&lt;&gt;",$F474:$P474),15-13*PO!$X$3))</f>
        <v>9</v>
      </c>
      <c r="F474" s="361">
        <f ca="1">OFFSET(PO!$P$12,ROW($E474)-ROW(F$12),0)</f>
        <v>9</v>
      </c>
      <c r="G474" s="361"/>
      <c r="H474" s="361"/>
      <c r="I474" s="361"/>
      <c r="J474" s="361"/>
      <c r="K474" s="361"/>
      <c r="L474" s="361"/>
      <c r="M474" s="361"/>
      <c r="N474" s="361"/>
      <c r="O474" s="361"/>
      <c r="U474" s="182"/>
    </row>
    <row r="475" spans="1:21" s="1" customFormat="1" ht="26.4" x14ac:dyDescent="0.25">
      <c r="A475" s="110" t="str">
        <f ca="1">OFFSET(PO!J$12,ROW(A475)-ROW($A$12),0)</f>
        <v>Serviço</v>
      </c>
      <c r="B475" s="112" t="str">
        <f ca="1">IF($A475=0,"",OFFSET(PO!K$12,ROW(B475)-ROW(B$12),0))</f>
        <v>18.6.0.12.</v>
      </c>
      <c r="C475" s="109" t="str">
        <f ca="1">IF(OFFSET(PO!N$12,ROW(C475)-ROW(C$12),0)=0,"",OFFSET(PO!N$12,ROW(C475)-ROW(C$12),0))</f>
        <v>LÂMPADA VAPOR METÁLICO 150 W - FORNECIMENTO E INSTALAÇÃO. AF_08/2020</v>
      </c>
      <c r="D475" s="111" t="str">
        <f ca="1">IF(OFFSET(PO!O$12,ROW(D475)-ROW(D$12),0)=0,"",OFFSET(PO!O$12,ROW(D475)-ROW(D$12),0))</f>
        <v>UN</v>
      </c>
      <c r="E475" s="140">
        <f ca="1">IF($A475&lt;&gt;"Serviço",0,ROUND(SUMIF($F$9:$P$9,"&lt;&gt;",$F475:$P475),15-13*PO!$X$3))</f>
        <v>4</v>
      </c>
      <c r="F475" s="361">
        <f ca="1">OFFSET(PO!$P$12,ROW($E475)-ROW(F$12),0)</f>
        <v>4</v>
      </c>
      <c r="G475" s="361"/>
      <c r="H475" s="361"/>
      <c r="I475" s="361"/>
      <c r="J475" s="361"/>
      <c r="K475" s="361"/>
      <c r="L475" s="361"/>
      <c r="M475" s="361"/>
      <c r="N475" s="361"/>
      <c r="O475" s="361"/>
      <c r="U475" s="182"/>
    </row>
    <row r="476" spans="1:21" s="1" customFormat="1" ht="26.4" x14ac:dyDescent="0.25">
      <c r="A476" s="110" t="str">
        <f ca="1">OFFSET(PO!J$12,ROW(A476)-ROW($A$12),0)</f>
        <v>Serviço</v>
      </c>
      <c r="B476" s="112" t="str">
        <f ca="1">IF($A476=0,"",OFFSET(PO!K$12,ROW(B476)-ROW(B$12),0))</f>
        <v>18.6.0.13.</v>
      </c>
      <c r="C476" s="109" t="str">
        <f ca="1">IF(OFFSET(PO!N$12,ROW(C476)-ROW(C$12),0)=0,"",OFFSET(PO!N$12,ROW(C476)-ROW(C$12),0))</f>
        <v>LÂMPADA VAPOR METÁLICO 400 W - FORNECIMENTO E INSTALAÇÃO. AF_08/2020</v>
      </c>
      <c r="D476" s="111" t="str">
        <f ca="1">IF(OFFSET(PO!O$12,ROW(D476)-ROW(D$12),0)=0,"",OFFSET(PO!O$12,ROW(D476)-ROW(D$12),0))</f>
        <v>UN</v>
      </c>
      <c r="E476" s="140">
        <f ca="1">IF($A476&lt;&gt;"Serviço",0,ROUND(SUMIF($F$9:$P$9,"&lt;&gt;",$F476:$P476),15-13*PO!$X$3))</f>
        <v>1</v>
      </c>
      <c r="F476" s="361">
        <f ca="1">OFFSET(PO!$P$12,ROW($E476)-ROW(F$12),0)</f>
        <v>1</v>
      </c>
      <c r="G476" s="361"/>
      <c r="H476" s="361"/>
      <c r="I476" s="361"/>
      <c r="J476" s="361"/>
      <c r="K476" s="361"/>
      <c r="L476" s="361"/>
      <c r="M476" s="361"/>
      <c r="N476" s="361"/>
      <c r="O476" s="361"/>
      <c r="U476" s="182"/>
    </row>
    <row r="477" spans="1:21" s="1" customFormat="1" ht="39.6" x14ac:dyDescent="0.25">
      <c r="A477" s="110" t="str">
        <f ca="1">OFFSET(PO!J$12,ROW(A477)-ROW($A$12),0)</f>
        <v>Serviço</v>
      </c>
      <c r="B477" s="112" t="str">
        <f ca="1">IF($A477=0,"",OFFSET(PO!K$12,ROW(B477)-ROW(B$12),0))</f>
        <v>18.6.0.14.</v>
      </c>
      <c r="C477" s="109" t="str">
        <f ca="1">IF(OFFSET(PO!N$12,ROW(C477)-ROW(C$12),0)=0,"",OFFSET(PO!N$12,ROW(C477)-ROW(C$12),0))</f>
        <v>LUMINÁRIA ARANDELA TIPO TARTARUGA, COM GRADE, DE SOBREPOR, COM 1 LÂMPADA FLUORESCENTE DE 15 W, SEM REATOR - FORNECIMENTO E INSTALAÇÃO. AF_02/2020</v>
      </c>
      <c r="D477" s="111" t="str">
        <f ca="1">IF(OFFSET(PO!O$12,ROW(D477)-ROW(D$12),0)=0,"",OFFSET(PO!O$12,ROW(D477)-ROW(D$12),0))</f>
        <v>UN</v>
      </c>
      <c r="E477" s="140">
        <f ca="1">IF($A477&lt;&gt;"Serviço",0,ROUND(SUMIF($F$9:$P$9,"&lt;&gt;",$F477:$P477),15-13*PO!$X$3))</f>
        <v>8</v>
      </c>
      <c r="F477" s="361">
        <f ca="1">OFFSET(PO!$P$12,ROW($E477)-ROW(F$12),0)</f>
        <v>8</v>
      </c>
      <c r="G477" s="361"/>
      <c r="H477" s="361"/>
      <c r="I477" s="361"/>
      <c r="J477" s="361"/>
      <c r="K477" s="361"/>
      <c r="L477" s="361"/>
      <c r="M477" s="361"/>
      <c r="N477" s="361"/>
      <c r="O477" s="361"/>
      <c r="U477" s="182"/>
    </row>
    <row r="478" spans="1:21" s="1" customFormat="1" x14ac:dyDescent="0.25">
      <c r="A478" s="110" t="str">
        <f ca="1">OFFSET(PO!J$12,ROW(A478)-ROW($A$12),0)</f>
        <v>Meta</v>
      </c>
      <c r="B478" s="112" t="str">
        <f ca="1">IF($A478=0,"",OFFSET(PO!K$12,ROW(B478)-ROW(B$12),0))</f>
        <v>19.</v>
      </c>
      <c r="C478" s="109" t="str">
        <f ca="1">IF(OFFSET(PO!N$12,ROW(C478)-ROW(C$12),0)=0,"",OFFSET(PO!N$12,ROW(C478)-ROW(C$12),0))</f>
        <v xml:space="preserve">CLIMATIZAÇÃO </v>
      </c>
      <c r="D478" s="111" t="str">
        <f ca="1">IF(OFFSET(PO!O$12,ROW(D478)-ROW(D$12),0)=0,"",OFFSET(PO!O$12,ROW(D478)-ROW(D$12),0))</f>
        <v/>
      </c>
      <c r="E478" s="140">
        <f ca="1">IF($A478&lt;&gt;"Serviço",0,ROUND(SUMIF($F$9:$P$9,"&lt;&gt;",$F478:$P478),15-13*PO!$X$3))</f>
        <v>0</v>
      </c>
      <c r="F478" s="361">
        <f ca="1">OFFSET(PO!$P$12,ROW($E478)-ROW(F$12),0)</f>
        <v>0</v>
      </c>
      <c r="G478" s="361"/>
      <c r="H478" s="361"/>
      <c r="I478" s="361"/>
      <c r="J478" s="361"/>
      <c r="K478" s="361"/>
      <c r="L478" s="361"/>
      <c r="M478" s="361"/>
      <c r="N478" s="361"/>
      <c r="O478" s="361"/>
      <c r="U478" s="182"/>
    </row>
    <row r="479" spans="1:21" s="1" customFormat="1" x14ac:dyDescent="0.25">
      <c r="A479" s="110" t="str">
        <f ca="1">OFFSET(PO!J$12,ROW(A479)-ROW($A$12),0)</f>
        <v>Nível 2</v>
      </c>
      <c r="B479" s="112" t="str">
        <f ca="1">IF($A479=0,"",OFFSET(PO!K$12,ROW(B479)-ROW(B$12),0))</f>
        <v>19.1.</v>
      </c>
      <c r="C479" s="109" t="str">
        <f ca="1">IF(OFFSET(PO!N$12,ROW(C479)-ROW(C$12),0)=0,"",OFFSET(PO!N$12,ROW(C479)-ROW(C$12),0))</f>
        <v>DUTOS</v>
      </c>
      <c r="D479" s="111" t="str">
        <f ca="1">IF(OFFSET(PO!O$12,ROW(D479)-ROW(D$12),0)=0,"",OFFSET(PO!O$12,ROW(D479)-ROW(D$12),0))</f>
        <v/>
      </c>
      <c r="E479" s="140">
        <f ca="1">IF($A479&lt;&gt;"Serviço",0,ROUND(SUMIF($F$9:$P$9,"&lt;&gt;",$F479:$P479),15-13*PO!$X$3))</f>
        <v>0</v>
      </c>
      <c r="F479" s="361">
        <f ca="1">OFFSET(PO!$P$12,ROW($E479)-ROW(F$12),0)</f>
        <v>0</v>
      </c>
      <c r="G479" s="361"/>
      <c r="H479" s="361"/>
      <c r="I479" s="361"/>
      <c r="J479" s="361"/>
      <c r="K479" s="361"/>
      <c r="L479" s="361"/>
      <c r="M479" s="361"/>
      <c r="N479" s="361"/>
      <c r="O479" s="361"/>
      <c r="U479" s="182"/>
    </row>
    <row r="480" spans="1:21" s="1" customFormat="1" ht="39.6" x14ac:dyDescent="0.25">
      <c r="A480" s="110" t="str">
        <f ca="1">OFFSET(PO!J$12,ROW(A480)-ROW($A$12),0)</f>
        <v>Serviço</v>
      </c>
      <c r="B480" s="112" t="str">
        <f ca="1">IF($A480=0,"",OFFSET(PO!K$12,ROW(B480)-ROW(B$12),0))</f>
        <v>19.1.0.1.</v>
      </c>
      <c r="C480" s="109" t="str">
        <f ca="1">IF(OFFSET(PO!N$12,ROW(C480)-ROW(C$12),0)=0,"",OFFSET(PO!N$12,ROW(C480)-ROW(C$12),0))</f>
        <v>CABO DE COBRE FLEXÍVEL ISOLADO, 2,5 MM², ANTI-CHAMA 0,6/1,0 KV, PARA CIRCUITOS TERMINAIS - FORNECIMENTO E INSTALAÇÃO. AF_03/2023</v>
      </c>
      <c r="D480" s="111" t="str">
        <f ca="1">IF(OFFSET(PO!O$12,ROW(D480)-ROW(D$12),0)=0,"",OFFSET(PO!O$12,ROW(D480)-ROW(D$12),0))</f>
        <v>M</v>
      </c>
      <c r="E480" s="140">
        <f ca="1">IF($A480&lt;&gt;"Serviço",0,ROUND(SUMIF($F$9:$P$9,"&lt;&gt;",$F480:$P480),15-13*PO!$X$3))</f>
        <v>22.6</v>
      </c>
      <c r="F480" s="361">
        <f ca="1">OFFSET(PO!$P$12,ROW($E480)-ROW(F$12),0)</f>
        <v>22.6</v>
      </c>
      <c r="G480" s="361"/>
      <c r="H480" s="361"/>
      <c r="I480" s="361"/>
      <c r="J480" s="361"/>
      <c r="K480" s="361"/>
      <c r="L480" s="361"/>
      <c r="M480" s="361"/>
      <c r="N480" s="361"/>
      <c r="O480" s="361"/>
      <c r="U480" s="182"/>
    </row>
    <row r="481" spans="1:21" s="1" customFormat="1" ht="39.6" x14ac:dyDescent="0.25">
      <c r="A481" s="110" t="str">
        <f ca="1">OFFSET(PO!J$12,ROW(A481)-ROW($A$12),0)</f>
        <v>Serviço</v>
      </c>
      <c r="B481" s="112" t="str">
        <f ca="1">IF($A481=0,"",OFFSET(PO!K$12,ROW(B481)-ROW(B$12),0))</f>
        <v>19.1.0.2.</v>
      </c>
      <c r="C481" s="109" t="str">
        <f ca="1">IF(OFFSET(PO!N$12,ROW(C481)-ROW(C$12),0)=0,"",OFFSET(PO!N$12,ROW(C481)-ROW(C$12),0))</f>
        <v>CABO DE COBRE FLEXÍVEL ISOLADO, 4 MM², ANTI-CHAMA 0,6/1,0 KV, PARA CIRCUITOS TERMINAIS - FORNECIMENTO E INSTALAÇÃO. AF_03/2023</v>
      </c>
      <c r="D481" s="111" t="str">
        <f ca="1">IF(OFFSET(PO!O$12,ROW(D481)-ROW(D$12),0)=0,"",OFFSET(PO!O$12,ROW(D481)-ROW(D$12),0))</f>
        <v>M</v>
      </c>
      <c r="E481" s="140">
        <f ca="1">IF($A481&lt;&gt;"Serviço",0,ROUND(SUMIF($F$9:$P$9,"&lt;&gt;",$F481:$P481),15-13*PO!$X$3))</f>
        <v>132.4</v>
      </c>
      <c r="F481" s="361">
        <f ca="1">OFFSET(PO!$P$12,ROW($E481)-ROW(F$12),0)</f>
        <v>132.4</v>
      </c>
      <c r="G481" s="361"/>
      <c r="H481" s="361"/>
      <c r="I481" s="361"/>
      <c r="J481" s="361"/>
      <c r="K481" s="361"/>
      <c r="L481" s="361"/>
      <c r="M481" s="361"/>
      <c r="N481" s="361"/>
      <c r="O481" s="361"/>
      <c r="U481" s="182"/>
    </row>
    <row r="482" spans="1:21" s="1" customFormat="1" ht="52.8" x14ac:dyDescent="0.25">
      <c r="A482" s="110" t="str">
        <f ca="1">OFFSET(PO!J$12,ROW(A482)-ROW($A$12),0)</f>
        <v>Serviço</v>
      </c>
      <c r="B482" s="112" t="str">
        <f ca="1">IF($A482=0,"",OFFSET(PO!K$12,ROW(B482)-ROW(B$12),0))</f>
        <v>19.1.0.3.</v>
      </c>
      <c r="C482" s="109" t="str">
        <f ca="1">IF(OFFSET(PO!N$12,ROW(C482)-ROW(C$12),0)=0,"",OFFSET(PO!N$12,ROW(C482)-ROW(C$12),0))</f>
        <v>TUBO EM COBRE FLEXÍVEL, DN 1/4", COM ISOLAMENTO, INSTALADO EM RAMAL DE ALIMENTAÇÃO DE AR CONDICIONADO COM CONDENSADORA INDIVIDUAL   FORNECIMENTO E INSTALAÇÃO. AF_12/2015</v>
      </c>
      <c r="D482" s="111" t="str">
        <f ca="1">IF(OFFSET(PO!O$12,ROW(D482)-ROW(D$12),0)=0,"",OFFSET(PO!O$12,ROW(D482)-ROW(D$12),0))</f>
        <v>M</v>
      </c>
      <c r="E482" s="140">
        <f ca="1">IF($A482&lt;&gt;"Serviço",0,ROUND(SUMIF($F$9:$P$9,"&lt;&gt;",$F482:$P482),15-13*PO!$X$3))</f>
        <v>16.899999999999999</v>
      </c>
      <c r="F482" s="361">
        <f ca="1">OFFSET(PO!$P$12,ROW($E482)-ROW(F$12),0)</f>
        <v>16.899999999999999</v>
      </c>
      <c r="G482" s="361"/>
      <c r="H482" s="361"/>
      <c r="I482" s="361"/>
      <c r="J482" s="361"/>
      <c r="K482" s="361"/>
      <c r="L482" s="361"/>
      <c r="M482" s="361"/>
      <c r="N482" s="361"/>
      <c r="O482" s="361"/>
      <c r="U482" s="182"/>
    </row>
    <row r="483" spans="1:21" s="1" customFormat="1" ht="52.8" x14ac:dyDescent="0.25">
      <c r="A483" s="110" t="str">
        <f ca="1">OFFSET(PO!J$12,ROW(A483)-ROW($A$12),0)</f>
        <v>Serviço</v>
      </c>
      <c r="B483" s="112" t="str">
        <f ca="1">IF($A483=0,"",OFFSET(PO!K$12,ROW(B483)-ROW(B$12),0))</f>
        <v>19.1.0.4.</v>
      </c>
      <c r="C483" s="109" t="str">
        <f ca="1">IF(OFFSET(PO!N$12,ROW(C483)-ROW(C$12),0)=0,"",OFFSET(PO!N$12,ROW(C483)-ROW(C$12),0))</f>
        <v>TUBO EM COBRE FLEXÍVEL, DN 3/8", COM ISOLAMENTO, INSTALADO EM RAMAL DE ALIMENTAÇÃO DE AR CONDICIONADO COM CONDENSADORA INDIVIDUAL - FORNECIMENTO E INSTALAÇÃO. AF_12/2015</v>
      </c>
      <c r="D483" s="111" t="str">
        <f ca="1">IF(OFFSET(PO!O$12,ROW(D483)-ROW(D$12),0)=0,"",OFFSET(PO!O$12,ROW(D483)-ROW(D$12),0))</f>
        <v>M</v>
      </c>
      <c r="E483" s="140">
        <f ca="1">IF($A483&lt;&gt;"Serviço",0,ROUND(SUMIF($F$9:$P$9,"&lt;&gt;",$F483:$P483),15-13*PO!$X$3))</f>
        <v>154.9</v>
      </c>
      <c r="F483" s="361">
        <f ca="1">OFFSET(PO!$P$12,ROW($E483)-ROW(F$12),0)</f>
        <v>154.9</v>
      </c>
      <c r="G483" s="361"/>
      <c r="H483" s="361"/>
      <c r="I483" s="361"/>
      <c r="J483" s="361"/>
      <c r="K483" s="361"/>
      <c r="L483" s="361"/>
      <c r="M483" s="361"/>
      <c r="N483" s="361"/>
      <c r="O483" s="361"/>
      <c r="U483" s="182"/>
    </row>
    <row r="484" spans="1:21" s="1" customFormat="1" ht="52.8" x14ac:dyDescent="0.25">
      <c r="A484" s="110" t="str">
        <f ca="1">OFFSET(PO!J$12,ROW(A484)-ROW($A$12),0)</f>
        <v>Serviço</v>
      </c>
      <c r="B484" s="112" t="str">
        <f ca="1">IF($A484=0,"",OFFSET(PO!K$12,ROW(B484)-ROW(B$12),0))</f>
        <v>19.1.0.5.</v>
      </c>
      <c r="C484" s="109" t="str">
        <f ca="1">IF(OFFSET(PO!N$12,ROW(C484)-ROW(C$12),0)=0,"",OFFSET(PO!N$12,ROW(C484)-ROW(C$12),0))</f>
        <v>ADAPTADOR CURTO COM BOLSA E ROSCA PARA REGISTRO, PVC, SOLDÁVEL, DN 40MM X 1.1/4", INSTALADO EM RAMAL DE DISTRIBUIÇÃO DE ÁGUA - FORNECIMENTO E INSTALAÇÃO. AF_06/2022</v>
      </c>
      <c r="D484" s="111" t="str">
        <f ca="1">IF(OFFSET(PO!O$12,ROW(D484)-ROW(D$12),0)=0,"",OFFSET(PO!O$12,ROW(D484)-ROW(D$12),0))</f>
        <v>UN</v>
      </c>
      <c r="E484" s="140">
        <f ca="1">IF($A484&lt;&gt;"Serviço",0,ROUND(SUMIF($F$9:$P$9,"&lt;&gt;",$F484:$P484),15-13*PO!$X$3))</f>
        <v>138</v>
      </c>
      <c r="F484" s="361">
        <f ca="1">OFFSET(PO!$P$12,ROW($E484)-ROW(F$12),0)</f>
        <v>138</v>
      </c>
      <c r="G484" s="361"/>
      <c r="H484" s="361"/>
      <c r="I484" s="361"/>
      <c r="J484" s="361"/>
      <c r="K484" s="361"/>
      <c r="L484" s="361"/>
      <c r="M484" s="361"/>
      <c r="N484" s="361"/>
      <c r="O484" s="361"/>
      <c r="U484" s="182"/>
    </row>
    <row r="485" spans="1:21" s="1" customFormat="1" x14ac:dyDescent="0.25">
      <c r="A485" s="110" t="str">
        <f ca="1">OFFSET(PO!J$12,ROW(A485)-ROW($A$12),0)</f>
        <v>Nível 2</v>
      </c>
      <c r="B485" s="112" t="str">
        <f ca="1">IF($A485=0,"",OFFSET(PO!K$12,ROW(B485)-ROW(B$12),0))</f>
        <v>19.2.</v>
      </c>
      <c r="C485" s="109" t="str">
        <f ca="1">IF(OFFSET(PO!N$12,ROW(C485)-ROW(C$12),0)=0,"",OFFSET(PO!N$12,ROW(C485)-ROW(C$12),0))</f>
        <v>DRENO</v>
      </c>
      <c r="D485" s="111" t="str">
        <f ca="1">IF(OFFSET(PO!O$12,ROW(D485)-ROW(D$12),0)=0,"",OFFSET(PO!O$12,ROW(D485)-ROW(D$12),0))</f>
        <v/>
      </c>
      <c r="E485" s="140">
        <f ca="1">IF($A485&lt;&gt;"Serviço",0,ROUND(SUMIF($F$9:$P$9,"&lt;&gt;",$F485:$P485),15-13*PO!$X$3))</f>
        <v>0</v>
      </c>
      <c r="F485" s="361">
        <f ca="1">OFFSET(PO!$P$12,ROW($E485)-ROW(F$12),0)</f>
        <v>0</v>
      </c>
      <c r="G485" s="361"/>
      <c r="H485" s="361"/>
      <c r="I485" s="361"/>
      <c r="J485" s="361"/>
      <c r="K485" s="361"/>
      <c r="L485" s="361"/>
      <c r="M485" s="361"/>
      <c r="N485" s="361"/>
      <c r="O485" s="361"/>
      <c r="U485" s="182"/>
    </row>
    <row r="486" spans="1:21" s="1" customFormat="1" ht="39.6" x14ac:dyDescent="0.25">
      <c r="A486" s="110" t="str">
        <f ca="1">OFFSET(PO!J$12,ROW(A486)-ROW($A$12),0)</f>
        <v>Serviço</v>
      </c>
      <c r="B486" s="112" t="str">
        <f ca="1">IF($A486=0,"",OFFSET(PO!K$12,ROW(B486)-ROW(B$12),0))</f>
        <v>19.2.0.1.</v>
      </c>
      <c r="C486" s="109" t="str">
        <f ca="1">IF(OFFSET(PO!N$12,ROW(C486)-ROW(C$12),0)=0,"",OFFSET(PO!N$12,ROW(C486)-ROW(C$12),0))</f>
        <v>TUBO, PVC, SOLDÁVEL, DE 40MM, INSTALADO EM RAMAL DE DISTRIBUIÇÃO DE ÁGUA - FORNECIMENTO E INSTALAÇÃO. AF_06/2022</v>
      </c>
      <c r="D486" s="111" t="str">
        <f ca="1">IF(OFFSET(PO!O$12,ROW(D486)-ROW(D$12),0)=0,"",OFFSET(PO!O$12,ROW(D486)-ROW(D$12),0))</f>
        <v>M</v>
      </c>
      <c r="E486" s="140">
        <f ca="1">IF($A486&lt;&gt;"Serviço",0,ROUND(SUMIF($F$9:$P$9,"&lt;&gt;",$F486:$P486),15-13*PO!$X$3))</f>
        <v>63.9</v>
      </c>
      <c r="F486" s="361">
        <f ca="1">OFFSET(PO!$P$12,ROW($E486)-ROW(F$12),0)</f>
        <v>63.9</v>
      </c>
      <c r="G486" s="361"/>
      <c r="H486" s="361"/>
      <c r="I486" s="361"/>
      <c r="J486" s="361"/>
      <c r="K486" s="361"/>
      <c r="L486" s="361"/>
      <c r="M486" s="361"/>
      <c r="N486" s="361"/>
      <c r="O486" s="361"/>
      <c r="U486" s="182"/>
    </row>
    <row r="487" spans="1:21" s="1" customFormat="1" ht="39.6" x14ac:dyDescent="0.25">
      <c r="A487" s="110" t="str">
        <f ca="1">OFFSET(PO!J$12,ROW(A487)-ROW($A$12),0)</f>
        <v>Serviço</v>
      </c>
      <c r="B487" s="112" t="str">
        <f ca="1">IF($A487=0,"",OFFSET(PO!K$12,ROW(B487)-ROW(B$12),0))</f>
        <v>19.2.0.2.</v>
      </c>
      <c r="C487" s="109" t="str">
        <f ca="1">IF(OFFSET(PO!N$12,ROW(C487)-ROW(C$12),0)=0,"",OFFSET(PO!N$12,ROW(C487)-ROW(C$12),0))</f>
        <v>JOELHO 45 GRAUS, PVC, SOLDÁVEL, DN 40MM, INSTALADO EM RAMAL DE DISTRIBUIÇÃO DE ÁGUA - FORNECIMENTO E INSTALAÇÃO. AF_06/2022</v>
      </c>
      <c r="D487" s="111" t="str">
        <f ca="1">IF(OFFSET(PO!O$12,ROW(D487)-ROW(D$12),0)=0,"",OFFSET(PO!O$12,ROW(D487)-ROW(D$12),0))</f>
        <v>UN</v>
      </c>
      <c r="E487" s="140">
        <f ca="1">IF($A487&lt;&gt;"Serviço",0,ROUND(SUMIF($F$9:$P$9,"&lt;&gt;",$F487:$P487),15-13*PO!$X$3))</f>
        <v>12</v>
      </c>
      <c r="F487" s="361">
        <f ca="1">OFFSET(PO!$P$12,ROW($E487)-ROW(F$12),0)</f>
        <v>12</v>
      </c>
      <c r="G487" s="361"/>
      <c r="H487" s="361"/>
      <c r="I487" s="361"/>
      <c r="J487" s="361"/>
      <c r="K487" s="361"/>
      <c r="L487" s="361"/>
      <c r="M487" s="361"/>
      <c r="N487" s="361"/>
      <c r="O487" s="361"/>
      <c r="U487" s="182"/>
    </row>
    <row r="488" spans="1:21" s="1" customFormat="1" ht="39.6" x14ac:dyDescent="0.25">
      <c r="A488" s="110" t="str">
        <f ca="1">OFFSET(PO!J$12,ROW(A488)-ROW($A$12),0)</f>
        <v>Serviço</v>
      </c>
      <c r="B488" s="112" t="str">
        <f ca="1">IF($A488=0,"",OFFSET(PO!K$12,ROW(B488)-ROW(B$12),0))</f>
        <v>19.2.0.3.</v>
      </c>
      <c r="C488" s="109" t="str">
        <f ca="1">IF(OFFSET(PO!N$12,ROW(C488)-ROW(C$12),0)=0,"",OFFSET(PO!N$12,ROW(C488)-ROW(C$12),0))</f>
        <v>JOELHO 90 GRAUS, PVC, SOLDÁVEL, DN 40MM, INSTALADO EM RAMAL DE DISTRIBUIÇÃO DE ÁGUA - FORNECIMENTO E INSTALAÇÃO. AF_06/2022</v>
      </c>
      <c r="D488" s="111" t="str">
        <f ca="1">IF(OFFSET(PO!O$12,ROW(D488)-ROW(D$12),0)=0,"",OFFSET(PO!O$12,ROW(D488)-ROW(D$12),0))</f>
        <v>UN</v>
      </c>
      <c r="E488" s="140">
        <f ca="1">IF($A488&lt;&gt;"Serviço",0,ROUND(SUMIF($F$9:$P$9,"&lt;&gt;",$F488:$P488),15-13*PO!$X$3))</f>
        <v>14</v>
      </c>
      <c r="F488" s="361">
        <f ca="1">OFFSET(PO!$P$12,ROW($E488)-ROW(F$12),0)</f>
        <v>14</v>
      </c>
      <c r="G488" s="361"/>
      <c r="H488" s="361"/>
      <c r="I488" s="361"/>
      <c r="J488" s="361"/>
      <c r="K488" s="361"/>
      <c r="L488" s="361"/>
      <c r="M488" s="361"/>
      <c r="N488" s="361"/>
      <c r="O488" s="361"/>
      <c r="U488" s="182"/>
    </row>
    <row r="489" spans="1:21" s="1" customFormat="1" ht="39.6" x14ac:dyDescent="0.25">
      <c r="A489" s="110" t="str">
        <f ca="1">OFFSET(PO!J$12,ROW(A489)-ROW($A$12),0)</f>
        <v>Serviço</v>
      </c>
      <c r="B489" s="112" t="str">
        <f ca="1">IF($A489=0,"",OFFSET(PO!K$12,ROW(B489)-ROW(B$12),0))</f>
        <v>19.2.0.4.</v>
      </c>
      <c r="C489" s="109" t="str">
        <f ca="1">IF(OFFSET(PO!N$12,ROW(C489)-ROW(C$12),0)=0,"",OFFSET(PO!N$12,ROW(C489)-ROW(C$12),0))</f>
        <v>TE, PVC, SOLDÁVEL, DN 40MM, INSTALADO EM RAMAL DE DISTRIBUIÇÃO DE ÁGUA - FORNECIMENTO E INSTALAÇÃO. AF_06/2022</v>
      </c>
      <c r="D489" s="111" t="str">
        <f ca="1">IF(OFFSET(PO!O$12,ROW(D489)-ROW(D$12),0)=0,"",OFFSET(PO!O$12,ROW(D489)-ROW(D$12),0))</f>
        <v>UN</v>
      </c>
      <c r="E489" s="140">
        <f ca="1">IF($A489&lt;&gt;"Serviço",0,ROUND(SUMIF($F$9:$P$9,"&lt;&gt;",$F489:$P489),15-13*PO!$X$3))</f>
        <v>3</v>
      </c>
      <c r="F489" s="361">
        <f ca="1">OFFSET(PO!$P$12,ROW($E489)-ROW(F$12),0)</f>
        <v>3</v>
      </c>
      <c r="G489" s="361"/>
      <c r="H489" s="361"/>
      <c r="I489" s="361"/>
      <c r="J489" s="361"/>
      <c r="K489" s="361"/>
      <c r="L489" s="361"/>
      <c r="M489" s="361"/>
      <c r="N489" s="361"/>
      <c r="O489" s="361"/>
      <c r="U489" s="182"/>
    </row>
    <row r="490" spans="1:21" s="1" customFormat="1" x14ac:dyDescent="0.25">
      <c r="A490" s="110" t="str">
        <f ca="1">OFFSET(PO!J$12,ROW(A490)-ROW($A$12),0)</f>
        <v>Meta</v>
      </c>
      <c r="B490" s="112" t="str">
        <f ca="1">IF($A490=0,"",OFFSET(PO!K$12,ROW(B490)-ROW(B$12),0))</f>
        <v>20.</v>
      </c>
      <c r="C490" s="109" t="str">
        <f ca="1">IF(OFFSET(PO!N$12,ROW(C490)-ROW(C$12),0)=0,"",OFFSET(PO!N$12,ROW(C490)-ROW(C$12),0))</f>
        <v>CABEAMENTO ESTRUTURADO</v>
      </c>
      <c r="D490" s="111" t="str">
        <f ca="1">IF(OFFSET(PO!O$12,ROW(D490)-ROW(D$12),0)=0,"",OFFSET(PO!O$12,ROW(D490)-ROW(D$12),0))</f>
        <v/>
      </c>
      <c r="E490" s="140">
        <f ca="1">IF($A490&lt;&gt;"Serviço",0,ROUND(SUMIF($F$9:$P$9,"&lt;&gt;",$F490:$P490),15-13*PO!$X$3))</f>
        <v>0</v>
      </c>
      <c r="F490" s="361">
        <f ca="1">OFFSET(PO!$P$12,ROW($E490)-ROW(F$12),0)</f>
        <v>0</v>
      </c>
      <c r="G490" s="361"/>
      <c r="H490" s="361"/>
      <c r="I490" s="361"/>
      <c r="J490" s="361"/>
      <c r="K490" s="361"/>
      <c r="L490" s="361"/>
      <c r="M490" s="361"/>
      <c r="N490" s="361"/>
      <c r="O490" s="361"/>
      <c r="U490" s="182"/>
    </row>
    <row r="491" spans="1:21" s="1" customFormat="1" x14ac:dyDescent="0.25">
      <c r="A491" s="110" t="str">
        <f ca="1">OFFSET(PO!J$12,ROW(A491)-ROW($A$12),0)</f>
        <v>Nível 2</v>
      </c>
      <c r="B491" s="112" t="str">
        <f ca="1">IF($A491=0,"",OFFSET(PO!K$12,ROW(B491)-ROW(B$12),0))</f>
        <v>20.1.</v>
      </c>
      <c r="C491" s="109" t="str">
        <f ca="1">IF(OFFSET(PO!N$12,ROW(C491)-ROW(C$12),0)=0,"",OFFSET(PO!N$12,ROW(C491)-ROW(C$12),0))</f>
        <v>ACESSÓRIOS CABEAMENTO</v>
      </c>
      <c r="D491" s="111" t="str">
        <f ca="1">IF(OFFSET(PO!O$12,ROW(D491)-ROW(D$12),0)=0,"",OFFSET(PO!O$12,ROW(D491)-ROW(D$12),0))</f>
        <v/>
      </c>
      <c r="E491" s="140">
        <f ca="1">IF($A491&lt;&gt;"Serviço",0,ROUND(SUMIF($F$9:$P$9,"&lt;&gt;",$F491:$P491),15-13*PO!$X$3))</f>
        <v>0</v>
      </c>
      <c r="F491" s="361">
        <f ca="1">OFFSET(PO!$P$12,ROW($E491)-ROW(F$12),0)</f>
        <v>0</v>
      </c>
      <c r="G491" s="361"/>
      <c r="H491" s="361"/>
      <c r="I491" s="361"/>
      <c r="J491" s="361"/>
      <c r="K491" s="361"/>
      <c r="L491" s="361"/>
      <c r="M491" s="361"/>
      <c r="N491" s="361"/>
      <c r="O491" s="361"/>
      <c r="U491" s="182"/>
    </row>
    <row r="492" spans="1:21" s="1" customFormat="1" ht="26.4" x14ac:dyDescent="0.25">
      <c r="A492" s="110" t="str">
        <f ca="1">OFFSET(PO!J$12,ROW(A492)-ROW($A$12),0)</f>
        <v>Serviço</v>
      </c>
      <c r="B492" s="112" t="str">
        <f ca="1">IF($A492=0,"",OFFSET(PO!K$12,ROW(B492)-ROW(B$12),0))</f>
        <v>20.1.0.1.</v>
      </c>
      <c r="C492" s="109" t="str">
        <f ca="1">IF(OFFSET(PO!N$12,ROW(C492)-ROW(C$12),0)=0,"",OFFSET(PO!N$12,ROW(C492)-ROW(C$12),0))</f>
        <v>PATCH PANEL 24 PORTAS, CATEGORIA 6 - FORNECIMENTO E INSTALAÇÃO. AF_11/2019</v>
      </c>
      <c r="D492" s="111" t="str">
        <f ca="1">IF(OFFSET(PO!O$12,ROW(D492)-ROW(D$12),0)=0,"",OFFSET(PO!O$12,ROW(D492)-ROW(D$12),0))</f>
        <v>UN</v>
      </c>
      <c r="E492" s="140">
        <f ca="1">IF($A492&lt;&gt;"Serviço",0,ROUND(SUMIF($F$9:$P$9,"&lt;&gt;",$F492:$P492),15-13*PO!$X$3))</f>
        <v>3</v>
      </c>
      <c r="F492" s="361">
        <f ca="1">OFFSET(PO!$P$12,ROW($E492)-ROW(F$12),0)</f>
        <v>3</v>
      </c>
      <c r="G492" s="361"/>
      <c r="H492" s="361"/>
      <c r="I492" s="361"/>
      <c r="J492" s="361"/>
      <c r="K492" s="361"/>
      <c r="L492" s="361"/>
      <c r="M492" s="361"/>
      <c r="N492" s="361"/>
      <c r="O492" s="361"/>
      <c r="U492" s="182"/>
    </row>
    <row r="493" spans="1:21" s="1" customFormat="1" x14ac:dyDescent="0.25">
      <c r="A493" s="110" t="str">
        <f ca="1">OFFSET(PO!J$12,ROW(A493)-ROW($A$12),0)</f>
        <v>Serviço</v>
      </c>
      <c r="B493" s="112" t="str">
        <f ca="1">IF($A493=0,"",OFFSET(PO!K$12,ROW(B493)-ROW(B$12),0))</f>
        <v>20.1.0.2.</v>
      </c>
      <c r="C493" s="109" t="str">
        <f ca="1">IF(OFFSET(PO!N$12,ROW(C493)-ROW(C$12),0)=0,"",OFFSET(PO!N$12,ROW(C493)-ROW(C$12),0))</f>
        <v>SWITCH TIPO 24 PORTAS</v>
      </c>
      <c r="D493" s="111" t="str">
        <f ca="1">IF(OFFSET(PO!O$12,ROW(D493)-ROW(D$12),0)=0,"",OFFSET(PO!O$12,ROW(D493)-ROW(D$12),0))</f>
        <v>UN</v>
      </c>
      <c r="E493" s="140">
        <f ca="1">IF($A493&lt;&gt;"Serviço",0,ROUND(SUMIF($F$9:$P$9,"&lt;&gt;",$F493:$P493),15-13*PO!$X$3))</f>
        <v>1</v>
      </c>
      <c r="F493" s="361">
        <f ca="1">OFFSET(PO!$P$12,ROW($E493)-ROW(F$12),0)</f>
        <v>1</v>
      </c>
      <c r="G493" s="361"/>
      <c r="H493" s="361"/>
      <c r="I493" s="361"/>
      <c r="J493" s="361"/>
      <c r="K493" s="361"/>
      <c r="L493" s="361"/>
      <c r="M493" s="361"/>
      <c r="N493" s="361"/>
      <c r="O493" s="361"/>
      <c r="U493" s="182"/>
    </row>
    <row r="494" spans="1:21" s="1" customFormat="1" x14ac:dyDescent="0.25">
      <c r="A494" s="110" t="str">
        <f ca="1">OFFSET(PO!J$12,ROW(A494)-ROW($A$12),0)</f>
        <v>Serviço</v>
      </c>
      <c r="B494" s="112" t="str">
        <f ca="1">IF($A494=0,"",OFFSET(PO!K$12,ROW(B494)-ROW(B$12),0))</f>
        <v>20.1.0.3.</v>
      </c>
      <c r="C494" s="109" t="str">
        <f ca="1">IF(OFFSET(PO!N$12,ROW(C494)-ROW(C$12),0)=0,"",OFFSET(PO!N$12,ROW(C494)-ROW(C$12),0))</f>
        <v>PATCH CORD, CATEGORIA 6 UTP, 4 PARES.</v>
      </c>
      <c r="D494" s="111" t="str">
        <f ca="1">IF(OFFSET(PO!O$12,ROW(D494)-ROW(D$12),0)=0,"",OFFSET(PO!O$12,ROW(D494)-ROW(D$12),0))</f>
        <v>UN</v>
      </c>
      <c r="E494" s="140">
        <f ca="1">IF($A494&lt;&gt;"Serviço",0,ROUND(SUMIF($F$9:$P$9,"&lt;&gt;",$F494:$P494),15-13*PO!$X$3))</f>
        <v>19</v>
      </c>
      <c r="F494" s="361">
        <f ca="1">OFFSET(PO!$P$12,ROW($E494)-ROW(F$12),0)</f>
        <v>19</v>
      </c>
      <c r="G494" s="361"/>
      <c r="H494" s="361"/>
      <c r="I494" s="361"/>
      <c r="J494" s="361"/>
      <c r="K494" s="361"/>
      <c r="L494" s="361"/>
      <c r="M494" s="361"/>
      <c r="N494" s="361"/>
      <c r="O494" s="361"/>
      <c r="U494" s="182"/>
    </row>
    <row r="495" spans="1:21" s="1" customFormat="1" x14ac:dyDescent="0.25">
      <c r="A495" s="110" t="str">
        <f ca="1">OFFSET(PO!J$12,ROW(A495)-ROW($A$12),0)</f>
        <v>Serviço</v>
      </c>
      <c r="B495" s="112" t="str">
        <f ca="1">IF($A495=0,"",OFFSET(PO!K$12,ROW(B495)-ROW(B$12),0))</f>
        <v>20.1.0.4.</v>
      </c>
      <c r="C495" s="109" t="str">
        <f ca="1">IF(OFFSET(PO!N$12,ROW(C495)-ROW(C$12),0)=0,"",OFFSET(PO!N$12,ROW(C495)-ROW(C$12),0))</f>
        <v>GUIA DE CABOS FECHADO 1U</v>
      </c>
      <c r="D495" s="111" t="str">
        <f ca="1">IF(OFFSET(PO!O$12,ROW(D495)-ROW(D$12),0)=0,"",OFFSET(PO!O$12,ROW(D495)-ROW(D$12),0))</f>
        <v>un</v>
      </c>
      <c r="E495" s="140">
        <f ca="1">IF($A495&lt;&gt;"Serviço",0,ROUND(SUMIF($F$9:$P$9,"&lt;&gt;",$F495:$P495),15-13*PO!$X$3))</f>
        <v>3</v>
      </c>
      <c r="F495" s="361">
        <f ca="1">OFFSET(PO!$P$12,ROW($E495)-ROW(F$12),0)</f>
        <v>3</v>
      </c>
      <c r="G495" s="361"/>
      <c r="H495" s="361"/>
      <c r="I495" s="361"/>
      <c r="J495" s="361"/>
      <c r="K495" s="361"/>
      <c r="L495" s="361"/>
      <c r="M495" s="361"/>
      <c r="N495" s="361"/>
      <c r="O495" s="361"/>
      <c r="U495" s="182"/>
    </row>
    <row r="496" spans="1:21" s="1" customFormat="1" x14ac:dyDescent="0.25">
      <c r="A496" s="110" t="str">
        <f ca="1">OFFSET(PO!J$12,ROW(A496)-ROW($A$12),0)</f>
        <v>Serviço</v>
      </c>
      <c r="B496" s="112" t="str">
        <f ca="1">IF($A496=0,"",OFFSET(PO!K$12,ROW(B496)-ROW(B$12),0))</f>
        <v>20.1.0.5.</v>
      </c>
      <c r="C496" s="109" t="str">
        <f ca="1">IF(OFFSET(PO!N$12,ROW(C496)-ROW(C$12),0)=0,"",OFFSET(PO!N$12,ROW(C496)-ROW(C$12),0))</f>
        <v>BANDEJA MÓVEL, PADRÃO 19"</v>
      </c>
      <c r="D496" s="111" t="str">
        <f ca="1">IF(OFFSET(PO!O$12,ROW(D496)-ROW(D$12),0)=0,"",OFFSET(PO!O$12,ROW(D496)-ROW(D$12),0))</f>
        <v>UN</v>
      </c>
      <c r="E496" s="140">
        <f ca="1">IF($A496&lt;&gt;"Serviço",0,ROUND(SUMIF($F$9:$P$9,"&lt;&gt;",$F496:$P496),15-13*PO!$X$3))</f>
        <v>2</v>
      </c>
      <c r="F496" s="361">
        <f ca="1">OFFSET(PO!$P$12,ROW($E496)-ROW(F$12),0)</f>
        <v>2</v>
      </c>
      <c r="G496" s="361"/>
      <c r="H496" s="361"/>
      <c r="I496" s="361"/>
      <c r="J496" s="361"/>
      <c r="K496" s="361"/>
      <c r="L496" s="361"/>
      <c r="M496" s="361"/>
      <c r="N496" s="361"/>
      <c r="O496" s="361"/>
      <c r="U496" s="182"/>
    </row>
    <row r="497" spans="1:21" s="1" customFormat="1" ht="26.4" x14ac:dyDescent="0.25">
      <c r="A497" s="110" t="str">
        <f ca="1">OFFSET(PO!J$12,ROW(A497)-ROW($A$12),0)</f>
        <v>Serviço</v>
      </c>
      <c r="B497" s="112" t="str">
        <f ca="1">IF($A497=0,"",OFFSET(PO!K$12,ROW(B497)-ROW(B$12),0))</f>
        <v>20.1.0.6.</v>
      </c>
      <c r="C497" s="109" t="str">
        <f ca="1">IF(OFFSET(PO!N$12,ROW(C497)-ROW(C$12),0)=0,"",OFFSET(PO!N$12,ROW(C497)-ROW(C$12),0))</f>
        <v>RACK ABERTO EM COLUNA 44U PARA SERVIDOR - FORNECIMENTO E INSTALAÇÃO. AF_11/2019</v>
      </c>
      <c r="D497" s="111" t="str">
        <f ca="1">IF(OFFSET(PO!O$12,ROW(D497)-ROW(D$12),0)=0,"",OFFSET(PO!O$12,ROW(D497)-ROW(D$12),0))</f>
        <v>UN</v>
      </c>
      <c r="E497" s="140">
        <f ca="1">IF($A497&lt;&gt;"Serviço",0,ROUND(SUMIF($F$9:$P$9,"&lt;&gt;",$F497:$P497),15-13*PO!$X$3))</f>
        <v>3</v>
      </c>
      <c r="F497" s="361">
        <f ca="1">OFFSET(PO!$P$12,ROW($E497)-ROW(F$12),0)</f>
        <v>3</v>
      </c>
      <c r="G497" s="361"/>
      <c r="H497" s="361"/>
      <c r="I497" s="361"/>
      <c r="J497" s="361"/>
      <c r="K497" s="361"/>
      <c r="L497" s="361"/>
      <c r="M497" s="361"/>
      <c r="N497" s="361"/>
      <c r="O497" s="361"/>
      <c r="U497" s="182"/>
    </row>
    <row r="498" spans="1:21" s="1" customFormat="1" x14ac:dyDescent="0.25">
      <c r="A498" s="110" t="str">
        <f ca="1">OFFSET(PO!J$12,ROW(A498)-ROW($A$12),0)</f>
        <v>Serviço</v>
      </c>
      <c r="B498" s="112" t="str">
        <f ca="1">IF($A498=0,"",OFFSET(PO!K$12,ROW(B498)-ROW(B$12),0))</f>
        <v>20.1.0.7.</v>
      </c>
      <c r="C498" s="109" t="str">
        <f ca="1">IF(OFFSET(PO!N$12,ROW(C498)-ROW(C$12),0)=0,"",OFFSET(PO!N$12,ROW(C498)-ROW(C$12),0))</f>
        <v>GUIA VERTICAL 200 MM PARA CABOS</v>
      </c>
      <c r="D498" s="111" t="str">
        <f ca="1">IF(OFFSET(PO!O$12,ROW(D498)-ROW(D$12),0)=0,"",OFFSET(PO!O$12,ROW(D498)-ROW(D$12),0))</f>
        <v>UN</v>
      </c>
      <c r="E498" s="140">
        <f ca="1">IF($A498&lt;&gt;"Serviço",0,ROUND(SUMIF($F$9:$P$9,"&lt;&gt;",$F498:$P498),15-13*PO!$X$3))</f>
        <v>4</v>
      </c>
      <c r="F498" s="361">
        <f ca="1">OFFSET(PO!$P$12,ROW($E498)-ROW(F$12),0)</f>
        <v>4</v>
      </c>
      <c r="G498" s="361"/>
      <c r="H498" s="361"/>
      <c r="I498" s="361"/>
      <c r="J498" s="361"/>
      <c r="K498" s="361"/>
      <c r="L498" s="361"/>
      <c r="M498" s="361"/>
      <c r="N498" s="361"/>
      <c r="O498" s="361"/>
      <c r="U498" s="182"/>
    </row>
    <row r="499" spans="1:21" s="1" customFormat="1" x14ac:dyDescent="0.25">
      <c r="A499" s="110" t="str">
        <f ca="1">OFFSET(PO!J$12,ROW(A499)-ROW($A$12),0)</f>
        <v>Nível 2</v>
      </c>
      <c r="B499" s="112" t="str">
        <f ca="1">IF($A499=0,"",OFFSET(PO!K$12,ROW(B499)-ROW(B$12),0))</f>
        <v>20.2.</v>
      </c>
      <c r="C499" s="109" t="str">
        <f ca="1">IF(OFFSET(PO!N$12,ROW(C499)-ROW(C$12),0)=0,"",OFFSET(PO!N$12,ROW(C499)-ROW(C$12),0))</f>
        <v>CAIXAS E QUADROS</v>
      </c>
      <c r="D499" s="111" t="str">
        <f ca="1">IF(OFFSET(PO!O$12,ROW(D499)-ROW(D$12),0)=0,"",OFFSET(PO!O$12,ROW(D499)-ROW(D$12),0))</f>
        <v/>
      </c>
      <c r="E499" s="140">
        <f ca="1">IF($A499&lt;&gt;"Serviço",0,ROUND(SUMIF($F$9:$P$9,"&lt;&gt;",$F499:$P499),15-13*PO!$X$3))</f>
        <v>0</v>
      </c>
      <c r="F499" s="361">
        <f ca="1">OFFSET(PO!$P$12,ROW($E499)-ROW(F$12),0)</f>
        <v>0</v>
      </c>
      <c r="G499" s="361"/>
      <c r="H499" s="361"/>
      <c r="I499" s="361"/>
      <c r="J499" s="361"/>
      <c r="K499" s="361"/>
      <c r="L499" s="361"/>
      <c r="M499" s="361"/>
      <c r="N499" s="361"/>
      <c r="O499" s="361"/>
      <c r="U499" s="182"/>
    </row>
    <row r="500" spans="1:21" s="1" customFormat="1" ht="39.6" x14ac:dyDescent="0.25">
      <c r="A500" s="110" t="str">
        <f ca="1">OFFSET(PO!J$12,ROW(A500)-ROW($A$12),0)</f>
        <v>Serviço</v>
      </c>
      <c r="B500" s="112" t="str">
        <f ca="1">IF($A500=0,"",OFFSET(PO!K$12,ROW(B500)-ROW(B$12),0))</f>
        <v>20.2.0.1.</v>
      </c>
      <c r="C500" s="109" t="str">
        <f ca="1">IF(OFFSET(PO!N$12,ROW(C500)-ROW(C$12),0)=0,"",OFFSET(PO!N$12,ROW(C500)-ROW(C$12),0))</f>
        <v>CAIXA ENTERRADA ELÉTRICA RETANGULAR, EM ALVENARIA COM TIJOLOS CERÂMICOS MACIÇOS, FUNDO COM BRITA, DIMENSÕES INTERNAS: 0,3X0,3X0,3 M. AF_12/2020</v>
      </c>
      <c r="D500" s="111" t="str">
        <f ca="1">IF(OFFSET(PO!O$12,ROW(D500)-ROW(D$12),0)=0,"",OFFSET(PO!O$12,ROW(D500)-ROW(D$12),0))</f>
        <v>UN</v>
      </c>
      <c r="E500" s="140">
        <f ca="1">IF($A500&lt;&gt;"Serviço",0,ROUND(SUMIF($F$9:$P$9,"&lt;&gt;",$F500:$P500),15-13*PO!$X$3))</f>
        <v>4</v>
      </c>
      <c r="F500" s="361">
        <f ca="1">OFFSET(PO!$P$12,ROW($E500)-ROW(F$12),0)</f>
        <v>4</v>
      </c>
      <c r="G500" s="361"/>
      <c r="H500" s="361"/>
      <c r="I500" s="361"/>
      <c r="J500" s="361"/>
      <c r="K500" s="361"/>
      <c r="L500" s="361"/>
      <c r="M500" s="361"/>
      <c r="N500" s="361"/>
      <c r="O500" s="361"/>
      <c r="U500" s="182"/>
    </row>
    <row r="501" spans="1:21" s="1" customFormat="1" ht="39.6" x14ac:dyDescent="0.25">
      <c r="A501" s="110" t="str">
        <f ca="1">OFFSET(PO!J$12,ROW(A501)-ROW($A$12),0)</f>
        <v>Serviço</v>
      </c>
      <c r="B501" s="112" t="str">
        <f ca="1">IF($A501=0,"",OFFSET(PO!K$12,ROW(B501)-ROW(B$12),0))</f>
        <v>20.2.0.2.</v>
      </c>
      <c r="C501" s="109" t="str">
        <f ca="1">IF(OFFSET(PO!N$12,ROW(C501)-ROW(C$12),0)=0,"",OFFSET(PO!N$12,ROW(C501)-ROW(C$12),0))</f>
        <v>CAIXA RETANGULAR 4" X 2" MÉDIA (1,30 M DO PISO), PVC, INSTALADA EM PAREDE - FORNECIMENTO E INSTALAÇÃO. AF_03/2023</v>
      </c>
      <c r="D501" s="111" t="str">
        <f ca="1">IF(OFFSET(PO!O$12,ROW(D501)-ROW(D$12),0)=0,"",OFFSET(PO!O$12,ROW(D501)-ROW(D$12),0))</f>
        <v>UN</v>
      </c>
      <c r="E501" s="140">
        <f ca="1">IF($A501&lt;&gt;"Serviço",0,ROUND(SUMIF($F$9:$P$9,"&lt;&gt;",$F501:$P501),15-13*PO!$X$3))</f>
        <v>27</v>
      </c>
      <c r="F501" s="361">
        <f ca="1">OFFSET(PO!$P$12,ROW($E501)-ROW(F$12),0)</f>
        <v>27</v>
      </c>
      <c r="G501" s="361"/>
      <c r="H501" s="361"/>
      <c r="I501" s="361"/>
      <c r="J501" s="361"/>
      <c r="K501" s="361"/>
      <c r="L501" s="361"/>
      <c r="M501" s="361"/>
      <c r="N501" s="361"/>
      <c r="O501" s="361"/>
      <c r="U501" s="182"/>
    </row>
    <row r="502" spans="1:21" s="1" customFormat="1" x14ac:dyDescent="0.25">
      <c r="A502" s="110" t="str">
        <f ca="1">OFFSET(PO!J$12,ROW(A502)-ROW($A$12),0)</f>
        <v>Nível 2</v>
      </c>
      <c r="B502" s="112" t="str">
        <f ca="1">IF($A502=0,"",OFFSET(PO!K$12,ROW(B502)-ROW(B$12),0))</f>
        <v>20.3.</v>
      </c>
      <c r="C502" s="109" t="str">
        <f ca="1">IF(OFFSET(PO!N$12,ROW(C502)-ROW(C$12),0)=0,"",OFFSET(PO!N$12,ROW(C502)-ROW(C$12),0))</f>
        <v>DISPOSITIVOS</v>
      </c>
      <c r="D502" s="111" t="str">
        <f ca="1">IF(OFFSET(PO!O$12,ROW(D502)-ROW(D$12),0)=0,"",OFFSET(PO!O$12,ROW(D502)-ROW(D$12),0))</f>
        <v/>
      </c>
      <c r="E502" s="140">
        <f ca="1">IF($A502&lt;&gt;"Serviço",0,ROUND(SUMIF($F$9:$P$9,"&lt;&gt;",$F502:$P502),15-13*PO!$X$3))</f>
        <v>0</v>
      </c>
      <c r="F502" s="361">
        <f ca="1">OFFSET(PO!$P$12,ROW($E502)-ROW(F$12),0)</f>
        <v>0</v>
      </c>
      <c r="G502" s="361"/>
      <c r="H502" s="361"/>
      <c r="I502" s="361"/>
      <c r="J502" s="361"/>
      <c r="K502" s="361"/>
      <c r="L502" s="361"/>
      <c r="M502" s="361"/>
      <c r="N502" s="361"/>
      <c r="O502" s="361"/>
      <c r="U502" s="182"/>
    </row>
    <row r="503" spans="1:21" s="1" customFormat="1" ht="26.4" x14ac:dyDescent="0.25">
      <c r="A503" s="110" t="str">
        <f ca="1">OFFSET(PO!J$12,ROW(A503)-ROW($A$12),0)</f>
        <v>Serviço</v>
      </c>
      <c r="B503" s="112" t="str">
        <f ca="1">IF($A503=0,"",OFFSET(PO!K$12,ROW(B503)-ROW(B$12),0))</f>
        <v>20.3.0.1.</v>
      </c>
      <c r="C503" s="109" t="str">
        <f ca="1">IF(OFFSET(PO!N$12,ROW(C503)-ROW(C$12),0)=0,"",OFFSET(PO!N$12,ROW(C503)-ROW(C$12),0))</f>
        <v>TOMADA DE REDE RJ45 - FORNECIMENTO E INSTALAÇÃO. AF_11/2019</v>
      </c>
      <c r="D503" s="111" t="str">
        <f ca="1">IF(OFFSET(PO!O$12,ROW(D503)-ROW(D$12),0)=0,"",OFFSET(PO!O$12,ROW(D503)-ROW(D$12),0))</f>
        <v>UN</v>
      </c>
      <c r="E503" s="140">
        <f ca="1">IF($A503&lt;&gt;"Serviço",0,ROUND(SUMIF($F$9:$P$9,"&lt;&gt;",$F503:$P503),15-13*PO!$X$3))</f>
        <v>19</v>
      </c>
      <c r="F503" s="361">
        <f ca="1">OFFSET(PO!$P$12,ROW($E503)-ROW(F$12),0)</f>
        <v>19</v>
      </c>
      <c r="G503" s="361"/>
      <c r="H503" s="361"/>
      <c r="I503" s="361"/>
      <c r="J503" s="361"/>
      <c r="K503" s="361"/>
      <c r="L503" s="361"/>
      <c r="M503" s="361"/>
      <c r="N503" s="361"/>
      <c r="O503" s="361"/>
      <c r="U503" s="182"/>
    </row>
    <row r="504" spans="1:21" s="1" customFormat="1" ht="26.4" x14ac:dyDescent="0.25">
      <c r="A504" s="110" t="str">
        <f ca="1">OFFSET(PO!J$12,ROW(A504)-ROW($A$12),0)</f>
        <v>Serviço</v>
      </c>
      <c r="B504" s="112" t="str">
        <f ca="1">IF($A504=0,"",OFFSET(PO!K$12,ROW(B504)-ROW(B$12),0))</f>
        <v>20.3.0.2.</v>
      </c>
      <c r="C504" s="109" t="str">
        <f ca="1">IF(OFFSET(PO!N$12,ROW(C504)-ROW(C$12),0)=0,"",OFFSET(PO!N$12,ROW(C504)-ROW(C$12),0))</f>
        <v>TOMADA PARA ANTENA DE TV, CABO COAXIAL DE 9 MM FORNECIMENTO E INSTALAÇÃO</v>
      </c>
      <c r="D504" s="111" t="str">
        <f ca="1">IF(OFFSET(PO!O$12,ROW(D504)-ROW(D$12),0)=0,"",OFFSET(PO!O$12,ROW(D504)-ROW(D$12),0))</f>
        <v>UN</v>
      </c>
      <c r="E504" s="140">
        <f ca="1">IF($A504&lt;&gt;"Serviço",0,ROUND(SUMIF($F$9:$P$9,"&lt;&gt;",$F504:$P504),15-13*PO!$X$3))</f>
        <v>8</v>
      </c>
      <c r="F504" s="361">
        <f ca="1">OFFSET(PO!$P$12,ROW($E504)-ROW(F$12),0)</f>
        <v>8</v>
      </c>
      <c r="G504" s="361"/>
      <c r="H504" s="361"/>
      <c r="I504" s="361"/>
      <c r="J504" s="361"/>
      <c r="K504" s="361"/>
      <c r="L504" s="361"/>
      <c r="M504" s="361"/>
      <c r="N504" s="361"/>
      <c r="O504" s="361"/>
      <c r="U504" s="182"/>
    </row>
    <row r="505" spans="1:21" s="1" customFormat="1" x14ac:dyDescent="0.25">
      <c r="A505" s="110" t="str">
        <f ca="1">OFFSET(PO!J$12,ROW(A505)-ROW($A$12),0)</f>
        <v>Serviço</v>
      </c>
      <c r="B505" s="112" t="str">
        <f ca="1">IF($A505=0,"",OFFSET(PO!K$12,ROW(B505)-ROW(B$12),0))</f>
        <v>20.3.0.3.</v>
      </c>
      <c r="C505" s="109" t="str">
        <f ca="1">IF(OFFSET(PO!N$12,ROW(C505)-ROW(C$12),0)=0,"",OFFSET(PO!N$12,ROW(C505)-ROW(C$12),0))</f>
        <v>TERMINAL A COMPRESSÃO</v>
      </c>
      <c r="D505" s="111" t="str">
        <f ca="1">IF(OFFSET(PO!O$12,ROW(D505)-ROW(D$12),0)=0,"",OFFSET(PO!O$12,ROW(D505)-ROW(D$12),0))</f>
        <v>UN</v>
      </c>
      <c r="E505" s="140">
        <f ca="1">IF($A505&lt;&gt;"Serviço",0,ROUND(SUMIF($F$9:$P$9,"&lt;&gt;",$F505:$P505),15-13*PO!$X$3))</f>
        <v>10</v>
      </c>
      <c r="F505" s="361">
        <f ca="1">OFFSET(PO!$P$12,ROW($E505)-ROW(F$12),0)</f>
        <v>10</v>
      </c>
      <c r="G505" s="361"/>
      <c r="H505" s="361"/>
      <c r="I505" s="361"/>
      <c r="J505" s="361"/>
      <c r="K505" s="361"/>
      <c r="L505" s="361"/>
      <c r="M505" s="361"/>
      <c r="N505" s="361"/>
      <c r="O505" s="361"/>
      <c r="U505" s="182"/>
    </row>
    <row r="506" spans="1:21" s="1" customFormat="1" x14ac:dyDescent="0.25">
      <c r="A506" s="110" t="str">
        <f ca="1">OFFSET(PO!J$12,ROW(A506)-ROW($A$12),0)</f>
        <v>Nível 2</v>
      </c>
      <c r="B506" s="112" t="str">
        <f ca="1">IF($A506=0,"",OFFSET(PO!K$12,ROW(B506)-ROW(B$12),0))</f>
        <v>20.4.</v>
      </c>
      <c r="C506" s="109" t="str">
        <f ca="1">IF(OFFSET(PO!N$12,ROW(C506)-ROW(C$12),0)=0,"",OFFSET(PO!N$12,ROW(C506)-ROW(C$12),0))</f>
        <v>ELETROCALHAS E ELETODUTOS</v>
      </c>
      <c r="D506" s="111" t="str">
        <f ca="1">IF(OFFSET(PO!O$12,ROW(D506)-ROW(D$12),0)=0,"",OFFSET(PO!O$12,ROW(D506)-ROW(D$12),0))</f>
        <v/>
      </c>
      <c r="E506" s="140">
        <f ca="1">IF($A506&lt;&gt;"Serviço",0,ROUND(SUMIF($F$9:$P$9,"&lt;&gt;",$F506:$P506),15-13*PO!$X$3))</f>
        <v>0</v>
      </c>
      <c r="F506" s="361">
        <f ca="1">OFFSET(PO!$P$12,ROW($E506)-ROW(F$12),0)</f>
        <v>0</v>
      </c>
      <c r="G506" s="361"/>
      <c r="H506" s="361"/>
      <c r="I506" s="361"/>
      <c r="J506" s="361"/>
      <c r="K506" s="361"/>
      <c r="L506" s="361"/>
      <c r="M506" s="361"/>
      <c r="N506" s="361"/>
      <c r="O506" s="361"/>
      <c r="U506" s="182"/>
    </row>
    <row r="507" spans="1:21" s="1" customFormat="1" ht="39.6" x14ac:dyDescent="0.25">
      <c r="A507" s="110" t="str">
        <f ca="1">OFFSET(PO!J$12,ROW(A507)-ROW($A$12),0)</f>
        <v>Serviço</v>
      </c>
      <c r="B507" s="112" t="str">
        <f ca="1">IF($A507=0,"",OFFSET(PO!K$12,ROW(B507)-ROW(B$12),0))</f>
        <v>20.4.0.1.</v>
      </c>
      <c r="C507" s="109" t="str">
        <f ca="1">IF(OFFSET(PO!N$12,ROW(C507)-ROW(C$12),0)=0,"",OFFSET(PO!N$12,ROW(C507)-ROW(C$12),0))</f>
        <v>ELETROCALHA LISA OU PERFURADA EM AÇO GALVANIZADO, LARGURA  100MM E ALTURA 50MM, INCLUSIVE EMENDA E FIXAÇÃO - FORNECIMENTO E INSTALAÇÃO.</v>
      </c>
      <c r="D507" s="111" t="str">
        <f ca="1">IF(OFFSET(PO!O$12,ROW(D507)-ROW(D$12),0)=0,"",OFFSET(PO!O$12,ROW(D507)-ROW(D$12),0))</f>
        <v>M</v>
      </c>
      <c r="E507" s="140">
        <f ca="1">IF($A507&lt;&gt;"Serviço",0,ROUND(SUMIF($F$9:$P$9,"&lt;&gt;",$F507:$P507),15-13*PO!$X$3))</f>
        <v>51.65</v>
      </c>
      <c r="F507" s="361">
        <f ca="1">OFFSET(PO!$P$12,ROW($E507)-ROW(F$12),0)</f>
        <v>51.65</v>
      </c>
      <c r="G507" s="361"/>
      <c r="H507" s="361"/>
      <c r="I507" s="361"/>
      <c r="J507" s="361"/>
      <c r="K507" s="361"/>
      <c r="L507" s="361"/>
      <c r="M507" s="361"/>
      <c r="N507" s="361"/>
      <c r="O507" s="361"/>
      <c r="U507" s="182"/>
    </row>
    <row r="508" spans="1:21" s="1" customFormat="1" ht="39.6" x14ac:dyDescent="0.25">
      <c r="A508" s="110" t="str">
        <f ca="1">OFFSET(PO!J$12,ROW(A508)-ROW($A$12),0)</f>
        <v>Serviço</v>
      </c>
      <c r="B508" s="112" t="str">
        <f ca="1">IF($A508=0,"",OFFSET(PO!K$12,ROW(B508)-ROW(B$12),0))</f>
        <v>20.4.0.2.</v>
      </c>
      <c r="C508" s="109" t="str">
        <f ca="1">IF(OFFSET(PO!N$12,ROW(C508)-ROW(C$12),0)=0,"",OFFSET(PO!N$12,ROW(C508)-ROW(C$12),0))</f>
        <v>ELETRODUTO FLEXÍVEL CORRUGADO REFORÇADO, PVC, DN 32 MM (1"), PARA CIRCUITOS TERMINAIS, INSTALADO EM FORRO - FORNECIMENTO E INSTALAÇÃO. AF_03/2023_PA</v>
      </c>
      <c r="D508" s="111" t="str">
        <f ca="1">IF(OFFSET(PO!O$12,ROW(D508)-ROW(D$12),0)=0,"",OFFSET(PO!O$12,ROW(D508)-ROW(D$12),0))</f>
        <v>M</v>
      </c>
      <c r="E508" s="140">
        <f ca="1">IF($A508&lt;&gt;"Serviço",0,ROUND(SUMIF($F$9:$P$9,"&lt;&gt;",$F508:$P508),15-13*PO!$X$3))</f>
        <v>15.2</v>
      </c>
      <c r="F508" s="361">
        <f ca="1">OFFSET(PO!$P$12,ROW($E508)-ROW(F$12),0)</f>
        <v>15.2</v>
      </c>
      <c r="G508" s="361"/>
      <c r="H508" s="361"/>
      <c r="I508" s="361"/>
      <c r="J508" s="361"/>
      <c r="K508" s="361"/>
      <c r="L508" s="361"/>
      <c r="M508" s="361"/>
      <c r="N508" s="361"/>
      <c r="O508" s="361"/>
      <c r="U508" s="182"/>
    </row>
    <row r="509" spans="1:21" s="1" customFormat="1" ht="39.6" x14ac:dyDescent="0.25">
      <c r="A509" s="110" t="str">
        <f ca="1">OFFSET(PO!J$12,ROW(A509)-ROW($A$12),0)</f>
        <v>Serviço</v>
      </c>
      <c r="B509" s="112" t="str">
        <f ca="1">IF($A509=0,"",OFFSET(PO!K$12,ROW(B509)-ROW(B$12),0))</f>
        <v>20.4.0.3.</v>
      </c>
      <c r="C509" s="109" t="str">
        <f ca="1">IF(OFFSET(PO!N$12,ROW(C509)-ROW(C$12),0)=0,"",OFFSET(PO!N$12,ROW(C509)-ROW(C$12),0))</f>
        <v>ELETRODUTO FLEXÍVEL CORRUGADO REFORÇADO, PVC, DN 25 MM (3/4"), PARA CIRCUITOS TERMINAIS, INSTALADO EM FORRO - FORNECIMENTO E INSTALAÇÃO. AF_03/2023_PA</v>
      </c>
      <c r="D509" s="111" t="str">
        <f ca="1">IF(OFFSET(PO!O$12,ROW(D509)-ROW(D$12),0)=0,"",OFFSET(PO!O$12,ROW(D509)-ROW(D$12),0))</f>
        <v>M</v>
      </c>
      <c r="E509" s="140">
        <f ca="1">IF($A509&lt;&gt;"Serviço",0,ROUND(SUMIF($F$9:$P$9,"&lt;&gt;",$F509:$P509),15-13*PO!$X$3))</f>
        <v>112.05</v>
      </c>
      <c r="F509" s="361">
        <f ca="1">OFFSET(PO!$P$12,ROW($E509)-ROW(F$12),0)</f>
        <v>112.05</v>
      </c>
      <c r="G509" s="361"/>
      <c r="H509" s="361"/>
      <c r="I509" s="361"/>
      <c r="J509" s="361"/>
      <c r="K509" s="361"/>
      <c r="L509" s="361"/>
      <c r="M509" s="361"/>
      <c r="N509" s="361"/>
      <c r="O509" s="361"/>
      <c r="U509" s="182"/>
    </row>
    <row r="510" spans="1:21" s="1" customFormat="1" ht="39.6" x14ac:dyDescent="0.25">
      <c r="A510" s="110" t="str">
        <f ca="1">OFFSET(PO!J$12,ROW(A510)-ROW($A$12),0)</f>
        <v>Serviço</v>
      </c>
      <c r="B510" s="112" t="str">
        <f ca="1">IF($A510=0,"",OFFSET(PO!K$12,ROW(B510)-ROW(B$12),0))</f>
        <v>20.4.0.4.</v>
      </c>
      <c r="C510" s="109" t="str">
        <f ca="1">IF(OFFSET(PO!N$12,ROW(C510)-ROW(C$12),0)=0,"",OFFSET(PO!N$12,ROW(C510)-ROW(C$12),0))</f>
        <v>ELETRODUTO RÍGIDO ROSCÁVEL, PVC, DN 40 MM (1 1/4"), PARA CIRCUITOS TERMINAIS, INSTALADO EM FORRO - FORNECIMENTO E INSTALAÇÃO. AF_03/2023</v>
      </c>
      <c r="D510" s="111" t="str">
        <f ca="1">IF(OFFSET(PO!O$12,ROW(D510)-ROW(D$12),0)=0,"",OFFSET(PO!O$12,ROW(D510)-ROW(D$12),0))</f>
        <v>M</v>
      </c>
      <c r="E510" s="140">
        <f ca="1">IF($A510&lt;&gt;"Serviço",0,ROUND(SUMIF($F$9:$P$9,"&lt;&gt;",$F510:$P510),15-13*PO!$X$3))</f>
        <v>4.8</v>
      </c>
      <c r="F510" s="361">
        <f ca="1">OFFSET(PO!$P$12,ROW($E510)-ROW(F$12),0)</f>
        <v>4.8</v>
      </c>
      <c r="G510" s="361"/>
      <c r="H510" s="361"/>
      <c r="I510" s="361"/>
      <c r="J510" s="361"/>
      <c r="K510" s="361"/>
      <c r="L510" s="361"/>
      <c r="M510" s="361"/>
      <c r="N510" s="361"/>
      <c r="O510" s="361"/>
      <c r="U510" s="182"/>
    </row>
    <row r="511" spans="1:21" s="1" customFormat="1" ht="26.4" x14ac:dyDescent="0.25">
      <c r="A511" s="110" t="str">
        <f ca="1">OFFSET(PO!J$12,ROW(A511)-ROW($A$12),0)</f>
        <v>Serviço</v>
      </c>
      <c r="B511" s="112" t="str">
        <f ca="1">IF($A511=0,"",OFFSET(PO!K$12,ROW(B511)-ROW(B$12),0))</f>
        <v>20.4.0.5.</v>
      </c>
      <c r="C511" s="109" t="str">
        <f ca="1">IF(OFFSET(PO!N$12,ROW(C511)-ROW(C$12),0)=0,"",OFFSET(PO!N$12,ROW(C511)-ROW(C$12),0))</f>
        <v>CABECOTE PARA ENTRADA DE LINHA DE ALIMENTACAO PARA ELETRODUTO</v>
      </c>
      <c r="D511" s="111" t="str">
        <f ca="1">IF(OFFSET(PO!O$12,ROW(D511)-ROW(D$12),0)=0,"",OFFSET(PO!O$12,ROW(D511)-ROW(D$12),0))</f>
        <v>U N</v>
      </c>
      <c r="E511" s="140">
        <f ca="1">IF($A511&lt;&gt;"Serviço",0,ROUND(SUMIF($F$9:$P$9,"&lt;&gt;",$F511:$P511),15-13*PO!$X$3))</f>
        <v>4</v>
      </c>
      <c r="F511" s="361">
        <f ca="1">OFFSET(PO!$P$12,ROW($E511)-ROW(F$12),0)</f>
        <v>4</v>
      </c>
      <c r="G511" s="361"/>
      <c r="H511" s="361"/>
      <c r="I511" s="361"/>
      <c r="J511" s="361"/>
      <c r="K511" s="361"/>
      <c r="L511" s="361"/>
      <c r="M511" s="361"/>
      <c r="N511" s="361"/>
      <c r="O511" s="361"/>
      <c r="U511" s="182"/>
    </row>
    <row r="512" spans="1:21" s="1" customFormat="1" ht="26.4" x14ac:dyDescent="0.25">
      <c r="A512" s="110" t="str">
        <f ca="1">OFFSET(PO!J$12,ROW(A512)-ROW($A$12),0)</f>
        <v>Serviço</v>
      </c>
      <c r="B512" s="112" t="str">
        <f ca="1">IF($A512=0,"",OFFSET(PO!K$12,ROW(B512)-ROW(B$12),0))</f>
        <v>20.4.0.6.</v>
      </c>
      <c r="C512" s="109" t="str">
        <f ca="1">IF(OFFSET(PO!N$12,ROW(C512)-ROW(C$12),0)=0,"",OFFSET(PO!N$12,ROW(C512)-ROW(C$12),0))</f>
        <v>ELETRODUTO RIGIDO, EM ACO ZINCADO OU GALVANIZADO, TIPO PESADO, DN=1", APARENTE - FORNECIMENTO E INSTALAÇÃO.</v>
      </c>
      <c r="D512" s="111" t="str">
        <f ca="1">IF(OFFSET(PO!O$12,ROW(D512)-ROW(D$12),0)=0,"",OFFSET(PO!O$12,ROW(D512)-ROW(D$12),0))</f>
        <v>M</v>
      </c>
      <c r="E512" s="140">
        <f ca="1">IF($A512&lt;&gt;"Serviço",0,ROUND(SUMIF($F$9:$P$9,"&lt;&gt;",$F512:$P512),15-13*PO!$X$3))</f>
        <v>55.2</v>
      </c>
      <c r="F512" s="361">
        <f ca="1">OFFSET(PO!$P$12,ROW($E512)-ROW(F$12),0)</f>
        <v>55.2</v>
      </c>
      <c r="G512" s="361"/>
      <c r="H512" s="361"/>
      <c r="I512" s="361"/>
      <c r="J512" s="361"/>
      <c r="K512" s="361"/>
      <c r="L512" s="361"/>
      <c r="M512" s="361"/>
      <c r="N512" s="361"/>
      <c r="O512" s="361"/>
      <c r="U512" s="182"/>
    </row>
    <row r="513" spans="1:21" s="1" customFormat="1" x14ac:dyDescent="0.25">
      <c r="A513" s="110" t="str">
        <f ca="1">OFFSET(PO!J$12,ROW(A513)-ROW($A$12),0)</f>
        <v>Nível 2</v>
      </c>
      <c r="B513" s="112" t="str">
        <f ca="1">IF($A513=0,"",OFFSET(PO!K$12,ROW(B513)-ROW(B$12),0))</f>
        <v>20.5.</v>
      </c>
      <c r="C513" s="109" t="str">
        <f ca="1">IF(OFFSET(PO!N$12,ROW(C513)-ROW(C$12),0)=0,"",OFFSET(PO!N$12,ROW(C513)-ROW(C$12),0))</f>
        <v>CABEAMENTO</v>
      </c>
      <c r="D513" s="111" t="str">
        <f ca="1">IF(OFFSET(PO!O$12,ROW(D513)-ROW(D$12),0)=0,"",OFFSET(PO!O$12,ROW(D513)-ROW(D$12),0))</f>
        <v/>
      </c>
      <c r="E513" s="140">
        <f ca="1">IF($A513&lt;&gt;"Serviço",0,ROUND(SUMIF($F$9:$P$9,"&lt;&gt;",$F513:$P513),15-13*PO!$X$3))</f>
        <v>0</v>
      </c>
      <c r="F513" s="361">
        <f ca="1">OFFSET(PO!$P$12,ROW($E513)-ROW(F$12),0)</f>
        <v>0</v>
      </c>
      <c r="G513" s="361"/>
      <c r="H513" s="361"/>
      <c r="I513" s="361"/>
      <c r="J513" s="361"/>
      <c r="K513" s="361"/>
      <c r="L513" s="361"/>
      <c r="M513" s="361"/>
      <c r="N513" s="361"/>
      <c r="O513" s="361"/>
      <c r="U513" s="182"/>
    </row>
    <row r="514" spans="1:21" s="1" customFormat="1" ht="26.4" x14ac:dyDescent="0.25">
      <c r="A514" s="110" t="str">
        <f ca="1">OFFSET(PO!J$12,ROW(A514)-ROW($A$12),0)</f>
        <v>Serviço</v>
      </c>
      <c r="B514" s="112" t="str">
        <f ca="1">IF($A514=0,"",OFFSET(PO!K$12,ROW(B514)-ROW(B$12),0))</f>
        <v>20.5.0.1.</v>
      </c>
      <c r="C514" s="109" t="str">
        <f ca="1">IF(OFFSET(PO!N$12,ROW(C514)-ROW(C$12),0)=0,"",OFFSET(PO!N$12,ROW(C514)-ROW(C$12),0))</f>
        <v>CABO ELETRÔNICO CATEGORIA 6, INSTALADO EM EDIFICAÇÃO INSTITUCIONAL - FORNECIMENTO E INSTALAÇÃO. AF_11/2019</v>
      </c>
      <c r="D514" s="111" t="str">
        <f ca="1">IF(OFFSET(PO!O$12,ROW(D514)-ROW(D$12),0)=0,"",OFFSET(PO!O$12,ROW(D514)-ROW(D$12),0))</f>
        <v>M</v>
      </c>
      <c r="E514" s="140">
        <f ca="1">IF($A514&lt;&gt;"Serviço",0,ROUND(SUMIF($F$9:$P$9,"&lt;&gt;",$F514:$P514),15-13*PO!$X$3))</f>
        <v>579</v>
      </c>
      <c r="F514" s="361">
        <f ca="1">OFFSET(PO!$P$12,ROW($E514)-ROW(F$12),0)</f>
        <v>579</v>
      </c>
      <c r="G514" s="361"/>
      <c r="H514" s="361"/>
      <c r="I514" s="361"/>
      <c r="J514" s="361"/>
      <c r="K514" s="361"/>
      <c r="L514" s="361"/>
      <c r="M514" s="361"/>
      <c r="N514" s="361"/>
      <c r="O514" s="361"/>
      <c r="U514" s="182"/>
    </row>
    <row r="515" spans="1:21" s="1" customFormat="1" ht="26.4" x14ac:dyDescent="0.25">
      <c r="A515" s="110" t="str">
        <f ca="1">OFFSET(PO!J$12,ROW(A515)-ROW($A$12),0)</f>
        <v>Serviço</v>
      </c>
      <c r="B515" s="112" t="str">
        <f ca="1">IF($A515=0,"",OFFSET(PO!K$12,ROW(B515)-ROW(B$12),0))</f>
        <v>20.5.0.2.</v>
      </c>
      <c r="C515" s="109" t="str">
        <f ca="1">IF(OFFSET(PO!N$12,ROW(C515)-ROW(C$12),0)=0,"",OFFSET(PO!N$12,ROW(C515)-ROW(C$12),0))</f>
        <v>CABO COAXIAL RG59 95% - FORNECIMENTO E INSTALAÇÃO. AF_11/2019</v>
      </c>
      <c r="D515" s="111" t="str">
        <f ca="1">IF(OFFSET(PO!O$12,ROW(D515)-ROW(D$12),0)=0,"",OFFSET(PO!O$12,ROW(D515)-ROW(D$12),0))</f>
        <v>M</v>
      </c>
      <c r="E515" s="140">
        <f ca="1">IF($A515&lt;&gt;"Serviço",0,ROUND(SUMIF($F$9:$P$9,"&lt;&gt;",$F515:$P515),15-13*PO!$X$3))</f>
        <v>113</v>
      </c>
      <c r="F515" s="361">
        <f ca="1">OFFSET(PO!$P$12,ROW($E515)-ROW(F$12),0)</f>
        <v>113</v>
      </c>
      <c r="G515" s="361"/>
      <c r="H515" s="361"/>
      <c r="I515" s="361"/>
      <c r="J515" s="361"/>
      <c r="K515" s="361"/>
      <c r="L515" s="361"/>
      <c r="M515" s="361"/>
      <c r="N515" s="361"/>
      <c r="O515" s="361"/>
      <c r="U515" s="182"/>
    </row>
    <row r="516" spans="1:21" s="1" customFormat="1" x14ac:dyDescent="0.25">
      <c r="A516" s="110" t="str">
        <f ca="1">OFFSET(PO!J$12,ROW(A516)-ROW($A$12),0)</f>
        <v>Meta</v>
      </c>
      <c r="B516" s="112" t="str">
        <f ca="1">IF($A516=0,"",OFFSET(PO!K$12,ROW(B516)-ROW(B$12),0))</f>
        <v>21.</v>
      </c>
      <c r="C516" s="109" t="str">
        <f ca="1">IF(OFFSET(PO!N$12,ROW(C516)-ROW(C$12),0)=0,"",OFFSET(PO!N$12,ROW(C516)-ROW(C$12),0))</f>
        <v>SISTEMA DE EXAUSTÃO MECANICA</v>
      </c>
      <c r="D516" s="111" t="str">
        <f ca="1">IF(OFFSET(PO!O$12,ROW(D516)-ROW(D$12),0)=0,"",OFFSET(PO!O$12,ROW(D516)-ROW(D$12),0))</f>
        <v/>
      </c>
      <c r="E516" s="140">
        <f ca="1">IF($A516&lt;&gt;"Serviço",0,ROUND(SUMIF($F$9:$P$9,"&lt;&gt;",$F516:$P516),15-13*PO!$X$3))</f>
        <v>0</v>
      </c>
      <c r="F516" s="361">
        <f ca="1">OFFSET(PO!$P$12,ROW($E516)-ROW(F$12),0)</f>
        <v>0</v>
      </c>
      <c r="G516" s="361"/>
      <c r="H516" s="361"/>
      <c r="I516" s="361"/>
      <c r="J516" s="361"/>
      <c r="K516" s="361"/>
      <c r="L516" s="361"/>
      <c r="M516" s="361"/>
      <c r="N516" s="361"/>
      <c r="O516" s="361"/>
      <c r="U516" s="182"/>
    </row>
    <row r="517" spans="1:21" s="1" customFormat="1" x14ac:dyDescent="0.25">
      <c r="A517" s="110" t="str">
        <f ca="1">OFFSET(PO!J$12,ROW(A517)-ROW($A$12),0)</f>
        <v>Serviço</v>
      </c>
      <c r="B517" s="112" t="str">
        <f ca="1">IF($A517=0,"",OFFSET(PO!K$12,ROW(B517)-ROW(B$12),0))</f>
        <v>21.0.0.1.</v>
      </c>
      <c r="C517" s="109" t="str">
        <f ca="1">IF(OFFSET(PO!N$12,ROW(C517)-ROW(C$12),0)=0,"",OFFSET(PO!N$12,ROW(C517)-ROW(C$12),0))</f>
        <v>DUTO DE ALONGAMENTO PARA EXAUSTOR</v>
      </c>
      <c r="D517" s="111" t="str">
        <f ca="1">IF(OFFSET(PO!O$12,ROW(D517)-ROW(D$12),0)=0,"",OFFSET(PO!O$12,ROW(D517)-ROW(D$12),0))</f>
        <v>M</v>
      </c>
      <c r="E517" s="140">
        <f ca="1">IF($A517&lt;&gt;"Serviço",0,ROUND(SUMIF($F$9:$P$9,"&lt;&gt;",$F517:$P517),15-13*PO!$X$3))</f>
        <v>4</v>
      </c>
      <c r="F517" s="361">
        <f ca="1">OFFSET(PO!$P$12,ROW($E517)-ROW(F$12),0)</f>
        <v>4</v>
      </c>
      <c r="G517" s="361"/>
      <c r="H517" s="361"/>
      <c r="I517" s="361"/>
      <c r="J517" s="361"/>
      <c r="K517" s="361"/>
      <c r="L517" s="361"/>
      <c r="M517" s="361"/>
      <c r="N517" s="361"/>
      <c r="O517" s="361"/>
      <c r="U517" s="182"/>
    </row>
    <row r="518" spans="1:21" s="1" customFormat="1" x14ac:dyDescent="0.25">
      <c r="A518" s="110" t="str">
        <f ca="1">OFFSET(PO!J$12,ROW(A518)-ROW($A$12),0)</f>
        <v>Serviço</v>
      </c>
      <c r="B518" s="112" t="str">
        <f ca="1">IF($A518=0,"",OFFSET(PO!K$12,ROW(B518)-ROW(B$12),0))</f>
        <v>21.0.0.2.</v>
      </c>
      <c r="C518" s="109" t="str">
        <f ca="1">IF(OFFSET(PO!N$12,ROW(C518)-ROW(C$12),0)=0,"",OFFSET(PO!N$12,ROW(C518)-ROW(C$12),0))</f>
        <v>COIFA EM AÇO INOX 100CM X 150CM</v>
      </c>
      <c r="D518" s="111" t="str">
        <f ca="1">IF(OFFSET(PO!O$12,ROW(D518)-ROW(D$12),0)=0,"",OFFSET(PO!O$12,ROW(D518)-ROW(D$12),0))</f>
        <v>un</v>
      </c>
      <c r="E518" s="140">
        <f ca="1">IF($A518&lt;&gt;"Serviço",0,ROUND(SUMIF($F$9:$P$9,"&lt;&gt;",$F518:$P518),15-13*PO!$X$3))</f>
        <v>1</v>
      </c>
      <c r="F518" s="361">
        <f ca="1">OFFSET(PO!$P$12,ROW($E518)-ROW(F$12),0)</f>
        <v>1</v>
      </c>
      <c r="G518" s="361"/>
      <c r="H518" s="361"/>
      <c r="I518" s="361"/>
      <c r="J518" s="361"/>
      <c r="K518" s="361"/>
      <c r="L518" s="361"/>
      <c r="M518" s="361"/>
      <c r="N518" s="361"/>
      <c r="O518" s="361"/>
      <c r="U518" s="182"/>
    </row>
    <row r="519" spans="1:21" s="1" customFormat="1" ht="26.4" x14ac:dyDescent="0.25">
      <c r="A519" s="110" t="str">
        <f ca="1">OFFSET(PO!J$12,ROW(A519)-ROW($A$12),0)</f>
        <v>Meta</v>
      </c>
      <c r="B519" s="112" t="str">
        <f ca="1">IF($A519=0,"",OFFSET(PO!K$12,ROW(B519)-ROW(B$12),0))</f>
        <v>22.</v>
      </c>
      <c r="C519" s="109" t="str">
        <f ca="1">IF(OFFSET(PO!N$12,ROW(C519)-ROW(C$12),0)=0,"",OFFSET(PO!N$12,ROW(C519)-ROW(C$12),0))</f>
        <v>SISTEMA DE PROTEÇÃO CONTRA DESCARGAS ATMOSFÉRICAS - SPDA</v>
      </c>
      <c r="D519" s="111" t="str">
        <f ca="1">IF(OFFSET(PO!O$12,ROW(D519)-ROW(D$12),0)=0,"",OFFSET(PO!O$12,ROW(D519)-ROW(D$12),0))</f>
        <v/>
      </c>
      <c r="E519" s="140">
        <f ca="1">IF($A519&lt;&gt;"Serviço",0,ROUND(SUMIF($F$9:$P$9,"&lt;&gt;",$F519:$P519),15-13*PO!$X$3))</f>
        <v>0</v>
      </c>
      <c r="F519" s="361">
        <f ca="1">OFFSET(PO!$P$12,ROW($E519)-ROW(F$12),0)</f>
        <v>0</v>
      </c>
      <c r="G519" s="361"/>
      <c r="H519" s="361"/>
      <c r="I519" s="361"/>
      <c r="J519" s="361"/>
      <c r="K519" s="361"/>
      <c r="L519" s="361"/>
      <c r="M519" s="361"/>
      <c r="N519" s="361"/>
      <c r="O519" s="361"/>
      <c r="U519" s="182"/>
    </row>
    <row r="520" spans="1:21" s="1" customFormat="1" ht="26.4" x14ac:dyDescent="0.25">
      <c r="A520" s="110" t="str">
        <f ca="1">OFFSET(PO!J$12,ROW(A520)-ROW($A$12),0)</f>
        <v>Serviço</v>
      </c>
      <c r="B520" s="112" t="str">
        <f ca="1">IF($A520=0,"",OFFSET(PO!K$12,ROW(B520)-ROW(B$12),0))</f>
        <v>22.0.0.1.</v>
      </c>
      <c r="C520" s="109" t="str">
        <f ca="1">IF(OFFSET(PO!N$12,ROW(C520)-ROW(C$12),0)=0,"",OFFSET(PO!N$12,ROW(C520)-ROW(C$12),0))</f>
        <v>CAPTOR TIPO FRANKLIN PARA SPDA - FORNECIMENTO E INSTALAÇÃO. AF_08/2023</v>
      </c>
      <c r="D520" s="111" t="str">
        <f ca="1">IF(OFFSET(PO!O$12,ROW(D520)-ROW(D$12),0)=0,"",OFFSET(PO!O$12,ROW(D520)-ROW(D$12),0))</f>
        <v>UN</v>
      </c>
      <c r="E520" s="140">
        <f ca="1">IF($A520&lt;&gt;"Serviço",0,ROUND(SUMIF($F$9:$P$9,"&lt;&gt;",$F520:$P520),15-13*PO!$X$3))</f>
        <v>1</v>
      </c>
      <c r="F520" s="361">
        <f ca="1">OFFSET(PO!$P$12,ROW($E520)-ROW(F$12),0)</f>
        <v>1</v>
      </c>
      <c r="G520" s="361"/>
      <c r="H520" s="361"/>
      <c r="I520" s="361"/>
      <c r="J520" s="361"/>
      <c r="K520" s="361"/>
      <c r="L520" s="361"/>
      <c r="M520" s="361"/>
      <c r="N520" s="361"/>
      <c r="O520" s="361"/>
      <c r="U520" s="182"/>
    </row>
    <row r="521" spans="1:21" s="1" customFormat="1" ht="26.4" x14ac:dyDescent="0.25">
      <c r="A521" s="110" t="str">
        <f ca="1">OFFSET(PO!J$12,ROW(A521)-ROW($A$12),0)</f>
        <v>Serviço</v>
      </c>
      <c r="B521" s="112" t="str">
        <f ca="1">IF($A521=0,"",OFFSET(PO!K$12,ROW(B521)-ROW(B$12),0))</f>
        <v>22.0.0.2.</v>
      </c>
      <c r="C521" s="109" t="str">
        <f ca="1">IF(OFFSET(PO!N$12,ROW(C521)-ROW(C$12),0)=0,"",OFFSET(PO!N$12,ROW(C521)-ROW(C$12),0))</f>
        <v>ARMAÇÃO UTILIZANDO AÇO CA-25 DE 10,0 MM - MONTAGEM. AF_06/2022</v>
      </c>
      <c r="D521" s="111" t="str">
        <f ca="1">IF(OFFSET(PO!O$12,ROW(D521)-ROW(D$12),0)=0,"",OFFSET(PO!O$12,ROW(D521)-ROW(D$12),0))</f>
        <v>KG</v>
      </c>
      <c r="E521" s="140">
        <f ca="1">IF($A521&lt;&gt;"Serviço",0,ROUND(SUMIF($F$9:$P$9,"&lt;&gt;",$F521:$P521),15-13*PO!$X$3))</f>
        <v>45</v>
      </c>
      <c r="F521" s="361">
        <f ca="1">OFFSET(PO!$P$12,ROW($E521)-ROW(F$12),0)</f>
        <v>45</v>
      </c>
      <c r="G521" s="361"/>
      <c r="H521" s="361"/>
      <c r="I521" s="361"/>
      <c r="J521" s="361"/>
      <c r="K521" s="361"/>
      <c r="L521" s="361"/>
      <c r="M521" s="361"/>
      <c r="N521" s="361"/>
      <c r="O521" s="361"/>
      <c r="U521" s="182"/>
    </row>
    <row r="522" spans="1:21" s="1" customFormat="1" ht="26.4" x14ac:dyDescent="0.25">
      <c r="A522" s="110" t="str">
        <f ca="1">OFFSET(PO!J$12,ROW(A522)-ROW($A$12),0)</f>
        <v>Serviço</v>
      </c>
      <c r="B522" s="112" t="str">
        <f ca="1">IF($A522=0,"",OFFSET(PO!K$12,ROW(B522)-ROW(B$12),0))</f>
        <v>22.0.0.3.</v>
      </c>
      <c r="C522" s="109" t="str">
        <f ca="1">IF(OFFSET(PO!N$12,ROW(C522)-ROW(C$12),0)=0,"",OFFSET(PO!N$12,ROW(C522)-ROW(C$12),0))</f>
        <v>CONECTOR SPLIT-BOLT, PARA SPDA, PARA CABOS ATÉ 50 MM2 - FORNECIMENTO E INSTALAÇÃO. AF_08/2023</v>
      </c>
      <c r="D522" s="111" t="str">
        <f ca="1">IF(OFFSET(PO!O$12,ROW(D522)-ROW(D$12),0)=0,"",OFFSET(PO!O$12,ROW(D522)-ROW(D$12),0))</f>
        <v>UN</v>
      </c>
      <c r="E522" s="140">
        <f ca="1">IF($A522&lt;&gt;"Serviço",0,ROUND(SUMIF($F$9:$P$9,"&lt;&gt;",$F522:$P522),15-13*PO!$X$3))</f>
        <v>11</v>
      </c>
      <c r="F522" s="361">
        <f ca="1">OFFSET(PO!$P$12,ROW($E522)-ROW(F$12),0)</f>
        <v>11</v>
      </c>
      <c r="G522" s="361"/>
      <c r="H522" s="361"/>
      <c r="I522" s="361"/>
      <c r="J522" s="361"/>
      <c r="K522" s="361"/>
      <c r="L522" s="361"/>
      <c r="M522" s="361"/>
      <c r="N522" s="361"/>
      <c r="O522" s="361"/>
      <c r="U522" s="182"/>
    </row>
    <row r="523" spans="1:21" s="1" customFormat="1" ht="26.4" x14ac:dyDescent="0.25">
      <c r="A523" s="110" t="str">
        <f ca="1">OFFSET(PO!J$12,ROW(A523)-ROW($A$12),0)</f>
        <v>Serviço</v>
      </c>
      <c r="B523" s="112" t="str">
        <f ca="1">IF($A523=0,"",OFFSET(PO!K$12,ROW(B523)-ROW(B$12),0))</f>
        <v>22.0.0.4.</v>
      </c>
      <c r="C523" s="109" t="str">
        <f ca="1">IF(OFFSET(PO!N$12,ROW(C523)-ROW(C$12),0)=0,"",OFFSET(PO!N$12,ROW(C523)-ROW(C$12),0))</f>
        <v>ABRAÇADEIRA DE FIXAÇÃO DE BRAÇOS DE LUMINÁRIAS DE 2" - FORNECIMENTO E INSTALAÇÃO. AF_08/2020</v>
      </c>
      <c r="D523" s="111" t="str">
        <f ca="1">IF(OFFSET(PO!O$12,ROW(D523)-ROW(D$12),0)=0,"",OFFSET(PO!O$12,ROW(D523)-ROW(D$12),0))</f>
        <v>UN</v>
      </c>
      <c r="E523" s="140">
        <f ca="1">IF($A523&lt;&gt;"Serviço",0,ROUND(SUMIF($F$9:$P$9,"&lt;&gt;",$F523:$P523),15-13*PO!$X$3))</f>
        <v>4</v>
      </c>
      <c r="F523" s="361">
        <f ca="1">OFFSET(PO!$P$12,ROW($E523)-ROW(F$12),0)</f>
        <v>4</v>
      </c>
      <c r="G523" s="361"/>
      <c r="H523" s="361"/>
      <c r="I523" s="361"/>
      <c r="J523" s="361"/>
      <c r="K523" s="361"/>
      <c r="L523" s="361"/>
      <c r="M523" s="361"/>
      <c r="N523" s="361"/>
      <c r="O523" s="361"/>
      <c r="U523" s="182"/>
    </row>
    <row r="524" spans="1:21" s="1" customFormat="1" x14ac:dyDescent="0.25">
      <c r="A524" s="110" t="str">
        <f ca="1">OFFSET(PO!J$12,ROW(A524)-ROW($A$12),0)</f>
        <v>Serviço</v>
      </c>
      <c r="B524" s="112" t="str">
        <f ca="1">IF($A524=0,"",OFFSET(PO!K$12,ROW(B524)-ROW(B$12),0))</f>
        <v>22.0.0.5.</v>
      </c>
      <c r="C524" s="109" t="str">
        <f ca="1">IF(OFFSET(PO!N$12,ROW(C524)-ROW(C$12),0)=0,"",OFFSET(PO!N$12,ROW(C524)-ROW(C$12),0))</f>
        <v>CONJUNTO DE ESTAIAMENTO PARA MASTRO DE SPDA</v>
      </c>
      <c r="D524" s="111" t="str">
        <f ca="1">IF(OFFSET(PO!O$12,ROW(D524)-ROW(D$12),0)=0,"",OFFSET(PO!O$12,ROW(D524)-ROW(D$12),0))</f>
        <v>U N</v>
      </c>
      <c r="E524" s="140">
        <f ca="1">IF($A524&lt;&gt;"Serviço",0,ROUND(SUMIF($F$9:$P$9,"&lt;&gt;",$F524:$P524),15-13*PO!$X$3))</f>
        <v>1</v>
      </c>
      <c r="F524" s="361">
        <f ca="1">OFFSET(PO!$P$12,ROW($E524)-ROW(F$12),0)</f>
        <v>1</v>
      </c>
      <c r="G524" s="361"/>
      <c r="H524" s="361"/>
      <c r="I524" s="361"/>
      <c r="J524" s="361"/>
      <c r="K524" s="361"/>
      <c r="L524" s="361"/>
      <c r="M524" s="361"/>
      <c r="N524" s="361"/>
      <c r="O524" s="361"/>
      <c r="U524" s="182"/>
    </row>
    <row r="525" spans="1:21" s="1" customFormat="1" ht="39.6" x14ac:dyDescent="0.25">
      <c r="A525" s="110" t="str">
        <f ca="1">OFFSET(PO!J$12,ROW(A525)-ROW($A$12),0)</f>
        <v>Serviço</v>
      </c>
      <c r="B525" s="112" t="str">
        <f ca="1">IF($A525=0,"",OFFSET(PO!K$12,ROW(B525)-ROW(B$12),0))</f>
        <v>22.0.0.6.</v>
      </c>
      <c r="C525" s="109" t="str">
        <f ca="1">IF(OFFSET(PO!N$12,ROW(C525)-ROW(C$12),0)=0,"",OFFSET(PO!N$12,ROW(C525)-ROW(C$12),0))</f>
        <v>SUPORTE ISOLADOR PARA FIXAÇÃO DA CORDOALHA DE COBRE EM ALVENARIA OU CONCRETO - FORNECIMENTO E INSTALAÇÃO. AF_08/2023</v>
      </c>
      <c r="D525" s="111" t="str">
        <f ca="1">IF(OFFSET(PO!O$12,ROW(D525)-ROW(D$12),0)=0,"",OFFSET(PO!O$12,ROW(D525)-ROW(D$12),0))</f>
        <v>UN</v>
      </c>
      <c r="E525" s="140">
        <f ca="1">IF($A525&lt;&gt;"Serviço",0,ROUND(SUMIF($F$9:$P$9,"&lt;&gt;",$F525:$P525),15-13*PO!$X$3))</f>
        <v>33</v>
      </c>
      <c r="F525" s="361">
        <f ca="1">OFFSET(PO!$P$12,ROW($E525)-ROW(F$12),0)</f>
        <v>33</v>
      </c>
      <c r="G525" s="361"/>
      <c r="H525" s="361"/>
      <c r="I525" s="361"/>
      <c r="J525" s="361"/>
      <c r="K525" s="361"/>
      <c r="L525" s="361"/>
      <c r="M525" s="361"/>
      <c r="N525" s="361"/>
      <c r="O525" s="361"/>
      <c r="U525" s="182"/>
    </row>
    <row r="526" spans="1:21" s="1" customFormat="1" x14ac:dyDescent="0.25">
      <c r="A526" s="110" t="str">
        <f ca="1">OFFSET(PO!J$12,ROW(A526)-ROW($A$12),0)</f>
        <v>Serviço</v>
      </c>
      <c r="B526" s="112" t="str">
        <f ca="1">IF($A526=0,"",OFFSET(PO!K$12,ROW(B526)-ROW(B$12),0))</f>
        <v>22.0.0.7.</v>
      </c>
      <c r="C526" s="109" t="str">
        <f ca="1">IF(OFFSET(PO!N$12,ROW(C526)-ROW(C$12),0)=0,"",OFFSET(PO!N$12,ROW(C526)-ROW(C$12),0))</f>
        <v>CAIXA DE EQUALIZAÇÃO DE ATERRAMENTO ELÉTRICO</v>
      </c>
      <c r="D526" s="111" t="str">
        <f ca="1">IF(OFFSET(PO!O$12,ROW(D526)-ROW(D$12),0)=0,"",OFFSET(PO!O$12,ROW(D526)-ROW(D$12),0))</f>
        <v>U N</v>
      </c>
      <c r="E526" s="140">
        <f ca="1">IF($A526&lt;&gt;"Serviço",0,ROUND(SUMIF($F$9:$P$9,"&lt;&gt;",$F526:$P526),15-13*PO!$X$3))</f>
        <v>1</v>
      </c>
      <c r="F526" s="361">
        <f ca="1">OFFSET(PO!$P$12,ROW($E526)-ROW(F$12),0)</f>
        <v>1</v>
      </c>
      <c r="G526" s="361"/>
      <c r="H526" s="361"/>
      <c r="I526" s="361"/>
      <c r="J526" s="361"/>
      <c r="K526" s="361"/>
      <c r="L526" s="361"/>
      <c r="M526" s="361"/>
      <c r="N526" s="361"/>
      <c r="O526" s="361"/>
      <c r="U526" s="182"/>
    </row>
    <row r="527" spans="1:21" s="1" customFormat="1" x14ac:dyDescent="0.25">
      <c r="A527" s="110" t="str">
        <f ca="1">OFFSET(PO!J$12,ROW(A527)-ROW($A$12),0)</f>
        <v>Serviço</v>
      </c>
      <c r="B527" s="112" t="str">
        <f ca="1">IF($A527=0,"",OFFSET(PO!K$12,ROW(B527)-ROW(B$12),0))</f>
        <v>22.0.0.8.</v>
      </c>
      <c r="C527" s="109" t="str">
        <f ca="1">IF(OFFSET(PO!N$12,ROW(C527)-ROW(C$12),0)=0,"",OFFSET(PO!N$12,ROW(C527)-ROW(C$12),0))</f>
        <v>ESCAVAÇÃO MANUAL DE VALA. AF_09/2024</v>
      </c>
      <c r="D527" s="111" t="str">
        <f ca="1">IF(OFFSET(PO!O$12,ROW(D527)-ROW(D$12),0)=0,"",OFFSET(PO!O$12,ROW(D527)-ROW(D$12),0))</f>
        <v>M3</v>
      </c>
      <c r="E527" s="140">
        <f ca="1">IF($A527&lt;&gt;"Serviço",0,ROUND(SUMIF($F$9:$P$9,"&lt;&gt;",$F527:$P527),15-13*PO!$X$3))</f>
        <v>26.18</v>
      </c>
      <c r="F527" s="361">
        <f ca="1">OFFSET(PO!$P$12,ROW($E527)-ROW(F$12),0)</f>
        <v>26.18</v>
      </c>
      <c r="G527" s="361"/>
      <c r="H527" s="361"/>
      <c r="I527" s="361"/>
      <c r="J527" s="361"/>
      <c r="K527" s="361"/>
      <c r="L527" s="361"/>
      <c r="M527" s="361"/>
      <c r="N527" s="361"/>
      <c r="O527" s="361"/>
      <c r="U527" s="182"/>
    </row>
    <row r="528" spans="1:21" s="1" customFormat="1" ht="26.4" x14ac:dyDescent="0.25">
      <c r="A528" s="110" t="str">
        <f ca="1">OFFSET(PO!J$12,ROW(A528)-ROW($A$12),0)</f>
        <v>Serviço</v>
      </c>
      <c r="B528" s="112" t="str">
        <f ca="1">IF($A528=0,"",OFFSET(PO!K$12,ROW(B528)-ROW(B$12),0))</f>
        <v>22.0.0.9.</v>
      </c>
      <c r="C528" s="109" t="str">
        <f ca="1">IF(OFFSET(PO!N$12,ROW(C528)-ROW(C$12),0)=0,"",OFFSET(PO!N$12,ROW(C528)-ROW(C$12),0))</f>
        <v>REATERRO MANUAL DE VALAS, COM COMPACTADOR DE SOLOS DE PERCUSSÃO. AF_08/2023</v>
      </c>
      <c r="D528" s="111" t="str">
        <f ca="1">IF(OFFSET(PO!O$12,ROW(D528)-ROW(D$12),0)=0,"",OFFSET(PO!O$12,ROW(D528)-ROW(D$12),0))</f>
        <v>M3</v>
      </c>
      <c r="E528" s="140">
        <f ca="1">IF($A528&lt;&gt;"Serviço",0,ROUND(SUMIF($F$9:$P$9,"&lt;&gt;",$F528:$P528),15-13*PO!$X$3))</f>
        <v>26.18</v>
      </c>
      <c r="F528" s="361">
        <f ca="1">OFFSET(PO!$P$12,ROW($E528)-ROW(F$12),0)</f>
        <v>26.18</v>
      </c>
      <c r="G528" s="361"/>
      <c r="H528" s="361"/>
      <c r="I528" s="361"/>
      <c r="J528" s="361"/>
      <c r="K528" s="361"/>
      <c r="L528" s="361"/>
      <c r="M528" s="361"/>
      <c r="N528" s="361"/>
      <c r="O528" s="361"/>
      <c r="U528" s="182"/>
    </row>
    <row r="529" spans="1:21" s="1" customFormat="1" ht="26.4" x14ac:dyDescent="0.25">
      <c r="A529" s="110" t="str">
        <f ca="1">OFFSET(PO!J$12,ROW(A529)-ROW($A$12),0)</f>
        <v>Serviço</v>
      </c>
      <c r="B529" s="112" t="str">
        <f ca="1">IF($A529=0,"",OFFSET(PO!K$12,ROW(B529)-ROW(B$12),0))</f>
        <v>22.0.0.10.</v>
      </c>
      <c r="C529" s="109" t="str">
        <f ca="1">IF(OFFSET(PO!N$12,ROW(C529)-ROW(C$12),0)=0,"",OFFSET(PO!N$12,ROW(C529)-ROW(C$12),0))</f>
        <v>HASTE DE ATERRAMENTO, DIÂMETRO 5/8", COM 3 METROS - FORNECIMENTO E INSTALAÇÃO. AF_08/2023</v>
      </c>
      <c r="D529" s="111" t="str">
        <f ca="1">IF(OFFSET(PO!O$12,ROW(D529)-ROW(D$12),0)=0,"",OFFSET(PO!O$12,ROW(D529)-ROW(D$12),0))</f>
        <v>UN</v>
      </c>
      <c r="E529" s="140">
        <f ca="1">IF($A529&lt;&gt;"Serviço",0,ROUND(SUMIF($F$9:$P$9,"&lt;&gt;",$F529:$P529),15-13*PO!$X$3))</f>
        <v>11</v>
      </c>
      <c r="F529" s="361">
        <f ca="1">OFFSET(PO!$P$12,ROW($E529)-ROW(F$12),0)</f>
        <v>11</v>
      </c>
      <c r="G529" s="361"/>
      <c r="H529" s="361"/>
      <c r="I529" s="361"/>
      <c r="J529" s="361"/>
      <c r="K529" s="361"/>
      <c r="L529" s="361"/>
      <c r="M529" s="361"/>
      <c r="N529" s="361"/>
      <c r="O529" s="361"/>
      <c r="U529" s="182"/>
    </row>
    <row r="530" spans="1:21" s="1" customFormat="1" ht="26.4" x14ac:dyDescent="0.25">
      <c r="A530" s="110" t="str">
        <f ca="1">OFFSET(PO!J$12,ROW(A530)-ROW($A$12),0)</f>
        <v>Serviço</v>
      </c>
      <c r="B530" s="112" t="str">
        <f ca="1">IF($A530=0,"",OFFSET(PO!K$12,ROW(B530)-ROW(B$12),0))</f>
        <v>22.0.0.11.</v>
      </c>
      <c r="C530" s="109" t="str">
        <f ca="1">IF(OFFSET(PO!N$12,ROW(C530)-ROW(C$12),0)=0,"",OFFSET(PO!N$12,ROW(C530)-ROW(C$12),0))</f>
        <v>CORDOALHA DE COBRE NU 35 MM², NÃO ENTERRADA, COM ISOLADOR - FORNECIMENTO E INSTALAÇÃO. AF_08/2023</v>
      </c>
      <c r="D530" s="111" t="str">
        <f ca="1">IF(OFFSET(PO!O$12,ROW(D530)-ROW(D$12),0)=0,"",OFFSET(PO!O$12,ROW(D530)-ROW(D$12),0))</f>
        <v>M</v>
      </c>
      <c r="E530" s="140">
        <f ca="1">IF($A530&lt;&gt;"Serviço",0,ROUND(SUMIF($F$9:$P$9,"&lt;&gt;",$F530:$P530),15-13*PO!$X$3))</f>
        <v>287</v>
      </c>
      <c r="F530" s="361">
        <f ca="1">OFFSET(PO!$P$12,ROW($E530)-ROW(F$12),0)</f>
        <v>287</v>
      </c>
      <c r="G530" s="361"/>
      <c r="H530" s="361"/>
      <c r="I530" s="361"/>
      <c r="J530" s="361"/>
      <c r="K530" s="361"/>
      <c r="L530" s="361"/>
      <c r="M530" s="361"/>
      <c r="N530" s="361"/>
      <c r="O530" s="361"/>
      <c r="U530" s="182"/>
    </row>
    <row r="531" spans="1:21" s="1" customFormat="1" ht="26.4" x14ac:dyDescent="0.25">
      <c r="A531" s="110" t="str">
        <f ca="1">OFFSET(PO!J$12,ROW(A531)-ROW($A$12),0)</f>
        <v>Serviço</v>
      </c>
      <c r="B531" s="112" t="str">
        <f ca="1">IF($A531=0,"",OFFSET(PO!K$12,ROW(B531)-ROW(B$12),0))</f>
        <v>22.0.0.12.</v>
      </c>
      <c r="C531" s="109" t="str">
        <f ca="1">IF(OFFSET(PO!N$12,ROW(C531)-ROW(C$12),0)=0,"",OFFSET(PO!N$12,ROW(C531)-ROW(C$12),0))</f>
        <v>CORDOALHA DE COBRE NU 50 MM², ENTERRADA - FORNECIMENTO E INSTALAÇÃO. AF_08/2023</v>
      </c>
      <c r="D531" s="111" t="str">
        <f ca="1">IF(OFFSET(PO!O$12,ROW(D531)-ROW(D$12),0)=0,"",OFFSET(PO!O$12,ROW(D531)-ROW(D$12),0))</f>
        <v>M</v>
      </c>
      <c r="E531" s="140">
        <f ca="1">IF($A531&lt;&gt;"Serviço",0,ROUND(SUMIF($F$9:$P$9,"&lt;&gt;",$F531:$P531),15-13*PO!$X$3))</f>
        <v>174.5</v>
      </c>
      <c r="F531" s="361">
        <f ca="1">OFFSET(PO!$P$12,ROW($E531)-ROW(F$12),0)</f>
        <v>174.5</v>
      </c>
      <c r="G531" s="361"/>
      <c r="H531" s="361"/>
      <c r="I531" s="361"/>
      <c r="J531" s="361"/>
      <c r="K531" s="361"/>
      <c r="L531" s="361"/>
      <c r="M531" s="361"/>
      <c r="N531" s="361"/>
      <c r="O531" s="361"/>
      <c r="U531" s="182"/>
    </row>
    <row r="532" spans="1:21" s="1" customFormat="1" ht="26.4" x14ac:dyDescent="0.25">
      <c r="A532" s="110" t="str">
        <f ca="1">OFFSET(PO!J$12,ROW(A532)-ROW($A$12),0)</f>
        <v>Serviço</v>
      </c>
      <c r="B532" s="112" t="str">
        <f ca="1">IF($A532=0,"",OFFSET(PO!K$12,ROW(B532)-ROW(B$12),0))</f>
        <v>22.0.0.13.</v>
      </c>
      <c r="C532" s="109" t="str">
        <f ca="1">IF(OFFSET(PO!N$12,ROW(C532)-ROW(C$12),0)=0,"",OFFSET(PO!N$12,ROW(C532)-ROW(C$12),0))</f>
        <v>CAIXA DE INSPEÇÃO PARA ATERRAMENTO, CIRCULAR, EM POLIETILENO, DIÂMETRO INTERNO = 0,3 M. AF_12/2020</v>
      </c>
      <c r="D532" s="111" t="str">
        <f ca="1">IF(OFFSET(PO!O$12,ROW(D532)-ROW(D$12),0)=0,"",OFFSET(PO!O$12,ROW(D532)-ROW(D$12),0))</f>
        <v>UN</v>
      </c>
      <c r="E532" s="140">
        <f ca="1">IF($A532&lt;&gt;"Serviço",0,ROUND(SUMIF($F$9:$P$9,"&lt;&gt;",$F532:$P532),15-13*PO!$X$3))</f>
        <v>11</v>
      </c>
      <c r="F532" s="361">
        <f ca="1">OFFSET(PO!$P$12,ROW($E532)-ROW(F$12),0)</f>
        <v>11</v>
      </c>
      <c r="G532" s="361"/>
      <c r="H532" s="361"/>
      <c r="I532" s="361"/>
      <c r="J532" s="361"/>
      <c r="K532" s="361"/>
      <c r="L532" s="361"/>
      <c r="M532" s="361"/>
      <c r="N532" s="361"/>
      <c r="O532" s="361"/>
      <c r="U532" s="182"/>
    </row>
    <row r="533" spans="1:21" s="1" customFormat="1" x14ac:dyDescent="0.25">
      <c r="A533" s="110" t="str">
        <f ca="1">OFFSET(PO!J$12,ROW(A533)-ROW($A$12),0)</f>
        <v>Serviço</v>
      </c>
      <c r="B533" s="112" t="str">
        <f ca="1">IF($A533=0,"",OFFSET(PO!K$12,ROW(B533)-ROW(B$12),0))</f>
        <v>22.0.0.14.</v>
      </c>
      <c r="C533" s="109" t="str">
        <f ca="1">IF(OFFSET(PO!N$12,ROW(C533)-ROW(C$12),0)=0,"",OFFSET(PO!N$12,ROW(C533)-ROW(C$12),0))</f>
        <v>TERMINAL A COMPRESSÃO</v>
      </c>
      <c r="D533" s="111" t="str">
        <f ca="1">IF(OFFSET(PO!O$12,ROW(D533)-ROW(D$12),0)=0,"",OFFSET(PO!O$12,ROW(D533)-ROW(D$12),0))</f>
        <v>UN</v>
      </c>
      <c r="E533" s="140">
        <f ca="1">IF($A533&lt;&gt;"Serviço",0,ROUND(SUMIF($F$9:$P$9,"&lt;&gt;",$F533:$P533),15-13*PO!$X$3))</f>
        <v>251</v>
      </c>
      <c r="F533" s="361">
        <f ca="1">OFFSET(PO!$P$12,ROW($E533)-ROW(F$12),0)</f>
        <v>251</v>
      </c>
      <c r="G533" s="361"/>
      <c r="H533" s="361"/>
      <c r="I533" s="361"/>
      <c r="J533" s="361"/>
      <c r="K533" s="361"/>
      <c r="L533" s="361"/>
      <c r="M533" s="361"/>
      <c r="N533" s="361"/>
      <c r="O533" s="361"/>
      <c r="U533" s="182"/>
    </row>
    <row r="534" spans="1:21" s="1" customFormat="1" ht="26.4" x14ac:dyDescent="0.25">
      <c r="A534" s="110" t="str">
        <f ca="1">OFFSET(PO!J$12,ROW(A534)-ROW($A$12),0)</f>
        <v>Serviço</v>
      </c>
      <c r="B534" s="112" t="str">
        <f ca="1">IF($A534=0,"",OFFSET(PO!K$12,ROW(B534)-ROW(B$12),0))</f>
        <v>22.0.0.15.</v>
      </c>
      <c r="C534" s="109" t="str">
        <f ca="1">IF(OFFSET(PO!N$12,ROW(C534)-ROW(C$12),0)=0,"",OFFSET(PO!N$12,ROW(C534)-ROW(C$12),0))</f>
        <v>SOLDA EXOTÉRMICA PARA SPDA - FORNECIMENTO E INSTALAÇÃO.</v>
      </c>
      <c r="D534" s="111" t="str">
        <f ca="1">IF(OFFSET(PO!O$12,ROW(D534)-ROW(D$12),0)=0,"",OFFSET(PO!O$12,ROW(D534)-ROW(D$12),0))</f>
        <v>UN</v>
      </c>
      <c r="E534" s="140">
        <f ca="1">IF($A534&lt;&gt;"Serviço",0,ROUND(SUMIF($F$9:$P$9,"&lt;&gt;",$F534:$P534),15-13*PO!$X$3))</f>
        <v>22</v>
      </c>
      <c r="F534" s="361">
        <f ca="1">OFFSET(PO!$P$12,ROW($E534)-ROW(F$12),0)</f>
        <v>22</v>
      </c>
      <c r="G534" s="361"/>
      <c r="H534" s="361"/>
      <c r="I534" s="361"/>
      <c r="J534" s="361"/>
      <c r="K534" s="361"/>
      <c r="L534" s="361"/>
      <c r="M534" s="361"/>
      <c r="N534" s="361"/>
      <c r="O534" s="361"/>
      <c r="U534" s="182"/>
    </row>
    <row r="535" spans="1:21" s="1" customFormat="1" x14ac:dyDescent="0.25">
      <c r="A535" s="110" t="str">
        <f ca="1">OFFSET(PO!J$12,ROW(A535)-ROW($A$12),0)</f>
        <v>Meta</v>
      </c>
      <c r="B535" s="112" t="str">
        <f ca="1">IF($A535=0,"",OFFSET(PO!K$12,ROW(B535)-ROW(B$12),0))</f>
        <v>23.</v>
      </c>
      <c r="C535" s="109" t="str">
        <f ca="1">IF(OFFSET(PO!N$12,ROW(C535)-ROW(C$12),0)=0,"",OFFSET(PO!N$12,ROW(C535)-ROW(C$12),0))</f>
        <v>SERVIÇOS COMPLEMENTARES</v>
      </c>
      <c r="D535" s="111" t="str">
        <f ca="1">IF(OFFSET(PO!O$12,ROW(D535)-ROW(D$12),0)=0,"",OFFSET(PO!O$12,ROW(D535)-ROW(D$12),0))</f>
        <v/>
      </c>
      <c r="E535" s="140">
        <f ca="1">IF($A535&lt;&gt;"Serviço",0,ROUND(SUMIF($F$9:$P$9,"&lt;&gt;",$F535:$P535),15-13*PO!$X$3))</f>
        <v>0</v>
      </c>
      <c r="F535" s="361">
        <f ca="1">OFFSET(PO!$P$12,ROW($E535)-ROW(F$12),0)</f>
        <v>0</v>
      </c>
      <c r="G535" s="361"/>
      <c r="H535" s="361"/>
      <c r="I535" s="361"/>
      <c r="J535" s="361"/>
      <c r="K535" s="361"/>
      <c r="L535" s="361"/>
      <c r="M535" s="361"/>
      <c r="N535" s="361"/>
      <c r="O535" s="361"/>
      <c r="U535" s="182"/>
    </row>
    <row r="536" spans="1:21" s="1" customFormat="1" x14ac:dyDescent="0.25">
      <c r="A536" s="110" t="str">
        <f ca="1">OFFSET(PO!J$12,ROW(A536)-ROW($A$12),0)</f>
        <v>Serviço</v>
      </c>
      <c r="B536" s="112" t="str">
        <f ca="1">IF($A536=0,"",OFFSET(PO!K$12,ROW(B536)-ROW(B$12),0))</f>
        <v>23.0.0.1.</v>
      </c>
      <c r="C536" s="109" t="str">
        <f ca="1">IF(OFFSET(PO!N$12,ROW(C536)-ROW(C$12),0)=0,"",OFFSET(PO!N$12,ROW(C536)-ROW(C$12),0))</f>
        <v>CONJUNTO DE MASTRO P/ TRÊS BANDEIRAS E PEDESTAL</v>
      </c>
      <c r="D536" s="111" t="str">
        <f ca="1">IF(OFFSET(PO!O$12,ROW(D536)-ROW(D$12),0)=0,"",OFFSET(PO!O$12,ROW(D536)-ROW(D$12),0))</f>
        <v>UN</v>
      </c>
      <c r="E536" s="140">
        <f ca="1">IF($A536&lt;&gt;"Serviço",0,ROUND(SUMIF($F$9:$P$9,"&lt;&gt;",$F536:$P536),15-13*PO!$X$3))</f>
        <v>1</v>
      </c>
      <c r="F536" s="361">
        <f ca="1">OFFSET(PO!$P$12,ROW($E536)-ROW(F$12),0)</f>
        <v>1</v>
      </c>
      <c r="G536" s="361"/>
      <c r="H536" s="361"/>
      <c r="I536" s="361"/>
      <c r="J536" s="361"/>
      <c r="K536" s="361"/>
      <c r="L536" s="361"/>
      <c r="M536" s="361"/>
      <c r="N536" s="361"/>
      <c r="O536" s="361"/>
      <c r="U536" s="182"/>
    </row>
    <row r="537" spans="1:21" s="1" customFormat="1" ht="26.4" x14ac:dyDescent="0.25">
      <c r="A537" s="110" t="str">
        <f ca="1">OFFSET(PO!J$12,ROW(A537)-ROW($A$12),0)</f>
        <v>Serviço</v>
      </c>
      <c r="B537" s="112" t="str">
        <f ca="1">IF($A537=0,"",OFFSET(PO!K$12,ROW(B537)-ROW(B$12),0))</f>
        <v>23.0.0.2.</v>
      </c>
      <c r="C537" s="109" t="str">
        <f ca="1">IF(OFFSET(PO!N$12,ROW(C537)-ROW(C$12),0)=0,"",OFFSET(PO!N$12,ROW(C537)-ROW(C$12),0))</f>
        <v>BANCADA DE GRANITO CINZA ANDORINHA, INCLUSIVE PASSA PRATOS, ESPESSURA 2 CM - FORNECIMENTO E INSTALAÇÃO</v>
      </c>
      <c r="D537" s="111" t="str">
        <f ca="1">IF(OFFSET(PO!O$12,ROW(D537)-ROW(D$12),0)=0,"",OFFSET(PO!O$12,ROW(D537)-ROW(D$12),0))</f>
        <v>M2</v>
      </c>
      <c r="E537" s="140">
        <f ca="1">IF($A537&lt;&gt;"Serviço",0,ROUND(SUMIF($F$9:$P$9,"&lt;&gt;",$F537:$P537),15-13*PO!$X$3))</f>
        <v>42.96</v>
      </c>
      <c r="F537" s="361">
        <f ca="1">OFFSET(PO!$P$12,ROW($E537)-ROW(F$12),0)</f>
        <v>42.96</v>
      </c>
      <c r="G537" s="361"/>
      <c r="H537" s="361"/>
      <c r="I537" s="361"/>
      <c r="J537" s="361"/>
      <c r="K537" s="361"/>
      <c r="L537" s="361"/>
      <c r="M537" s="361"/>
      <c r="N537" s="361"/>
      <c r="O537" s="361"/>
      <c r="U537" s="182"/>
    </row>
    <row r="538" spans="1:21" s="1" customFormat="1" ht="26.4" x14ac:dyDescent="0.25">
      <c r="A538" s="110" t="str">
        <f ca="1">OFFSET(PO!J$12,ROW(A538)-ROW($A$12),0)</f>
        <v>Serviço</v>
      </c>
      <c r="B538" s="112" t="str">
        <f ca="1">IF($A538=0,"",OFFSET(PO!K$12,ROW(B538)-ROW(B$12),0))</f>
        <v>23.0.0.3.</v>
      </c>
      <c r="C538" s="109" t="str">
        <f ca="1">IF(OFFSET(PO!N$12,ROW(C538)-ROW(C$12),0)=0,"",OFFSET(PO!N$12,ROW(C538)-ROW(C$12),0))</f>
        <v>PRATELEIRA DE GRANITO CINZA ANDORINHA, ESPESSURA 2 CM - FORNECIMENTO E INSTALAÇÃO</v>
      </c>
      <c r="D538" s="111" t="str">
        <f ca="1">IF(OFFSET(PO!O$12,ROW(D538)-ROW(D$12),0)=0,"",OFFSET(PO!O$12,ROW(D538)-ROW(D$12),0))</f>
        <v>M2</v>
      </c>
      <c r="E538" s="140">
        <f ca="1">IF($A538&lt;&gt;"Serviço",0,ROUND(SUMIF($F$9:$P$9,"&lt;&gt;",$F538:$P538),15-13*PO!$X$3))</f>
        <v>26.89</v>
      </c>
      <c r="F538" s="361">
        <f ca="1">OFFSET(PO!$P$12,ROW($E538)-ROW(F$12),0)</f>
        <v>26.89</v>
      </c>
      <c r="G538" s="361"/>
      <c r="H538" s="361"/>
      <c r="I538" s="361"/>
      <c r="J538" s="361"/>
      <c r="K538" s="361"/>
      <c r="L538" s="361"/>
      <c r="M538" s="361"/>
      <c r="N538" s="361"/>
      <c r="O538" s="361"/>
      <c r="U538" s="182"/>
    </row>
    <row r="539" spans="1:21" s="1" customFormat="1" x14ac:dyDescent="0.25">
      <c r="A539" s="110" t="str">
        <f ca="1">OFFSET(PO!J$12,ROW(A539)-ROW($A$12),0)</f>
        <v>Serviço</v>
      </c>
      <c r="B539" s="112" t="str">
        <f ca="1">IF($A539=0,"",OFFSET(PO!K$12,ROW(B539)-ROW(B$12),0))</f>
        <v>23.0.0.4.</v>
      </c>
      <c r="C539" s="109" t="str">
        <f ca="1">IF(OFFSET(PO!N$12,ROW(C539)-ROW(C$12),0)=0,"",OFFSET(PO!N$12,ROW(C539)-ROW(C$12),0))</f>
        <v>ESCANINHOS EM MDF, REVESTIDOS EM LAMINADO MELAMÍNICO</v>
      </c>
      <c r="D539" s="111" t="str">
        <f ca="1">IF(OFFSET(PO!O$12,ROW(D539)-ROW(D$12),0)=0,"",OFFSET(PO!O$12,ROW(D539)-ROW(D$12),0))</f>
        <v>M2</v>
      </c>
      <c r="E539" s="140">
        <f ca="1">IF($A539&lt;&gt;"Serviço",0,ROUND(SUMIF($F$9:$P$9,"&lt;&gt;",$F539:$P539),15-13*PO!$X$3))</f>
        <v>30.15</v>
      </c>
      <c r="F539" s="361">
        <f ca="1">OFFSET(PO!$P$12,ROW($E539)-ROW(F$12),0)</f>
        <v>30.15</v>
      </c>
      <c r="G539" s="361"/>
      <c r="H539" s="361"/>
      <c r="I539" s="361"/>
      <c r="J539" s="361"/>
      <c r="K539" s="361"/>
      <c r="L539" s="361"/>
      <c r="M539" s="361"/>
      <c r="N539" s="361"/>
      <c r="O539" s="361"/>
      <c r="U539" s="182"/>
    </row>
    <row r="540" spans="1:21" s="1" customFormat="1" ht="39.6" x14ac:dyDescent="0.25">
      <c r="A540" s="110" t="str">
        <f ca="1">OFFSET(PO!J$12,ROW(A540)-ROW($A$12),0)</f>
        <v>Serviço</v>
      </c>
      <c r="B540" s="112" t="str">
        <f ca="1">IF($A540=0,"",OFFSET(PO!K$12,ROW(B540)-ROW(B$12),0))</f>
        <v>23.0.0.5.</v>
      </c>
      <c r="C540" s="109" t="str">
        <f ca="1">IF(OFFSET(PO!N$12,ROW(C540)-ROW(C$12),0)=0,"",OFFSET(PO!N$12,ROW(C540)-ROW(C$12),0))</f>
        <v>PEITORIL LINEAR EM GRANITO OU MÁRMORE, L = 15CM, COMPRIMENTO DE ATÉ 2M, ASSENTADO COM ARGAMASSA 1:6 COM ADITIVO. AF_11/2020</v>
      </c>
      <c r="D540" s="111" t="str">
        <f ca="1">IF(OFFSET(PO!O$12,ROW(D540)-ROW(D$12),0)=0,"",OFFSET(PO!O$12,ROW(D540)-ROW(D$12),0))</f>
        <v>M</v>
      </c>
      <c r="E540" s="140">
        <f ca="1">IF($A540&lt;&gt;"Serviço",0,ROUND(SUMIF($F$9:$P$9,"&lt;&gt;",$F540:$P540),15-13*PO!$X$3))</f>
        <v>79.650000000000006</v>
      </c>
      <c r="F540" s="361">
        <f ca="1">OFFSET(PO!$P$12,ROW($E540)-ROW(F$12),0)</f>
        <v>79.650000000000006</v>
      </c>
      <c r="G540" s="361"/>
      <c r="H540" s="361"/>
      <c r="I540" s="361"/>
      <c r="J540" s="361"/>
      <c r="K540" s="361"/>
      <c r="L540" s="361"/>
      <c r="M540" s="361"/>
      <c r="N540" s="361"/>
      <c r="O540" s="361"/>
      <c r="U540" s="182"/>
    </row>
    <row r="541" spans="1:21" s="1" customFormat="1" ht="39.6" x14ac:dyDescent="0.25">
      <c r="A541" s="110" t="str">
        <f ca="1">OFFSET(PO!J$12,ROW(A541)-ROW($A$12),0)</f>
        <v>Serviço</v>
      </c>
      <c r="B541" s="112" t="str">
        <f ca="1">IF($A541=0,"",OFFSET(PO!K$12,ROW(B541)-ROW(B$12),0))</f>
        <v>23.0.0.6.</v>
      </c>
      <c r="C541" s="109" t="str">
        <f ca="1">IF(OFFSET(PO!N$12,ROW(C541)-ROW(C$12),0)=0,"",OFFSET(PO!N$12,ROW(C541)-ROW(C$12),0))</f>
        <v>SUPORTE MÃO FRANCESA EM AÇO, ABAS IGUAIS 30 CM, CAPACIDADE MINIMA 60 KG, BRANCO - FORNECIMENTO E INSTALAÇÃO. AF_01/2020</v>
      </c>
      <c r="D541" s="111" t="str">
        <f ca="1">IF(OFFSET(PO!O$12,ROW(D541)-ROW(D$12),0)=0,"",OFFSET(PO!O$12,ROW(D541)-ROW(D$12),0))</f>
        <v>UN</v>
      </c>
      <c r="E541" s="140">
        <f ca="1">IF($A541&lt;&gt;"Serviço",0,ROUND(SUMIF($F$9:$P$9,"&lt;&gt;",$F541:$P541),15-13*PO!$X$3))</f>
        <v>148</v>
      </c>
      <c r="F541" s="361">
        <f ca="1">OFFSET(PO!$P$12,ROW($E541)-ROW(F$12),0)</f>
        <v>148</v>
      </c>
      <c r="G541" s="361"/>
      <c r="H541" s="361"/>
      <c r="I541" s="361"/>
      <c r="J541" s="361"/>
      <c r="K541" s="361"/>
      <c r="L541" s="361"/>
      <c r="M541" s="361"/>
      <c r="N541" s="361"/>
      <c r="O541" s="361"/>
      <c r="U541" s="182"/>
    </row>
    <row r="542" spans="1:21" s="1" customFormat="1" ht="26.4" x14ac:dyDescent="0.25">
      <c r="A542" s="110" t="str">
        <f ca="1">OFFSET(PO!J$12,ROW(A542)-ROW($A$12),0)</f>
        <v>Serviço</v>
      </c>
      <c r="B542" s="112" t="str">
        <f ca="1">IF($A542=0,"",OFFSET(PO!K$12,ROW(B542)-ROW(B$12),0))</f>
        <v>23.0.0.7.</v>
      </c>
      <c r="C542" s="109" t="str">
        <f ca="1">IF(OFFSET(PO!N$12,ROW(C542)-ROW(C$12),0)=0,"",OFFSET(PO!N$12,ROW(C542)-ROW(C$12),0))</f>
        <v>BARRA DE APOIO EM INOX, DIAMETRO MINIMO 3 CM, EM AÇO INOX</v>
      </c>
      <c r="D542" s="111" t="str">
        <f ca="1">IF(OFFSET(PO!O$12,ROW(D542)-ROW(D$12),0)=0,"",OFFSET(PO!O$12,ROW(D542)-ROW(D$12),0))</f>
        <v>M</v>
      </c>
      <c r="E542" s="140">
        <f ca="1">IF($A542&lt;&gt;"Serviço",0,ROUND(SUMIF($F$9:$P$9,"&lt;&gt;",$F542:$P542),15-13*PO!$X$3))</f>
        <v>4.12</v>
      </c>
      <c r="F542" s="361">
        <f ca="1">OFFSET(PO!$P$12,ROW($E542)-ROW(F$12),0)</f>
        <v>4.12</v>
      </c>
      <c r="G542" s="361"/>
      <c r="H542" s="361"/>
      <c r="I542" s="361"/>
      <c r="J542" s="361"/>
      <c r="K542" s="361"/>
      <c r="L542" s="361"/>
      <c r="M542" s="361"/>
      <c r="N542" s="361"/>
      <c r="O542" s="361"/>
      <c r="U542" s="182"/>
    </row>
    <row r="543" spans="1:21" s="1" customFormat="1" x14ac:dyDescent="0.25">
      <c r="A543" s="110" t="str">
        <f ca="1">OFFSET(PO!J$12,ROW(A543)-ROW($A$12),0)</f>
        <v>Serviço</v>
      </c>
      <c r="B543" s="112" t="str">
        <f ca="1">IF($A543=0,"",OFFSET(PO!K$12,ROW(B543)-ROW(B$12),0))</f>
        <v>23.0.0.8.</v>
      </c>
      <c r="C543" s="109" t="str">
        <f ca="1">IF(OFFSET(PO!N$12,ROW(C543)-ROW(C$12),0)=0,"",OFFSET(PO!N$12,ROW(C543)-ROW(C$12),0))</f>
        <v>BANCO DE CONCRETO SEM ENCOSTO, DIM. 2,50 X 0,60 M</v>
      </c>
      <c r="D543" s="111" t="str">
        <f ca="1">IF(OFFSET(PO!O$12,ROW(D543)-ROW(D$12),0)=0,"",OFFSET(PO!O$12,ROW(D543)-ROW(D$12),0))</f>
        <v>M2</v>
      </c>
      <c r="E543" s="140">
        <f ca="1">IF($A543&lt;&gt;"Serviço",0,ROUND(SUMIF($F$9:$P$9,"&lt;&gt;",$F543:$P543),15-13*PO!$X$3))</f>
        <v>9.32</v>
      </c>
      <c r="F543" s="361">
        <f ca="1">OFFSET(PO!$P$12,ROW($E543)-ROW(F$12),0)</f>
        <v>9.32</v>
      </c>
      <c r="G543" s="361"/>
      <c r="H543" s="361"/>
      <c r="I543" s="361"/>
      <c r="J543" s="361"/>
      <c r="K543" s="361"/>
      <c r="L543" s="361"/>
      <c r="M543" s="361"/>
      <c r="N543" s="361"/>
      <c r="O543" s="361"/>
      <c r="U543" s="182"/>
    </row>
    <row r="544" spans="1:21" s="1" customFormat="1" x14ac:dyDescent="0.25">
      <c r="A544" s="110" t="str">
        <f ca="1">OFFSET(PO!J$12,ROW(A544)-ROW($A$12),0)</f>
        <v>Serviço</v>
      </c>
      <c r="B544" s="112" t="str">
        <f ca="1">IF($A544=0,"",OFFSET(PO!K$12,ROW(B544)-ROW(B$12),0))</f>
        <v>23.0.0.9.</v>
      </c>
      <c r="C544" s="109" t="str">
        <f ca="1">IF(OFFSET(PO!N$12,ROW(C544)-ROW(C$12),0)=0,"",OFFSET(PO!N$12,ROW(C544)-ROW(C$12),0))</f>
        <v>FITA 3M COLANTE ANTIDERRAPANTE PARA PISO</v>
      </c>
      <c r="D544" s="111" t="str">
        <f ca="1">IF(OFFSET(PO!O$12,ROW(D544)-ROW(D$12),0)=0,"",OFFSET(PO!O$12,ROW(D544)-ROW(D$12),0))</f>
        <v>M</v>
      </c>
      <c r="E544" s="140">
        <f ca="1">IF($A544&lt;&gt;"Serviço",0,ROUND(SUMIF($F$9:$P$9,"&lt;&gt;",$F544:$P544),15-13*PO!$X$3))</f>
        <v>2</v>
      </c>
      <c r="F544" s="361">
        <f ca="1">OFFSET(PO!$P$12,ROW($E544)-ROW(F$12),0)</f>
        <v>2</v>
      </c>
      <c r="G544" s="361"/>
      <c r="H544" s="361"/>
      <c r="I544" s="361"/>
      <c r="J544" s="361"/>
      <c r="K544" s="361"/>
      <c r="L544" s="361"/>
      <c r="M544" s="361"/>
      <c r="N544" s="361"/>
      <c r="O544" s="361"/>
      <c r="U544" s="182"/>
    </row>
    <row r="545" spans="1:21" s="1" customFormat="1" x14ac:dyDescent="0.25">
      <c r="A545" s="110" t="str">
        <f ca="1">OFFSET(PO!J$12,ROW(A545)-ROW($A$12),0)</f>
        <v>Meta</v>
      </c>
      <c r="B545" s="112" t="str">
        <f ca="1">IF($A545=0,"",OFFSET(PO!K$12,ROW(B545)-ROW(B$12),0))</f>
        <v>24.</v>
      </c>
      <c r="C545" s="109" t="str">
        <f ca="1">IF(OFFSET(PO!N$12,ROW(C545)-ROW(C$12),0)=0,"",OFFSET(PO!N$12,ROW(C545)-ROW(C$12),0))</f>
        <v>SERVIÇOS EXECUTADOS COM CONTRAPARTIDA DO MUNICÍPIO</v>
      </c>
      <c r="D545" s="111" t="str">
        <f ca="1">IF(OFFSET(PO!O$12,ROW(D545)-ROW(D$12),0)=0,"",OFFSET(PO!O$12,ROW(D545)-ROW(D$12),0))</f>
        <v/>
      </c>
      <c r="E545" s="140">
        <f ca="1">IF($A545&lt;&gt;"Serviço",0,ROUND(SUMIF($F$9:$P$9,"&lt;&gt;",$F545:$P545),15-13*PO!$X$3))</f>
        <v>0</v>
      </c>
      <c r="F545" s="361">
        <f ca="1">OFFSET(PO!$P$12,ROW($E545)-ROW(F$12),0)</f>
        <v>0</v>
      </c>
      <c r="G545" s="361"/>
      <c r="H545" s="361"/>
      <c r="I545" s="361"/>
      <c r="J545" s="361"/>
      <c r="K545" s="361"/>
      <c r="L545" s="361"/>
      <c r="M545" s="361"/>
      <c r="N545" s="361"/>
      <c r="O545" s="361"/>
      <c r="U545" s="182"/>
    </row>
    <row r="546" spans="1:21" s="1" customFormat="1" x14ac:dyDescent="0.25">
      <c r="A546" s="110" t="str">
        <f ca="1">OFFSET(PO!J$12,ROW(A546)-ROW($A$12),0)</f>
        <v>Nível 2</v>
      </c>
      <c r="B546" s="112" t="str">
        <f ca="1">IF($A546=0,"",OFFSET(PO!K$12,ROW(B546)-ROW(B$12),0))</f>
        <v>24.1.</v>
      </c>
      <c r="C546" s="109" t="str">
        <f ca="1">IF(OFFSET(PO!N$12,ROW(C546)-ROW(C$12),0)=0,"",OFFSET(PO!N$12,ROW(C546)-ROW(C$12),0))</f>
        <v>REVISÕES E ADEQUAÇÕES DE PROJETOS</v>
      </c>
      <c r="D546" s="111" t="str">
        <f ca="1">IF(OFFSET(PO!O$12,ROW(D546)-ROW(D$12),0)=0,"",OFFSET(PO!O$12,ROW(D546)-ROW(D$12),0))</f>
        <v/>
      </c>
      <c r="E546" s="140">
        <f ca="1">IF($A546&lt;&gt;"Serviço",0,ROUND(SUMIF($F$9:$P$9,"&lt;&gt;",$F546:$P546),15-13*PO!$X$3))</f>
        <v>0</v>
      </c>
      <c r="F546" s="361">
        <f ca="1">OFFSET(PO!$P$12,ROW($E546)-ROW(F$12),0)</f>
        <v>0</v>
      </c>
      <c r="G546" s="361"/>
      <c r="H546" s="361"/>
      <c r="I546" s="361"/>
      <c r="J546" s="361"/>
      <c r="K546" s="361"/>
      <c r="L546" s="361"/>
      <c r="M546" s="361"/>
      <c r="N546" s="361"/>
      <c r="O546" s="361"/>
      <c r="U546" s="182"/>
    </row>
    <row r="547" spans="1:21" s="1" customFormat="1" x14ac:dyDescent="0.25">
      <c r="A547" s="110" t="str">
        <f ca="1">OFFSET(PO!J$12,ROW(A547)-ROW($A$12),0)</f>
        <v>Serviço</v>
      </c>
      <c r="B547" s="112" t="str">
        <f ca="1">IF($A547=0,"",OFFSET(PO!K$12,ROW(B547)-ROW(B$12),0))</f>
        <v>24.1.0.1.</v>
      </c>
      <c r="C547" s="109" t="str">
        <f ca="1">IF(OFFSET(PO!N$12,ROW(C547)-ROW(C$12),0)=0,"",OFFSET(PO!N$12,ROW(C547)-ROW(C$12),0))</f>
        <v>REVISÃO E ADEQUAÇÃO PROJETO ESTRUTURAL - ENG. CIVIL</v>
      </c>
      <c r="D547" s="111" t="str">
        <f ca="1">IF(OFFSET(PO!O$12,ROW(D547)-ROW(D$12),0)=0,"",OFFSET(PO!O$12,ROW(D547)-ROW(D$12),0))</f>
        <v>H</v>
      </c>
      <c r="E547" s="140">
        <f ca="1">IF($A547&lt;&gt;"Serviço",0,ROUND(SUMIF($F$9:$P$9,"&lt;&gt;",$F547:$P547),15-13*PO!$X$3))</f>
        <v>80</v>
      </c>
      <c r="F547" s="361">
        <f ca="1">OFFSET(PO!$P$12,ROW($E547)-ROW(F$12),0)</f>
        <v>80</v>
      </c>
      <c r="G547" s="361"/>
      <c r="H547" s="361"/>
      <c r="I547" s="361"/>
      <c r="J547" s="361"/>
      <c r="K547" s="361"/>
      <c r="L547" s="361"/>
      <c r="M547" s="361"/>
      <c r="N547" s="361"/>
      <c r="O547" s="361"/>
      <c r="U547" s="182"/>
    </row>
    <row r="548" spans="1:21" s="1" customFormat="1" x14ac:dyDescent="0.25">
      <c r="A548" s="110" t="str">
        <f ca="1">OFFSET(PO!J$12,ROW(A548)-ROW($A$12),0)</f>
        <v>Serviço</v>
      </c>
      <c r="B548" s="112" t="str">
        <f ca="1">IF($A548=0,"",OFFSET(PO!K$12,ROW(B548)-ROW(B$12),0))</f>
        <v>24.1.0.2.</v>
      </c>
      <c r="C548" s="109" t="str">
        <f ca="1">IF(OFFSET(PO!N$12,ROW(C548)-ROW(C$12),0)=0,"",OFFSET(PO!N$12,ROW(C548)-ROW(C$12),0))</f>
        <v>REVISÃO E ADEQUAÇÃO PROJETO ELÉTRICO - ENG. ELETRICISTA</v>
      </c>
      <c r="D548" s="111" t="str">
        <f ca="1">IF(OFFSET(PO!O$12,ROW(D548)-ROW(D$12),0)=0,"",OFFSET(PO!O$12,ROW(D548)-ROW(D$12),0))</f>
        <v>H</v>
      </c>
      <c r="E548" s="140">
        <f ca="1">IF($A548&lt;&gt;"Serviço",0,ROUND(SUMIF($F$9:$P$9,"&lt;&gt;",$F548:$P548),15-13*PO!$X$3))</f>
        <v>40</v>
      </c>
      <c r="F548" s="361">
        <f ca="1">OFFSET(PO!$P$12,ROW($E548)-ROW(F$12),0)</f>
        <v>40</v>
      </c>
      <c r="G548" s="361"/>
      <c r="H548" s="361"/>
      <c r="I548" s="361"/>
      <c r="J548" s="361"/>
      <c r="K548" s="361"/>
      <c r="L548" s="361"/>
      <c r="M548" s="361"/>
      <c r="N548" s="361"/>
      <c r="O548" s="361"/>
      <c r="U548" s="182"/>
    </row>
    <row r="549" spans="1:21" s="1" customFormat="1" x14ac:dyDescent="0.25">
      <c r="A549" s="110" t="str">
        <f ca="1">OFFSET(PO!J$12,ROW(A549)-ROW($A$12),0)</f>
        <v>Serviço</v>
      </c>
      <c r="B549" s="112" t="str">
        <f ca="1">IF($A549=0,"",OFFSET(PO!K$12,ROW(B549)-ROW(B$12),0))</f>
        <v>24.1.0.3.</v>
      </c>
      <c r="C549" s="109" t="str">
        <f ca="1">IF(OFFSET(PO!N$12,ROW(C549)-ROW(C$12),0)=0,"",OFFSET(PO!N$12,ROW(C549)-ROW(C$12),0))</f>
        <v>REVISÃO E ADEQUAÇÃO PROJETO HIDROSSANTÁRIO - ENG. CIVIL OU ARQUITETO</v>
      </c>
      <c r="D549" s="111" t="str">
        <f ca="1">IF(OFFSET(PO!O$12,ROW(D549)-ROW(D$12),0)=0,"",OFFSET(PO!O$12,ROW(D549)-ROW(D$12),0))</f>
        <v>H</v>
      </c>
      <c r="E549" s="140">
        <f ca="1">IF($A549&lt;&gt;"Serviço",0,ROUND(SUMIF($F$9:$P$9,"&lt;&gt;",$F549:$P549),15-13*PO!$X$3))</f>
        <v>40</v>
      </c>
      <c r="F549" s="361">
        <f ca="1">OFFSET(PO!$P$12,ROW($E549)-ROW(F$12),0)</f>
        <v>40</v>
      </c>
      <c r="G549" s="361"/>
      <c r="H549" s="361"/>
      <c r="I549" s="361"/>
      <c r="J549" s="361"/>
      <c r="K549" s="361"/>
      <c r="L549" s="361"/>
      <c r="M549" s="361"/>
      <c r="N549" s="361"/>
      <c r="O549" s="361"/>
      <c r="U549" s="182"/>
    </row>
    <row r="550" spans="1:21" s="1" customFormat="1" x14ac:dyDescent="0.25">
      <c r="A550" s="110" t="str">
        <f ca="1">OFFSET(PO!J$12,ROW(A550)-ROW($A$12),0)</f>
        <v>Serviço</v>
      </c>
      <c r="B550" s="112" t="str">
        <f ca="1">IF($A550=0,"",OFFSET(PO!K$12,ROW(B550)-ROW(B$12),0))</f>
        <v>24.1.0.4.</v>
      </c>
      <c r="C550" s="109" t="str">
        <f ca="1">IF(OFFSET(PO!N$12,ROW(C550)-ROW(C$12),0)=0,"",OFFSET(PO!N$12,ROW(C550)-ROW(C$12),0))</f>
        <v>REVISÃO E ADEQUAÇÃO PROJETO PPCI - ENG. CIVIL OU ARQUITETO</v>
      </c>
      <c r="D550" s="111" t="str">
        <f ca="1">IF(OFFSET(PO!O$12,ROW(D550)-ROW(D$12),0)=0,"",OFFSET(PO!O$12,ROW(D550)-ROW(D$12),0))</f>
        <v>H</v>
      </c>
      <c r="E550" s="140">
        <f ca="1">IF($A550&lt;&gt;"Serviço",0,ROUND(SUMIF($F$9:$P$9,"&lt;&gt;",$F550:$P550),15-13*PO!$X$3))</f>
        <v>20</v>
      </c>
      <c r="F550" s="361">
        <f ca="1">OFFSET(PO!$P$12,ROW($E550)-ROW(F$12),0)</f>
        <v>20</v>
      </c>
      <c r="G550" s="361"/>
      <c r="H550" s="361"/>
      <c r="I550" s="361"/>
      <c r="J550" s="361"/>
      <c r="K550" s="361"/>
      <c r="L550" s="361"/>
      <c r="M550" s="361"/>
      <c r="N550" s="361"/>
      <c r="O550" s="361"/>
      <c r="U550" s="182"/>
    </row>
    <row r="551" spans="1:21" s="1" customFormat="1" x14ac:dyDescent="0.25">
      <c r="A551" s="110" t="str">
        <f ca="1">OFFSET(PO!J$12,ROW(A551)-ROW($A$12),0)</f>
        <v>Serviço</v>
      </c>
      <c r="B551" s="112" t="str">
        <f ca="1">IF($A551=0,"",OFFSET(PO!K$12,ROW(B551)-ROW(B$12),0))</f>
        <v>24.1.0.5.</v>
      </c>
      <c r="C551" s="109" t="str">
        <f ca="1">IF(OFFSET(PO!N$12,ROW(C551)-ROW(C$12),0)=0,"",OFFSET(PO!N$12,ROW(C551)-ROW(C$12),0))</f>
        <v>REVISÃO E ADEQUAÇÃO PROJETO EXECUTIVO - ARQUITETO OU ENG. CIVIL</v>
      </c>
      <c r="D551" s="111" t="str">
        <f ca="1">IF(OFFSET(PO!O$12,ROW(D551)-ROW(D$12),0)=0,"",OFFSET(PO!O$12,ROW(D551)-ROW(D$12),0))</f>
        <v>H</v>
      </c>
      <c r="E551" s="140">
        <f ca="1">IF($A551&lt;&gt;"Serviço",0,ROUND(SUMIF($F$9:$P$9,"&lt;&gt;",$F551:$P551),15-13*PO!$X$3))</f>
        <v>80</v>
      </c>
      <c r="F551" s="361">
        <f ca="1">OFFSET(PO!$P$12,ROW($E551)-ROW(F$12),0)</f>
        <v>80</v>
      </c>
      <c r="G551" s="361"/>
      <c r="H551" s="361"/>
      <c r="I551" s="361"/>
      <c r="J551" s="361"/>
      <c r="K551" s="361"/>
      <c r="L551" s="361"/>
      <c r="M551" s="361"/>
      <c r="N551" s="361"/>
      <c r="O551" s="361"/>
      <c r="U551" s="182"/>
    </row>
    <row r="552" spans="1:21" s="1" customFormat="1" x14ac:dyDescent="0.25">
      <c r="A552" s="110" t="str">
        <f ca="1">OFFSET(PO!J$12,ROW(A552)-ROW($A$12),0)</f>
        <v>Nível 2</v>
      </c>
      <c r="B552" s="112" t="str">
        <f ca="1">IF($A552=0,"",OFFSET(PO!K$12,ROW(B552)-ROW(B$12),0))</f>
        <v>24.2.</v>
      </c>
      <c r="C552" s="109" t="str">
        <f ca="1">IF(OFFSET(PO!N$12,ROW(C552)-ROW(C$12),0)=0,"",OFFSET(PO!N$12,ROW(C552)-ROW(C$12),0))</f>
        <v>ESCAVAÇÃO DE 3ª CATEGORIA</v>
      </c>
      <c r="D552" s="111" t="str">
        <f ca="1">IF(OFFSET(PO!O$12,ROW(D552)-ROW(D$12),0)=0,"",OFFSET(PO!O$12,ROW(D552)-ROW(D$12),0))</f>
        <v/>
      </c>
      <c r="E552" s="140">
        <f ca="1">IF($A552&lt;&gt;"Serviço",0,ROUND(SUMIF($F$9:$P$9,"&lt;&gt;",$F552:$P552),15-13*PO!$X$3))</f>
        <v>0</v>
      </c>
      <c r="F552" s="361">
        <f ca="1">OFFSET(PO!$P$12,ROW($E552)-ROW(F$12),0)</f>
        <v>0</v>
      </c>
      <c r="G552" s="361"/>
      <c r="H552" s="361"/>
      <c r="I552" s="361"/>
      <c r="J552" s="361"/>
      <c r="K552" s="361"/>
      <c r="L552" s="361"/>
      <c r="M552" s="361"/>
      <c r="N552" s="361"/>
      <c r="O552" s="361"/>
      <c r="U552" s="182"/>
    </row>
    <row r="553" spans="1:21" s="1" customFormat="1" x14ac:dyDescent="0.25">
      <c r="A553" s="110" t="str">
        <f ca="1">OFFSET(PO!J$12,ROW(A553)-ROW($A$12),0)</f>
        <v>Serviço</v>
      </c>
      <c r="B553" s="112" t="str">
        <f ca="1">IF($A553=0,"",OFFSET(PO!K$12,ROW(B553)-ROW(B$12),0))</f>
        <v>24.2.0.1.</v>
      </c>
      <c r="C553" s="109" t="str">
        <f ca="1">IF(OFFSET(PO!N$12,ROW(C553)-ROW(C$12),0)=0,"",OFFSET(PO!N$12,ROW(C553)-ROW(C$12),0))</f>
        <v>DESMONTE DE MATERIAL DE 3ª CATEGORIA (BLOCOS DE ROCHAS OU MATACOS), COM MARTELETE PNEUMÁTICO MANUAL - EXCLUSIVE CARGA E TRANSPORTE. AF_03/2021</v>
      </c>
      <c r="D553" s="111" t="str">
        <f ca="1">IF(OFFSET(PO!O$12,ROW(D553)-ROW(D$12),0)=0,"",OFFSET(PO!O$12,ROW(D553)-ROW(D$12),0))</f>
        <v>M3</v>
      </c>
      <c r="E553" s="140">
        <f ca="1">IF($A553&lt;&gt;"Serviço",0,ROUND(SUMIF($F$9:$P$9,"&lt;&gt;",$F553:$P553),15-13*PO!$X$3))</f>
        <v>1539</v>
      </c>
      <c r="F553" s="361">
        <f ca="1">OFFSET(PO!$P$12,ROW($E553)-ROW(F$12),0)</f>
        <v>1539</v>
      </c>
      <c r="G553" s="361"/>
      <c r="H553" s="361"/>
      <c r="I553" s="361"/>
      <c r="J553" s="361"/>
      <c r="K553" s="361"/>
      <c r="L553" s="361"/>
      <c r="M553" s="361"/>
      <c r="N553" s="361"/>
      <c r="O553" s="361"/>
      <c r="U553" s="182"/>
    </row>
    <row r="554" spans="1:21" s="1" customFormat="1" x14ac:dyDescent="0.25">
      <c r="A554" s="110" t="str">
        <f ca="1">OFFSET(PO!J$12,ROW(A554)-ROW($A$12),0)</f>
        <v>Serviço</v>
      </c>
      <c r="B554" s="112" t="str">
        <f ca="1">IF($A554=0,"",OFFSET(PO!K$12,ROW(B554)-ROW(B$12),0))</f>
        <v>24.2.0.2.</v>
      </c>
      <c r="C554" s="109" t="str">
        <f ca="1">IF(OFFSET(PO!N$12,ROW(C554)-ROW(C$12),0)=0,"",OFFSET(PO!N$12,ROW(C554)-ROW(C$12),0))</f>
        <v>RETIRADA DE MATERIAL DE 3ª CATEGORIA (APÓS ESCAVAÇÃO/DESMONTE) EM VALAS, COM ESCAVADEIRA HIDRÁULICA - EXCLUSIVE CARGA E TRANSPORTE. AF_03/2021</v>
      </c>
      <c r="D554" s="111" t="str">
        <f ca="1">IF(OFFSET(PO!O$12,ROW(D554)-ROW(D$12),0)=0,"",OFFSET(PO!O$12,ROW(D554)-ROW(D$12),0))</f>
        <v>M3</v>
      </c>
      <c r="E554" s="140">
        <f ca="1">IF($A554&lt;&gt;"Serviço",0,ROUND(SUMIF($F$9:$P$9,"&lt;&gt;",$F554:$P554),15-13*PO!$X$3))</f>
        <v>1539</v>
      </c>
      <c r="F554" s="361">
        <f ca="1">OFFSET(PO!$P$12,ROW($E554)-ROW(F$12),0)</f>
        <v>1539</v>
      </c>
      <c r="G554" s="361"/>
      <c r="H554" s="361"/>
      <c r="I554" s="361"/>
      <c r="J554" s="361"/>
      <c r="K554" s="361"/>
      <c r="L554" s="361"/>
      <c r="M554" s="361"/>
      <c r="N554" s="361"/>
      <c r="O554" s="361"/>
      <c r="U554" s="182"/>
    </row>
    <row r="555" spans="1:21" s="1" customFormat="1" x14ac:dyDescent="0.25">
      <c r="A555" s="110" t="str">
        <f ca="1">OFFSET(PO!J$12,ROW(A555)-ROW($A$12),0)</f>
        <v>Nível 2</v>
      </c>
      <c r="B555" s="112" t="str">
        <f ca="1">IF($A555=0,"",OFFSET(PO!K$12,ROW(B555)-ROW(B$12),0))</f>
        <v>24.3.</v>
      </c>
      <c r="C555" s="109" t="str">
        <f ca="1">IF(OFFSET(PO!N$12,ROW(C555)-ROW(C$12),0)=0,"",OFFSET(PO!N$12,ROW(C555)-ROW(C$12),0))</f>
        <v>FUNDAÇÕES</v>
      </c>
      <c r="D555" s="111" t="str">
        <f ca="1">IF(OFFSET(PO!O$12,ROW(D555)-ROW(D$12),0)=0,"",OFFSET(PO!O$12,ROW(D555)-ROW(D$12),0))</f>
        <v/>
      </c>
      <c r="E555" s="140">
        <f ca="1">IF($A555&lt;&gt;"Serviço",0,ROUND(SUMIF($F$9:$P$9,"&lt;&gt;",$F555:$P555),15-13*PO!$X$3))</f>
        <v>0</v>
      </c>
      <c r="F555" s="361">
        <f ca="1">OFFSET(PO!$P$12,ROW($E555)-ROW(F$12),0)</f>
        <v>0</v>
      </c>
      <c r="G555" s="361"/>
      <c r="H555" s="361"/>
      <c r="I555" s="361"/>
      <c r="J555" s="361"/>
      <c r="K555" s="361"/>
      <c r="L555" s="361"/>
      <c r="M555" s="361"/>
      <c r="N555" s="361"/>
      <c r="O555" s="361"/>
      <c r="U555" s="182"/>
    </row>
    <row r="556" spans="1:21" s="1" customFormat="1" x14ac:dyDescent="0.25">
      <c r="A556" s="110" t="str">
        <f ca="1">OFFSET(PO!J$12,ROW(A556)-ROW($A$12),0)</f>
        <v>Nível 3</v>
      </c>
      <c r="B556" s="112" t="str">
        <f ca="1">IF($A556=0,"",OFFSET(PO!K$12,ROW(B556)-ROW(B$12),0))</f>
        <v>24.3.1.</v>
      </c>
      <c r="C556" s="109" t="str">
        <f ca="1">IF(OFFSET(PO!N$12,ROW(C556)-ROW(C$12),0)=0,"",OFFSET(PO!N$12,ROW(C556)-ROW(C$12),0))</f>
        <v>CASTELO D'ÁGUA E ABRIGO GLP</v>
      </c>
      <c r="D556" s="111" t="str">
        <f ca="1">IF(OFFSET(PO!O$12,ROW(D556)-ROW(D$12),0)=0,"",OFFSET(PO!O$12,ROW(D556)-ROW(D$12),0))</f>
        <v/>
      </c>
      <c r="E556" s="140">
        <f ca="1">IF($A556&lt;&gt;"Serviço",0,ROUND(SUMIF($F$9:$P$9,"&lt;&gt;",$F556:$P556),15-13*PO!$X$3))</f>
        <v>0</v>
      </c>
      <c r="F556" s="361">
        <f ca="1">OFFSET(PO!$P$12,ROW($E556)-ROW(F$12),0)</f>
        <v>0</v>
      </c>
      <c r="G556" s="361"/>
      <c r="H556" s="361"/>
      <c r="I556" s="361"/>
      <c r="J556" s="361"/>
      <c r="K556" s="361"/>
      <c r="L556" s="361"/>
      <c r="M556" s="361"/>
      <c r="N556" s="361"/>
      <c r="O556" s="361"/>
      <c r="U556" s="182"/>
    </row>
    <row r="557" spans="1:21" s="1" customFormat="1" x14ac:dyDescent="0.25">
      <c r="A557" s="110" t="str">
        <f ca="1">OFFSET(PO!J$12,ROW(A557)-ROW($A$12),0)</f>
        <v>Serviço</v>
      </c>
      <c r="B557" s="112" t="str">
        <f ca="1">IF($A557=0,"",OFFSET(PO!K$12,ROW(B557)-ROW(B$12),0))</f>
        <v>24.3.1.1.</v>
      </c>
      <c r="C557" s="109" t="str">
        <f ca="1">IF(OFFSET(PO!N$12,ROW(C557)-ROW(C$12),0)=0,"",OFFSET(PO!N$12,ROW(C557)-ROW(C$12),0))</f>
        <v>LASTRO DE CONCRETO MAGRO, APLICADO EM BLOCOS DE COROAMENTO OU SAPATAS, ESPESSURA DE 5 CM. AF_01/2024</v>
      </c>
      <c r="D557" s="111" t="str">
        <f ca="1">IF(OFFSET(PO!O$12,ROW(D557)-ROW(D$12),0)=0,"",OFFSET(PO!O$12,ROW(D557)-ROW(D$12),0))</f>
        <v>M2</v>
      </c>
      <c r="E557" s="140">
        <f ca="1">IF($A557&lt;&gt;"Serviço",0,ROUND(SUMIF($F$9:$P$9,"&lt;&gt;",$F557:$P557),15-13*PO!$X$3))</f>
        <v>19.34</v>
      </c>
      <c r="F557" s="361">
        <f ca="1">OFFSET(PO!$P$12,ROW($E557)-ROW(F$12),0)</f>
        <v>19.34</v>
      </c>
      <c r="G557" s="361"/>
      <c r="H557" s="361"/>
      <c r="I557" s="361"/>
      <c r="J557" s="361"/>
      <c r="K557" s="361"/>
      <c r="L557" s="361"/>
      <c r="M557" s="361"/>
      <c r="N557" s="361"/>
      <c r="O557" s="361"/>
      <c r="U557" s="182"/>
    </row>
    <row r="558" spans="1:21" s="1" customFormat="1" x14ac:dyDescent="0.25">
      <c r="A558" s="110" t="str">
        <f ca="1">OFFSET(PO!J$12,ROW(A558)-ROW($A$12),0)</f>
        <v>Serviço</v>
      </c>
      <c r="B558" s="112" t="str">
        <f ca="1">IF($A558=0,"",OFFSET(PO!K$12,ROW(B558)-ROW(B$12),0))</f>
        <v>24.3.1.2.</v>
      </c>
      <c r="C558" s="109" t="str">
        <f ca="1">IF(OFFSET(PO!N$12,ROW(C558)-ROW(C$12),0)=0,"",OFFSET(PO!N$12,ROW(C558)-ROW(C$12),0))</f>
        <v>FABRICAÇÃO, MONTAGEM E DESMONTAGEM DE FÔRMA PARA SAPATA, EM MADEIRA SERRADA, E=25 MM, 4 UTILIZAÇÕES. AF_01/2024</v>
      </c>
      <c r="D558" s="111" t="str">
        <f ca="1">IF(OFFSET(PO!O$12,ROW(D558)-ROW(D$12),0)=0,"",OFFSET(PO!O$12,ROW(D558)-ROW(D$12),0))</f>
        <v>M2</v>
      </c>
      <c r="E558" s="140">
        <f ca="1">IF($A558&lt;&gt;"Serviço",0,ROUND(SUMIF($F$9:$P$9,"&lt;&gt;",$F558:$P558),15-13*PO!$X$3))</f>
        <v>54.37</v>
      </c>
      <c r="F558" s="361">
        <f ca="1">OFFSET(PO!$P$12,ROW($E558)-ROW(F$12),0)</f>
        <v>54.37</v>
      </c>
      <c r="G558" s="361"/>
      <c r="H558" s="361"/>
      <c r="I558" s="361"/>
      <c r="J558" s="361"/>
      <c r="K558" s="361"/>
      <c r="L558" s="361"/>
      <c r="M558" s="361"/>
      <c r="N558" s="361"/>
      <c r="O558" s="361"/>
      <c r="U558" s="182"/>
    </row>
    <row r="559" spans="1:21" s="1" customFormat="1" x14ac:dyDescent="0.25">
      <c r="A559" s="110" t="str">
        <f ca="1">OFFSET(PO!J$12,ROW(A559)-ROW($A$12),0)</f>
        <v>Serviço</v>
      </c>
      <c r="B559" s="112" t="str">
        <f ca="1">IF($A559=0,"",OFFSET(PO!K$12,ROW(B559)-ROW(B$12),0))</f>
        <v>24.3.1.3.</v>
      </c>
      <c r="C559" s="109" t="str">
        <f ca="1">IF(OFFSET(PO!N$12,ROW(C559)-ROW(C$12),0)=0,"",OFFSET(PO!N$12,ROW(C559)-ROW(C$12),0))</f>
        <v>ARMAÇÃO DE SAPATA ISOLADA, VIGA BALDRAME E SAPATA CORRIDA UTILIZANDO AÇO CA-50 DE 8 MM - MONTAGEM. AF_01/2024</v>
      </c>
      <c r="D559" s="111" t="str">
        <f ca="1">IF(OFFSET(PO!O$12,ROW(D559)-ROW(D$12),0)=0,"",OFFSET(PO!O$12,ROW(D559)-ROW(D$12),0))</f>
        <v>KG</v>
      </c>
      <c r="E559" s="140">
        <f ca="1">IF($A559&lt;&gt;"Serviço",0,ROUND(SUMIF($F$9:$P$9,"&lt;&gt;",$F559:$P559),15-13*PO!$X$3))</f>
        <v>84.2</v>
      </c>
      <c r="F559" s="361">
        <f ca="1">OFFSET(PO!$P$12,ROW($E559)-ROW(F$12),0)</f>
        <v>84.2</v>
      </c>
      <c r="G559" s="361"/>
      <c r="H559" s="361"/>
      <c r="I559" s="361"/>
      <c r="J559" s="361"/>
      <c r="K559" s="361"/>
      <c r="L559" s="361"/>
      <c r="M559" s="361"/>
      <c r="N559" s="361"/>
      <c r="O559" s="361"/>
      <c r="U559" s="182"/>
    </row>
    <row r="560" spans="1:21" s="1" customFormat="1" x14ac:dyDescent="0.25">
      <c r="A560" s="110" t="str">
        <f ca="1">OFFSET(PO!J$12,ROW(A560)-ROW($A$12),0)</f>
        <v>Serviço</v>
      </c>
      <c r="B560" s="112" t="str">
        <f ca="1">IF($A560=0,"",OFFSET(PO!K$12,ROW(B560)-ROW(B$12),0))</f>
        <v>24.3.1.4.</v>
      </c>
      <c r="C560" s="109" t="str">
        <f ca="1">IF(OFFSET(PO!N$12,ROW(C560)-ROW(C$12),0)=0,"",OFFSET(PO!N$12,ROW(C560)-ROW(C$12),0))</f>
        <v>ARMAÇÃO DE SAPATA ISOLADA, VIGA BALDRAME E SAPATA CORRIDA UTILIZANDO AÇO CA-50 DE 10 MM - MONTAGEM. AF_01/2024</v>
      </c>
      <c r="D560" s="111" t="str">
        <f ca="1">IF(OFFSET(PO!O$12,ROW(D560)-ROW(D$12),0)=0,"",OFFSET(PO!O$12,ROW(D560)-ROW(D$12),0))</f>
        <v>KG</v>
      </c>
      <c r="E560" s="140">
        <f ca="1">IF($A560&lt;&gt;"Serviço",0,ROUND(SUMIF($F$9:$P$9,"&lt;&gt;",$F560:$P560),15-13*PO!$X$3))</f>
        <v>116.61</v>
      </c>
      <c r="F560" s="361">
        <f ca="1">OFFSET(PO!$P$12,ROW($E560)-ROW(F$12),0)</f>
        <v>116.61</v>
      </c>
      <c r="G560" s="361"/>
      <c r="H560" s="361"/>
      <c r="I560" s="361"/>
      <c r="J560" s="361"/>
      <c r="K560" s="361"/>
      <c r="L560" s="361"/>
      <c r="M560" s="361"/>
      <c r="N560" s="361"/>
      <c r="O560" s="361"/>
      <c r="U560" s="182"/>
    </row>
    <row r="561" spans="1:21" s="1" customFormat="1" x14ac:dyDescent="0.25">
      <c r="A561" s="110" t="str">
        <f ca="1">OFFSET(PO!J$12,ROW(A561)-ROW($A$12),0)</f>
        <v>Serviço</v>
      </c>
      <c r="B561" s="112" t="str">
        <f ca="1">IF($A561=0,"",OFFSET(PO!K$12,ROW(B561)-ROW(B$12),0))</f>
        <v>24.3.1.5.</v>
      </c>
      <c r="C561" s="109" t="str">
        <f ca="1">IF(OFFSET(PO!N$12,ROW(C561)-ROW(C$12),0)=0,"",OFFSET(PO!N$12,ROW(C561)-ROW(C$12),0))</f>
        <v>ARMAÇÃO DE BLOCO, SAPATA ISOLADA, VIGA BALDRAME E SAPATA CORRIDA UTILIZANDO AÇO CA-50 DE 12,5 MM - MONTAGEM. AF_01/2024</v>
      </c>
      <c r="D561" s="111" t="str">
        <f ca="1">IF(OFFSET(PO!O$12,ROW(D561)-ROW(D$12),0)=0,"",OFFSET(PO!O$12,ROW(D561)-ROW(D$12),0))</f>
        <v>KG</v>
      </c>
      <c r="E561" s="140">
        <f ca="1">IF($A561&lt;&gt;"Serviço",0,ROUND(SUMIF($F$9:$P$9,"&lt;&gt;",$F561:$P561),15-13*PO!$X$3))</f>
        <v>83.78</v>
      </c>
      <c r="F561" s="361">
        <f ca="1">OFFSET(PO!$P$12,ROW($E561)-ROW(F$12),0)</f>
        <v>83.78</v>
      </c>
      <c r="G561" s="361"/>
      <c r="H561" s="361"/>
      <c r="I561" s="361"/>
      <c r="J561" s="361"/>
      <c r="K561" s="361"/>
      <c r="L561" s="361"/>
      <c r="M561" s="361"/>
      <c r="N561" s="361"/>
      <c r="O561" s="361"/>
      <c r="U561" s="182"/>
    </row>
    <row r="562" spans="1:21" s="1" customFormat="1" x14ac:dyDescent="0.25">
      <c r="A562" s="110" t="str">
        <f ca="1">OFFSET(PO!J$12,ROW(A562)-ROW($A$12),0)</f>
        <v>Serviço</v>
      </c>
      <c r="B562" s="112" t="str">
        <f ca="1">IF($A562=0,"",OFFSET(PO!K$12,ROW(B562)-ROW(B$12),0))</f>
        <v>24.3.1.6.</v>
      </c>
      <c r="C562" s="109" t="str">
        <f ca="1">IF(OFFSET(PO!N$12,ROW(C562)-ROW(C$12),0)=0,"",OFFSET(PO!N$12,ROW(C562)-ROW(C$12),0))</f>
        <v>ARMAÇÃO DE SAPATA ISOLADA, VIGA BALDRAME E SAPATA CORRIDA UTILIZANDO AÇO CA-50 DE 6,3 MM - MONTAGEM. AF_01/2024</v>
      </c>
      <c r="D562" s="111" t="str">
        <f ca="1">IF(OFFSET(PO!O$12,ROW(D562)-ROW(D$12),0)=0,"",OFFSET(PO!O$12,ROW(D562)-ROW(D$12),0))</f>
        <v>KG</v>
      </c>
      <c r="E562" s="140">
        <f ca="1">IF($A562&lt;&gt;"Serviço",0,ROUND(SUMIF($F$9:$P$9,"&lt;&gt;",$F562:$P562),15-13*PO!$X$3))</f>
        <v>23.27</v>
      </c>
      <c r="F562" s="361">
        <f ca="1">OFFSET(PO!$P$12,ROW($E562)-ROW(F$12),0)</f>
        <v>23.27</v>
      </c>
      <c r="G562" s="361"/>
      <c r="H562" s="361"/>
      <c r="I562" s="361"/>
      <c r="J562" s="361"/>
      <c r="K562" s="361"/>
      <c r="L562" s="361"/>
      <c r="M562" s="361"/>
      <c r="N562" s="361"/>
      <c r="O562" s="361"/>
      <c r="U562" s="182"/>
    </row>
    <row r="563" spans="1:21" s="1" customFormat="1" x14ac:dyDescent="0.25">
      <c r="A563" s="110" t="str">
        <f ca="1">OFFSET(PO!J$12,ROW(A563)-ROW($A$12),0)</f>
        <v>Serviço</v>
      </c>
      <c r="B563" s="112" t="str">
        <f ca="1">IF($A563=0,"",OFFSET(PO!K$12,ROW(B563)-ROW(B$12),0))</f>
        <v>24.3.1.7.</v>
      </c>
      <c r="C563" s="109" t="str">
        <f ca="1">IF(OFFSET(PO!N$12,ROW(C563)-ROW(C$12),0)=0,"",OFFSET(PO!N$12,ROW(C563)-ROW(C$12),0))</f>
        <v>CONCRETAGEM DE SAPATA, FCK 30 MPA, COM USO DE BOMBA - LANÇAMENTO, ADENSAMENTO E ACABAMENTO. AF_01/2024</v>
      </c>
      <c r="D563" s="111" t="str">
        <f ca="1">IF(OFFSET(PO!O$12,ROW(D563)-ROW(D$12),0)=0,"",OFFSET(PO!O$12,ROW(D563)-ROW(D$12),0))</f>
        <v>M3</v>
      </c>
      <c r="E563" s="140">
        <f ca="1">IF($A563&lt;&gt;"Serviço",0,ROUND(SUMIF($F$9:$P$9,"&lt;&gt;",$F563:$P563),15-13*PO!$X$3))</f>
        <v>6.69</v>
      </c>
      <c r="F563" s="361">
        <f ca="1">OFFSET(PO!$P$12,ROW($E563)-ROW(F$12),0)</f>
        <v>6.69</v>
      </c>
      <c r="G563" s="361"/>
      <c r="H563" s="361"/>
      <c r="I563" s="361"/>
      <c r="J563" s="361"/>
      <c r="K563" s="361"/>
      <c r="L563" s="361"/>
      <c r="M563" s="361"/>
      <c r="N563" s="361"/>
      <c r="O563" s="361"/>
      <c r="U563" s="182"/>
    </row>
    <row r="564" spans="1:21" s="1" customFormat="1" x14ac:dyDescent="0.25">
      <c r="A564" s="110" t="str">
        <f ca="1">OFFSET(PO!J$12,ROW(A564)-ROW($A$12),0)</f>
        <v>Nível 3</v>
      </c>
      <c r="B564" s="112" t="str">
        <f ca="1">IF($A564=0,"",OFFSET(PO!K$12,ROW(B564)-ROW(B$12),0))</f>
        <v>24.3.2.</v>
      </c>
      <c r="C564" s="109" t="str">
        <f ca="1">IF(OFFSET(PO!N$12,ROW(C564)-ROW(C$12),0)=0,"",OFFSET(PO!N$12,ROW(C564)-ROW(C$12),0))</f>
        <v>MURETA E ABRIGO GLP</v>
      </c>
      <c r="D564" s="111" t="str">
        <f ca="1">IF(OFFSET(PO!O$12,ROW(D564)-ROW(D$12),0)=0,"",OFFSET(PO!O$12,ROW(D564)-ROW(D$12),0))</f>
        <v/>
      </c>
      <c r="E564" s="140">
        <f ca="1">IF($A564&lt;&gt;"Serviço",0,ROUND(SUMIF($F$9:$P$9,"&lt;&gt;",$F564:$P564),15-13*PO!$X$3))</f>
        <v>0</v>
      </c>
      <c r="F564" s="361">
        <f ca="1">OFFSET(PO!$P$12,ROW($E564)-ROW(F$12),0)</f>
        <v>0</v>
      </c>
      <c r="G564" s="361"/>
      <c r="H564" s="361"/>
      <c r="I564" s="361"/>
      <c r="J564" s="361"/>
      <c r="K564" s="361"/>
      <c r="L564" s="361"/>
      <c r="M564" s="361"/>
      <c r="N564" s="361"/>
      <c r="O564" s="361"/>
      <c r="U564" s="182"/>
    </row>
    <row r="565" spans="1:21" s="1" customFormat="1" x14ac:dyDescent="0.25">
      <c r="A565" s="110" t="str">
        <f ca="1">OFFSET(PO!J$12,ROW(A565)-ROW($A$12),0)</f>
        <v>Serviço</v>
      </c>
      <c r="B565" s="112" t="str">
        <f ca="1">IF($A565=0,"",OFFSET(PO!K$12,ROW(B565)-ROW(B$12),0))</f>
        <v>24.3.2.1.</v>
      </c>
      <c r="C565" s="109" t="str">
        <f ca="1">IF(OFFSET(PO!N$12,ROW(C565)-ROW(C$12),0)=0,"",OFFSET(PO!N$12,ROW(C565)-ROW(C$12),0))</f>
        <v>MONTAGEM E DESMONTAGEM DE FÔRMA DE PILARES RETANGULARES E ESTRUTURAS SIMILARES, PÉ-DIREITO SIMPLES, EM CHAPA DE MADEIRA COMPENSADA PLASTIFICADA, 18 UTILIZAÇÕES. AF_09/2020</v>
      </c>
      <c r="D565" s="111" t="str">
        <f ca="1">IF(OFFSET(PO!O$12,ROW(D565)-ROW(D$12),0)=0,"",OFFSET(PO!O$12,ROW(D565)-ROW(D$12),0))</f>
        <v>M2</v>
      </c>
      <c r="E565" s="140">
        <f ca="1">IF($A565&lt;&gt;"Serviço",0,ROUND(SUMIF($F$9:$P$9,"&lt;&gt;",$F565:$P565),15-13*PO!$X$3))</f>
        <v>37.24</v>
      </c>
      <c r="F565" s="361">
        <f ca="1">OFFSET(PO!$P$12,ROW($E565)-ROW(F$12),0)</f>
        <v>37.24</v>
      </c>
      <c r="G565" s="361"/>
      <c r="H565" s="361"/>
      <c r="I565" s="361"/>
      <c r="J565" s="361"/>
      <c r="K565" s="361"/>
      <c r="L565" s="361"/>
      <c r="M565" s="361"/>
      <c r="N565" s="361"/>
      <c r="O565" s="361"/>
      <c r="U565" s="182"/>
    </row>
    <row r="566" spans="1:21" s="1" customFormat="1" x14ac:dyDescent="0.25">
      <c r="A566" s="110" t="str">
        <f ca="1">OFFSET(PO!J$12,ROW(A566)-ROW($A$12),0)</f>
        <v>Serviço</v>
      </c>
      <c r="B566" s="112" t="str">
        <f ca="1">IF($A566=0,"",OFFSET(PO!K$12,ROW(B566)-ROW(B$12),0))</f>
        <v>24.3.2.2.</v>
      </c>
      <c r="C566" s="109" t="str">
        <f ca="1">IF(OFFSET(PO!N$12,ROW(C566)-ROW(C$12),0)=0,"",OFFSET(PO!N$12,ROW(C566)-ROW(C$12),0))</f>
        <v>ARMAÇÃO DE PILAR OU VIGA DE ESTRUTURA CONVENCIONAL DE CONCRETO ARMADO UTILIZANDO AÇO CA-50 DE 8,0 MM - MONTAGEM. AF_06/2022</v>
      </c>
      <c r="D566" s="111" t="str">
        <f ca="1">IF(OFFSET(PO!O$12,ROW(D566)-ROW(D$12),0)=0,"",OFFSET(PO!O$12,ROW(D566)-ROW(D$12),0))</f>
        <v>KG</v>
      </c>
      <c r="E566" s="140">
        <f ca="1">IF($A566&lt;&gt;"Serviço",0,ROUND(SUMIF($F$9:$P$9,"&lt;&gt;",$F566:$P566),15-13*PO!$X$3))</f>
        <v>342.12</v>
      </c>
      <c r="F566" s="361">
        <f ca="1">OFFSET(PO!$P$12,ROW($E566)-ROW(F$12),0)</f>
        <v>342.12</v>
      </c>
      <c r="G566" s="361"/>
      <c r="H566" s="361"/>
      <c r="I566" s="361"/>
      <c r="J566" s="361"/>
      <c r="K566" s="361"/>
      <c r="L566" s="361"/>
      <c r="M566" s="361"/>
      <c r="N566" s="361"/>
      <c r="O566" s="361"/>
      <c r="U566" s="182"/>
    </row>
    <row r="567" spans="1:21" s="1" customFormat="1" x14ac:dyDescent="0.25">
      <c r="A567" s="110" t="str">
        <f ca="1">OFFSET(PO!J$12,ROW(A567)-ROW($A$12),0)</f>
        <v>Serviço</v>
      </c>
      <c r="B567" s="112" t="str">
        <f ca="1">IF($A567=0,"",OFFSET(PO!K$12,ROW(B567)-ROW(B$12),0))</f>
        <v>24.3.2.3.</v>
      </c>
      <c r="C567" s="109" t="str">
        <f ca="1">IF(OFFSET(PO!N$12,ROW(C567)-ROW(C$12),0)=0,"",OFFSET(PO!N$12,ROW(C567)-ROW(C$12),0))</f>
        <v>ARMAÇÃO DE PILAR OU VIGA DE ESTRUTURA CONVENCIONAL DE CONCRETO ARMADO UTILIZANDO AÇO CA-50 DE 6,3 MM - MONTAGEM. AF_06/2022</v>
      </c>
      <c r="D567" s="111" t="str">
        <f ca="1">IF(OFFSET(PO!O$12,ROW(D567)-ROW(D$12),0)=0,"",OFFSET(PO!O$12,ROW(D567)-ROW(D$12),0))</f>
        <v>KG</v>
      </c>
      <c r="E567" s="140">
        <f ca="1">IF($A567&lt;&gt;"Serviço",0,ROUND(SUMIF($F$9:$P$9,"&lt;&gt;",$F567:$P567),15-13*PO!$X$3))</f>
        <v>112.9</v>
      </c>
      <c r="F567" s="361">
        <f ca="1">OFFSET(PO!$P$12,ROW($E567)-ROW(F$12),0)</f>
        <v>112.9</v>
      </c>
      <c r="G567" s="361"/>
      <c r="H567" s="361"/>
      <c r="I567" s="361"/>
      <c r="J567" s="361"/>
      <c r="K567" s="361"/>
      <c r="L567" s="361"/>
      <c r="M567" s="361"/>
      <c r="N567" s="361"/>
      <c r="O567" s="361"/>
      <c r="U567" s="182"/>
    </row>
    <row r="568" spans="1:21" s="1" customFormat="1" x14ac:dyDescent="0.25">
      <c r="A568" s="110" t="str">
        <f ca="1">OFFSET(PO!J$12,ROW(A568)-ROW($A$12),0)</f>
        <v>Serviço</v>
      </c>
      <c r="B568" s="112" t="str">
        <f ca="1">IF($A568=0,"",OFFSET(PO!K$12,ROW(B568)-ROW(B$12),0))</f>
        <v>24.3.2.4.</v>
      </c>
      <c r="C568" s="109" t="str">
        <f ca="1">IF(OFFSET(PO!N$12,ROW(C568)-ROW(C$12),0)=0,"",OFFSET(PO!N$12,ROW(C568)-ROW(C$12),0))</f>
        <v>ARMAÇÃO DE PILAR OU VIGA DE ESTRUTURA CONVENCIONAL DE CONCRETO ARMADO UTILIZANDO AÇO CA-50 DE 10,0 MM - MONTAGEM. AF_06/2022</v>
      </c>
      <c r="D568" s="111" t="str">
        <f ca="1">IF(OFFSET(PO!O$12,ROW(D568)-ROW(D$12),0)=0,"",OFFSET(PO!O$12,ROW(D568)-ROW(D$12),0))</f>
        <v>KG</v>
      </c>
      <c r="E568" s="140">
        <f ca="1">IF($A568&lt;&gt;"Serviço",0,ROUND(SUMIF($F$9:$P$9,"&lt;&gt;",$F568:$P568),15-13*PO!$X$3))</f>
        <v>112.9</v>
      </c>
      <c r="F568" s="361">
        <f ca="1">OFFSET(PO!$P$12,ROW($E568)-ROW(F$12),0)</f>
        <v>112.9</v>
      </c>
      <c r="G568" s="361"/>
      <c r="H568" s="361"/>
      <c r="I568" s="361"/>
      <c r="J568" s="361"/>
      <c r="K568" s="361"/>
      <c r="L568" s="361"/>
      <c r="M568" s="361"/>
      <c r="N568" s="361"/>
      <c r="O568" s="361"/>
      <c r="U568" s="182"/>
    </row>
    <row r="569" spans="1:21" s="1" customFormat="1" x14ac:dyDescent="0.25">
      <c r="A569" s="110" t="str">
        <f ca="1">OFFSET(PO!J$12,ROW(A569)-ROW($A$12),0)</f>
        <v>Serviço</v>
      </c>
      <c r="B569" s="112" t="str">
        <f ca="1">IF($A569=0,"",OFFSET(PO!K$12,ROW(B569)-ROW(B$12),0))</f>
        <v>24.3.2.5.</v>
      </c>
      <c r="C569" s="109" t="str">
        <f ca="1">IF(OFFSET(PO!N$12,ROW(C569)-ROW(C$12),0)=0,"",OFFSET(PO!N$12,ROW(C569)-ROW(C$12),0))</f>
        <v>ARMAÇÃO DE PILAR OU VIGA DE ESTRUTURA CONVENCIONAL DE CONCRETO ARMADO UTILIZANDO AÇO CA-60 DE 5,0 MM - MONTAGEM. AF_06/2022</v>
      </c>
      <c r="D569" s="111" t="str">
        <f ca="1">IF(OFFSET(PO!O$12,ROW(D569)-ROW(D$12),0)=0,"",OFFSET(PO!O$12,ROW(D569)-ROW(D$12),0))</f>
        <v>KG</v>
      </c>
      <c r="E569" s="140">
        <f ca="1">IF($A569&lt;&gt;"Serviço",0,ROUND(SUMIF($F$9:$P$9,"&lt;&gt;",$F569:$P569),15-13*PO!$X$3))</f>
        <v>112.9</v>
      </c>
      <c r="F569" s="361">
        <f ca="1">OFFSET(PO!$P$12,ROW($E569)-ROW(F$12),0)</f>
        <v>112.9</v>
      </c>
      <c r="G569" s="361"/>
      <c r="H569" s="361"/>
      <c r="I569" s="361"/>
      <c r="J569" s="361"/>
      <c r="K569" s="361"/>
      <c r="L569" s="361"/>
      <c r="M569" s="361"/>
      <c r="N569" s="361"/>
      <c r="O569" s="361"/>
      <c r="U569" s="182"/>
    </row>
    <row r="570" spans="1:21" s="1" customFormat="1" x14ac:dyDescent="0.25">
      <c r="A570" s="110" t="str">
        <f ca="1">OFFSET(PO!J$12,ROW(A570)-ROW($A$12),0)</f>
        <v>Serviço</v>
      </c>
      <c r="B570" s="112" t="str">
        <f ca="1">IF($A570=0,"",OFFSET(PO!K$12,ROW(B570)-ROW(B$12),0))</f>
        <v>24.3.2.6.</v>
      </c>
      <c r="C570" s="109" t="str">
        <f ca="1">IF(OFFSET(PO!N$12,ROW(C570)-ROW(C$12),0)=0,"",OFFSET(PO!N$12,ROW(C570)-ROW(C$12),0))</f>
        <v>CONCRETAGEM DE VIGAS E LAJES, FCK=25 MPA, PARA LAJES MACIÇAS OU NERVURADAS COM USO DE BOMBA - LANÇAMENTO, ADENSAMENTO E ACABAMENTO. AF_02/2022_PS</v>
      </c>
      <c r="D570" s="111" t="str">
        <f ca="1">IF(OFFSET(PO!O$12,ROW(D570)-ROW(D$12),0)=0,"",OFFSET(PO!O$12,ROW(D570)-ROW(D$12),0))</f>
        <v>M3</v>
      </c>
      <c r="E570" s="140">
        <f ca="1">IF($A570&lt;&gt;"Serviço",0,ROUND(SUMIF($F$9:$P$9,"&lt;&gt;",$F570:$P570),15-13*PO!$X$3))</f>
        <v>9.7799999999999994</v>
      </c>
      <c r="F570" s="361">
        <f ca="1">OFFSET(PO!$P$12,ROW($E570)-ROW(F$12),0)</f>
        <v>9.7749999999999986</v>
      </c>
      <c r="G570" s="361"/>
      <c r="H570" s="361"/>
      <c r="I570" s="361"/>
      <c r="J570" s="361"/>
      <c r="K570" s="361"/>
      <c r="L570" s="361"/>
      <c r="M570" s="361"/>
      <c r="N570" s="361"/>
      <c r="O570" s="361"/>
      <c r="U570" s="182"/>
    </row>
    <row r="571" spans="1:21" s="1" customFormat="1" x14ac:dyDescent="0.25">
      <c r="A571" s="110" t="str">
        <f ca="1">OFFSET(PO!J$12,ROW(A571)-ROW($A$12),0)</f>
        <v>Nível 2</v>
      </c>
      <c r="B571" s="112" t="str">
        <f ca="1">IF($A571=0,"",OFFSET(PO!K$12,ROW(B571)-ROW(B$12),0))</f>
        <v>24.4.</v>
      </c>
      <c r="C571" s="109" t="str">
        <f ca="1">IF(OFFSET(PO!N$12,ROW(C571)-ROW(C$12),0)=0,"",OFFSET(PO!N$12,ROW(C571)-ROW(C$12),0))</f>
        <v>PISOS DE CONCRETO</v>
      </c>
      <c r="D571" s="111" t="str">
        <f ca="1">IF(OFFSET(PO!O$12,ROW(D571)-ROW(D$12),0)=0,"",OFFSET(PO!O$12,ROW(D571)-ROW(D$12),0))</f>
        <v/>
      </c>
      <c r="E571" s="140">
        <f ca="1">IF($A571&lt;&gt;"Serviço",0,ROUND(SUMIF($F$9:$P$9,"&lt;&gt;",$F571:$P571),15-13*PO!$X$3))</f>
        <v>0</v>
      </c>
      <c r="F571" s="361">
        <f ca="1">OFFSET(PO!$P$12,ROW($E571)-ROW(F$12),0)</f>
        <v>0</v>
      </c>
      <c r="G571" s="361"/>
      <c r="H571" s="361"/>
      <c r="I571" s="361"/>
      <c r="J571" s="361"/>
      <c r="K571" s="361"/>
      <c r="L571" s="361"/>
      <c r="M571" s="361"/>
      <c r="N571" s="361"/>
      <c r="O571" s="361"/>
      <c r="U571" s="182"/>
    </row>
    <row r="572" spans="1:21" s="1" customFormat="1" x14ac:dyDescent="0.25">
      <c r="A572" s="110" t="str">
        <f ca="1">OFFSET(PO!J$12,ROW(A572)-ROW($A$12),0)</f>
        <v>Serviço</v>
      </c>
      <c r="B572" s="112" t="str">
        <f ca="1">IF($A572=0,"",OFFSET(PO!K$12,ROW(B572)-ROW(B$12),0))</f>
        <v>24.4.0.1.</v>
      </c>
      <c r="C572" s="109" t="str">
        <f ca="1">IF(OFFSET(PO!N$12,ROW(C572)-ROW(C$12),0)=0,"",OFFSET(PO!N$12,ROW(C572)-ROW(C$12),0))</f>
        <v xml:space="preserve">PISO TATIL / PODOTATIL, LADRILHO HIDRAULICO/CONCRETO, *40 X 40* CM, E= 2,5* CM, PADRAO TATIL ALERTA OU DIRECIONAL, COR NATURAL                                                                                                                                                                                                                                                                                                                                                                            </v>
      </c>
      <c r="D572" s="111" t="str">
        <f ca="1">IF(OFFSET(PO!O$12,ROW(D572)-ROW(D$12),0)=0,"",OFFSET(PO!O$12,ROW(D572)-ROW(D$12),0))</f>
        <v xml:space="preserve">UN    </v>
      </c>
      <c r="E572" s="140">
        <f ca="1">IF($A572&lt;&gt;"Serviço",0,ROUND(SUMIF($F$9:$P$9,"&lt;&gt;",$F572:$P572),15-13*PO!$X$3))</f>
        <v>145</v>
      </c>
      <c r="F572" s="361">
        <f ca="1">OFFSET(PO!$P$12,ROW($E572)-ROW(F$12),0)</f>
        <v>145</v>
      </c>
      <c r="G572" s="361"/>
      <c r="H572" s="361"/>
      <c r="I572" s="361"/>
      <c r="J572" s="361"/>
      <c r="K572" s="361"/>
      <c r="L572" s="361"/>
      <c r="M572" s="361"/>
      <c r="N572" s="361"/>
      <c r="O572" s="361"/>
      <c r="U572" s="182"/>
    </row>
    <row r="573" spans="1:21" s="1" customFormat="1" x14ac:dyDescent="0.25">
      <c r="A573" s="110" t="str">
        <f ca="1">OFFSET(PO!J$12,ROW(A573)-ROW($A$12),0)</f>
        <v>Serviço</v>
      </c>
      <c r="B573" s="112" t="str">
        <f ca="1">IF($A573=0,"",OFFSET(PO!K$12,ROW(B573)-ROW(B$12),0))</f>
        <v>24.4.0.2.</v>
      </c>
      <c r="C573" s="109" t="str">
        <f ca="1">IF(OFFSET(PO!N$12,ROW(C573)-ROW(C$12),0)=0,"",OFFSET(PO!N$12,ROW(C573)-ROW(C$12),0))</f>
        <v>RAMPA DE ACESSIBILIDADE EM CONCRETO MOLDADO IN LOCO, EM CALÇADA NOVA COM LARGURA MAIOR OU IGUAL À 3,00 M, FCK 25MPA, COM PISO PODOTÁTIL. AF_03/2024</v>
      </c>
      <c r="D573" s="111" t="str">
        <f ca="1">IF(OFFSET(PO!O$12,ROW(D573)-ROW(D$12),0)=0,"",OFFSET(PO!O$12,ROW(D573)-ROW(D$12),0))</f>
        <v>UN</v>
      </c>
      <c r="E573" s="140">
        <f ca="1">IF($A573&lt;&gt;"Serviço",0,ROUND(SUMIF($F$9:$P$9,"&lt;&gt;",$F573:$P573),15-13*PO!$X$3))</f>
        <v>2</v>
      </c>
      <c r="F573" s="361">
        <f ca="1">OFFSET(PO!$P$12,ROW($E573)-ROW(F$12),0)</f>
        <v>2</v>
      </c>
      <c r="G573" s="361"/>
      <c r="H573" s="361"/>
      <c r="I573" s="361"/>
      <c r="J573" s="361"/>
      <c r="K573" s="361"/>
      <c r="L573" s="361"/>
      <c r="M573" s="361"/>
      <c r="N573" s="361"/>
      <c r="O573" s="361"/>
      <c r="U573" s="182"/>
    </row>
    <row r="574" spans="1:21" s="1" customFormat="1" x14ac:dyDescent="0.25">
      <c r="A574" s="110" t="str">
        <f ca="1">OFFSET(PO!J$12,ROW(A574)-ROW($A$12),0)</f>
        <v>Nível 2</v>
      </c>
      <c r="B574" s="112" t="str">
        <f ca="1">IF($A574=0,"",OFFSET(PO!K$12,ROW(B574)-ROW(B$12),0))</f>
        <v>24.5.</v>
      </c>
      <c r="C574" s="109" t="str">
        <f ca="1">IF(OFFSET(PO!N$12,ROW(C574)-ROW(C$12),0)=0,"",OFFSET(PO!N$12,ROW(C574)-ROW(C$12),0))</f>
        <v>ALVENARIAS E VEDAÇÕES</v>
      </c>
      <c r="D574" s="111" t="str">
        <f ca="1">IF(OFFSET(PO!O$12,ROW(D574)-ROW(D$12),0)=0,"",OFFSET(PO!O$12,ROW(D574)-ROW(D$12),0))</f>
        <v/>
      </c>
      <c r="E574" s="140">
        <f ca="1">IF($A574&lt;&gt;"Serviço",0,ROUND(SUMIF($F$9:$P$9,"&lt;&gt;",$F574:$P574),15-13*PO!$X$3))</f>
        <v>0</v>
      </c>
      <c r="F574" s="361">
        <f ca="1">OFFSET(PO!$P$12,ROW($E574)-ROW(F$12),0)</f>
        <v>0</v>
      </c>
      <c r="G574" s="361"/>
      <c r="H574" s="361"/>
      <c r="I574" s="361"/>
      <c r="J574" s="361"/>
      <c r="K574" s="361"/>
      <c r="L574" s="361"/>
      <c r="M574" s="361"/>
      <c r="N574" s="361"/>
      <c r="O574" s="361"/>
      <c r="U574" s="182"/>
    </row>
    <row r="575" spans="1:21" s="1" customFormat="1" x14ac:dyDescent="0.25">
      <c r="A575" s="110" t="str">
        <f ca="1">OFFSET(PO!J$12,ROW(A575)-ROW($A$12),0)</f>
        <v>Nível 3</v>
      </c>
      <c r="B575" s="112" t="str">
        <f ca="1">IF($A575=0,"",OFFSET(PO!K$12,ROW(B575)-ROW(B$12),0))</f>
        <v>24.5.1.</v>
      </c>
      <c r="C575" s="109" t="str">
        <f ca="1">IF(OFFSET(PO!N$12,ROW(C575)-ROW(C$12),0)=0,"",OFFSET(PO!N$12,ROW(C575)-ROW(C$12),0))</f>
        <v>ALVENARIA MURETA</v>
      </c>
      <c r="D575" s="111" t="str">
        <f ca="1">IF(OFFSET(PO!O$12,ROW(D575)-ROW(D$12),0)=0,"",OFFSET(PO!O$12,ROW(D575)-ROW(D$12),0))</f>
        <v/>
      </c>
      <c r="E575" s="140">
        <f ca="1">IF($A575&lt;&gt;"Serviço",0,ROUND(SUMIF($F$9:$P$9,"&lt;&gt;",$F575:$P575),15-13*PO!$X$3))</f>
        <v>0</v>
      </c>
      <c r="F575" s="361">
        <f ca="1">OFFSET(PO!$P$12,ROW($E575)-ROW(F$12),0)</f>
        <v>0</v>
      </c>
      <c r="G575" s="361"/>
      <c r="H575" s="361"/>
      <c r="I575" s="361"/>
      <c r="J575" s="361"/>
      <c r="K575" s="361"/>
      <c r="L575" s="361"/>
      <c r="M575" s="361"/>
      <c r="N575" s="361"/>
      <c r="O575" s="361"/>
      <c r="U575" s="182"/>
    </row>
    <row r="576" spans="1:21" s="1" customFormat="1" x14ac:dyDescent="0.25">
      <c r="A576" s="110" t="str">
        <f ca="1">OFFSET(PO!J$12,ROW(A576)-ROW($A$12),0)</f>
        <v>Serviço</v>
      </c>
      <c r="B576" s="112" t="str">
        <f ca="1">IF($A576=0,"",OFFSET(PO!K$12,ROW(B576)-ROW(B$12),0))</f>
        <v>24.5.1.1.</v>
      </c>
      <c r="C576" s="109" t="str">
        <f ca="1">IF(OFFSET(PO!N$12,ROW(C576)-ROW(C$12),0)=0,"",OFFSET(PO!N$12,ROW(C576)-ROW(C$12),0))</f>
        <v>ALVENARIA DE VEDAÇÃO DE BLOCOS CERÂMICOS FURADOS NA VERTICAL DE 14X19X39 CM (ESPESSURA 14 CM) E ARGAMASSA DE ASSENTAMENTO COM PREPARO EM BETONEIRA. AF_12/2021</v>
      </c>
      <c r="D576" s="111" t="str">
        <f ca="1">IF(OFFSET(PO!O$12,ROW(D576)-ROW(D$12),0)=0,"",OFFSET(PO!O$12,ROW(D576)-ROW(D$12),0))</f>
        <v>M2</v>
      </c>
      <c r="E576" s="140">
        <f ca="1">IF($A576&lt;&gt;"Serviço",0,ROUND(SUMIF($F$9:$P$9,"&lt;&gt;",$F576:$P576),15-13*PO!$X$3))</f>
        <v>225</v>
      </c>
      <c r="F576" s="361">
        <f ca="1">OFFSET(PO!$P$12,ROW($E576)-ROW(F$12),0)</f>
        <v>225</v>
      </c>
      <c r="G576" s="361"/>
      <c r="H576" s="361"/>
      <c r="I576" s="361"/>
      <c r="J576" s="361"/>
      <c r="K576" s="361"/>
      <c r="L576" s="361"/>
      <c r="M576" s="361"/>
      <c r="N576" s="361"/>
      <c r="O576" s="361"/>
      <c r="U576" s="182"/>
    </row>
    <row r="577" spans="1:21" s="1" customFormat="1" x14ac:dyDescent="0.25">
      <c r="A577" s="110" t="str">
        <f ca="1">OFFSET(PO!J$12,ROW(A577)-ROW($A$12),0)</f>
        <v>Nível 2</v>
      </c>
      <c r="B577" s="112" t="str">
        <f ca="1">IF($A577=0,"",OFFSET(PO!K$12,ROW(B577)-ROW(B$12),0))</f>
        <v>24.6.</v>
      </c>
      <c r="C577" s="109" t="str">
        <f ca="1">IF(OFFSET(PO!N$12,ROW(C577)-ROW(C$12),0)=0,"",OFFSET(PO!N$12,ROW(C577)-ROW(C$12),0))</f>
        <v>DIVISÓRIAS</v>
      </c>
      <c r="D577" s="111" t="str">
        <f ca="1">IF(OFFSET(PO!O$12,ROW(D577)-ROW(D$12),0)=0,"",OFFSET(PO!O$12,ROW(D577)-ROW(D$12),0))</f>
        <v/>
      </c>
      <c r="E577" s="140">
        <f ca="1">IF($A577&lt;&gt;"Serviço",0,ROUND(SUMIF($F$9:$P$9,"&lt;&gt;",$F577:$P577),15-13*PO!$X$3))</f>
        <v>0</v>
      </c>
      <c r="F577" s="361">
        <f ca="1">OFFSET(PO!$P$12,ROW($E577)-ROW(F$12),0)</f>
        <v>0</v>
      </c>
      <c r="G577" s="361"/>
      <c r="H577" s="361"/>
      <c r="I577" s="361"/>
      <c r="J577" s="361"/>
      <c r="K577" s="361"/>
      <c r="L577" s="361"/>
      <c r="M577" s="361"/>
      <c r="N577" s="361"/>
      <c r="O577" s="361"/>
      <c r="U577" s="182"/>
    </row>
    <row r="578" spans="1:21" s="1" customFormat="1" x14ac:dyDescent="0.25">
      <c r="A578" s="110" t="str">
        <f ca="1">OFFSET(PO!J$12,ROW(A578)-ROW($A$12),0)</f>
        <v>Serviço</v>
      </c>
      <c r="B578" s="112" t="str">
        <f ca="1">IF($A578=0,"",OFFSET(PO!K$12,ROW(B578)-ROW(B$12),0))</f>
        <v>24.6.0.1.</v>
      </c>
      <c r="C578" s="109" t="str">
        <f ca="1">IF(OFFSET(PO!N$12,ROW(C578)-ROW(C$12),0)=0,"",OFFSET(PO!N$12,ROW(C578)-ROW(C$12),0))</f>
        <v>DIVISORIA SANITÁRIA, TIPO CABINE, EM GRANITO CINZA POLIDO, ESP = 3CM, ASSENTADO COM ARGAMASSA COLANTE AC III-E, EXCLUSIVE FERRAGENS. AF_01/2021</v>
      </c>
      <c r="D578" s="111" t="str">
        <f ca="1">IF(OFFSET(PO!O$12,ROW(D578)-ROW(D$12),0)=0,"",OFFSET(PO!O$12,ROW(D578)-ROW(D$12),0))</f>
        <v>M2</v>
      </c>
      <c r="E578" s="140">
        <f ca="1">IF($A578&lt;&gt;"Serviço",0,ROUND(SUMIF($F$9:$P$9,"&lt;&gt;",$F578:$P578),15-13*PO!$X$3))</f>
        <v>8.06</v>
      </c>
      <c r="F578" s="361">
        <f ca="1">OFFSET(PO!$P$12,ROW($E578)-ROW(F$12),0)</f>
        <v>8.06</v>
      </c>
      <c r="G578" s="361"/>
      <c r="H578" s="361"/>
      <c r="I578" s="361"/>
      <c r="J578" s="361"/>
      <c r="K578" s="361"/>
      <c r="L578" s="361"/>
      <c r="M578" s="361"/>
      <c r="N578" s="361"/>
      <c r="O578" s="361"/>
      <c r="U578" s="182"/>
    </row>
    <row r="579" spans="1:21" s="1" customFormat="1" x14ac:dyDescent="0.25">
      <c r="A579" s="110" t="str">
        <f ca="1">OFFSET(PO!J$12,ROW(A579)-ROW($A$12),0)</f>
        <v>Serviço</v>
      </c>
      <c r="B579" s="112" t="str">
        <f ca="1">IF($A579=0,"",OFFSET(PO!K$12,ROW(B579)-ROW(B$12),0))</f>
        <v>24.6.0.2.</v>
      </c>
      <c r="C579" s="109" t="str">
        <f ca="1">IF(OFFSET(PO!N$12,ROW(C579)-ROW(C$12),0)=0,"",OFFSET(PO!N$12,ROW(C579)-ROW(C$12),0))</f>
        <v>BOX DE VIDRO TEMPERADO 10MM, COMPLETO. FORNECIMENTO E INSTALAÇÃO</v>
      </c>
      <c r="D579" s="111" t="str">
        <f ca="1">IF(OFFSET(PO!O$12,ROW(D579)-ROW(D$12),0)=0,"",OFFSET(PO!O$12,ROW(D579)-ROW(D$12),0))</f>
        <v>M2</v>
      </c>
      <c r="E579" s="140">
        <f ca="1">IF($A579&lt;&gt;"Serviço",0,ROUND(SUMIF($F$9:$P$9,"&lt;&gt;",$F579:$P579),15-13*PO!$X$3))</f>
        <v>7.2</v>
      </c>
      <c r="F579" s="361">
        <f ca="1">OFFSET(PO!$P$12,ROW($E579)-ROW(F$12),0)</f>
        <v>7.2</v>
      </c>
      <c r="G579" s="361"/>
      <c r="H579" s="361"/>
      <c r="I579" s="361"/>
      <c r="J579" s="361"/>
      <c r="K579" s="361"/>
      <c r="L579" s="361"/>
      <c r="M579" s="361"/>
      <c r="N579" s="361"/>
      <c r="O579" s="361"/>
      <c r="U579" s="182"/>
    </row>
    <row r="580" spans="1:21" s="1" customFormat="1" x14ac:dyDescent="0.25">
      <c r="A580" s="110" t="str">
        <f ca="1">OFFSET(PO!J$12,ROW(A580)-ROW($A$12),0)</f>
        <v>Serviço</v>
      </c>
      <c r="B580" s="112" t="str">
        <f ca="1">IF($A580=0,"",OFFSET(PO!K$12,ROW(B580)-ROW(B$12),0))</f>
        <v>24.6.0.3.</v>
      </c>
      <c r="C580" s="109" t="str">
        <f ca="1">IF(OFFSET(PO!N$12,ROW(C580)-ROW(C$12),0)=0,"",OFFSET(PO!N$12,ROW(C580)-ROW(C$12),0))</f>
        <v>PAREDE COM SISTEMA EM CHAPAS DE GESSO PARA DRYWALL, USO INTERNO COM DUAS FACES DUPLAS E ESTRUTURA METÁLICA COM GUIAS DUPLAS, SEM VÃOS. AF_07/2023_PS</v>
      </c>
      <c r="D580" s="111" t="str">
        <f ca="1">IF(OFFSET(PO!O$12,ROW(D580)-ROW(D$12),0)=0,"",OFFSET(PO!O$12,ROW(D580)-ROW(D$12),0))</f>
        <v>M2</v>
      </c>
      <c r="E580" s="140">
        <f ca="1">IF($A580&lt;&gt;"Serviço",0,ROUND(SUMIF($F$9:$P$9,"&lt;&gt;",$F580:$P580),15-13*PO!$X$3))</f>
        <v>3.6</v>
      </c>
      <c r="F580" s="361">
        <f ca="1">OFFSET(PO!$P$12,ROW($E580)-ROW(F$12),0)</f>
        <v>3.6</v>
      </c>
      <c r="G580" s="361"/>
      <c r="H580" s="361"/>
      <c r="I580" s="361"/>
      <c r="J580" s="361"/>
      <c r="K580" s="361"/>
      <c r="L580" s="361"/>
      <c r="M580" s="361"/>
      <c r="N580" s="361"/>
      <c r="O580" s="361"/>
      <c r="U580" s="182"/>
    </row>
    <row r="581" spans="1:21" s="1" customFormat="1" x14ac:dyDescent="0.25">
      <c r="A581" s="110" t="str">
        <f ca="1">OFFSET(PO!J$12,ROW(A581)-ROW($A$12),0)</f>
        <v>Nível 2</v>
      </c>
      <c r="B581" s="112" t="str">
        <f ca="1">IF($A581=0,"",OFFSET(PO!K$12,ROW(B581)-ROW(B$12),0))</f>
        <v>24.7.</v>
      </c>
      <c r="C581" s="109" t="str">
        <f ca="1">IF(OFFSET(PO!N$12,ROW(C581)-ROW(C$12),0)=0,"",OFFSET(PO!N$12,ROW(C581)-ROW(C$12),0))</f>
        <v>ESQUADRIAS</v>
      </c>
      <c r="D581" s="111" t="str">
        <f ca="1">IF(OFFSET(PO!O$12,ROW(D581)-ROW(D$12),0)=0,"",OFFSET(PO!O$12,ROW(D581)-ROW(D$12),0))</f>
        <v/>
      </c>
      <c r="E581" s="140">
        <f ca="1">IF($A581&lt;&gt;"Serviço",0,ROUND(SUMIF($F$9:$P$9,"&lt;&gt;",$F581:$P581),15-13*PO!$X$3))</f>
        <v>0</v>
      </c>
      <c r="F581" s="361">
        <f ca="1">OFFSET(PO!$P$12,ROW($E581)-ROW(F$12),0)</f>
        <v>0</v>
      </c>
      <c r="G581" s="361"/>
      <c r="H581" s="361"/>
      <c r="I581" s="361"/>
      <c r="J581" s="361"/>
      <c r="K581" s="361"/>
      <c r="L581" s="361"/>
      <c r="M581" s="361"/>
      <c r="N581" s="361"/>
      <c r="O581" s="361"/>
      <c r="U581" s="182"/>
    </row>
    <row r="582" spans="1:21" s="1" customFormat="1" x14ac:dyDescent="0.25">
      <c r="A582" s="110" t="str">
        <f ca="1">OFFSET(PO!J$12,ROW(A582)-ROW($A$12),0)</f>
        <v>Serviço</v>
      </c>
      <c r="B582" s="112" t="str">
        <f ca="1">IF($A582=0,"",OFFSET(PO!K$12,ROW(B582)-ROW(B$12),0))</f>
        <v>24.7.0.1.</v>
      </c>
      <c r="C582" s="109" t="str">
        <f ca="1">IF(OFFSET(PO!N$12,ROW(C582)-ROW(C$12),0)=0,"",OFFSET(PO!N$12,ROW(C582)-ROW(C$12),0))</f>
        <v>CHAPA METÁLICA (ALUMÍNIO) 0,90 M X 0,40 M, ESPESSURA 1 MM PARA AS PORTAS</v>
      </c>
      <c r="D582" s="111" t="str">
        <f ca="1">IF(OFFSET(PO!O$12,ROW(D582)-ROW(D$12),0)=0,"",OFFSET(PO!O$12,ROW(D582)-ROW(D$12),0))</f>
        <v xml:space="preserve">M2    </v>
      </c>
      <c r="E582" s="140">
        <f ca="1">IF($A582&lt;&gt;"Serviço",0,ROUND(SUMIF($F$9:$P$9,"&lt;&gt;",$F582:$P582),15-13*PO!$X$3))</f>
        <v>12.8</v>
      </c>
      <c r="F582" s="361">
        <f ca="1">OFFSET(PO!$P$12,ROW($E582)-ROW(F$12),0)</f>
        <v>12.8</v>
      </c>
      <c r="G582" s="361"/>
      <c r="H582" s="361"/>
      <c r="I582" s="361"/>
      <c r="J582" s="361"/>
      <c r="K582" s="361"/>
      <c r="L582" s="361"/>
      <c r="M582" s="361"/>
      <c r="N582" s="361"/>
      <c r="O582" s="361"/>
      <c r="U582" s="182"/>
    </row>
    <row r="583" spans="1:21" s="1" customFormat="1" x14ac:dyDescent="0.25">
      <c r="A583" s="110" t="str">
        <f ca="1">OFFSET(PO!J$12,ROW(A583)-ROW($A$12),0)</f>
        <v>Nível 2</v>
      </c>
      <c r="B583" s="112" t="str">
        <f ca="1">IF($A583=0,"",OFFSET(PO!K$12,ROW(B583)-ROW(B$12),0))</f>
        <v>24.8.</v>
      </c>
      <c r="C583" s="109" t="str">
        <f ca="1">IF(OFFSET(PO!N$12,ROW(C583)-ROW(C$12),0)=0,"",OFFSET(PO!N$12,ROW(C583)-ROW(C$12),0))</f>
        <v>ACESSÓRIOS</v>
      </c>
      <c r="D583" s="111" t="str">
        <f ca="1">IF(OFFSET(PO!O$12,ROW(D583)-ROW(D$12),0)=0,"",OFFSET(PO!O$12,ROW(D583)-ROW(D$12),0))</f>
        <v/>
      </c>
      <c r="E583" s="140">
        <f ca="1">IF($A583&lt;&gt;"Serviço",0,ROUND(SUMIF($F$9:$P$9,"&lt;&gt;",$F583:$P583),15-13*PO!$X$3))</f>
        <v>0</v>
      </c>
      <c r="F583" s="361">
        <f ca="1">OFFSET(PO!$P$12,ROW($E583)-ROW(F$12),0)</f>
        <v>0</v>
      </c>
      <c r="G583" s="361"/>
      <c r="H583" s="361"/>
      <c r="I583" s="361"/>
      <c r="J583" s="361"/>
      <c r="K583" s="361"/>
      <c r="L583" s="361"/>
      <c r="M583" s="361"/>
      <c r="N583" s="361"/>
      <c r="O583" s="361"/>
      <c r="U583" s="182"/>
    </row>
    <row r="584" spans="1:21" s="1" customFormat="1" x14ac:dyDescent="0.25">
      <c r="A584" s="110" t="str">
        <f ca="1">OFFSET(PO!J$12,ROW(A584)-ROW($A$12),0)</f>
        <v>Serviço</v>
      </c>
      <c r="B584" s="112" t="str">
        <f ca="1">IF($A584=0,"",OFFSET(PO!K$12,ROW(B584)-ROW(B$12),0))</f>
        <v>24.8.0.1.</v>
      </c>
      <c r="C584" s="109" t="str">
        <f ca="1">IF(OFFSET(PO!N$12,ROW(C584)-ROW(C$12),0)=0,"",OFFSET(PO!N$12,ROW(C584)-ROW(C$12),0))</f>
        <v>BARRA DE APOIO RETA, EM ACO INOX POLIDO, COMPRIMENTO 80 CM,  FIXADA NA PAREDE - FORNECIMENTO E INSTALAÇÃO. AF_01/2020</v>
      </c>
      <c r="D584" s="111" t="str">
        <f ca="1">IF(OFFSET(PO!O$12,ROW(D584)-ROW(D$12),0)=0,"",OFFSET(PO!O$12,ROW(D584)-ROW(D$12),0))</f>
        <v>UN</v>
      </c>
      <c r="E584" s="140">
        <f ca="1">IF($A584&lt;&gt;"Serviço",0,ROUND(SUMIF($F$9:$P$9,"&lt;&gt;",$F584:$P584),15-13*PO!$X$3))</f>
        <v>7</v>
      </c>
      <c r="F584" s="361">
        <f ca="1">OFFSET(PO!$P$12,ROW($E584)-ROW(F$12),0)</f>
        <v>7</v>
      </c>
      <c r="G584" s="361"/>
      <c r="H584" s="361"/>
      <c r="I584" s="361"/>
      <c r="J584" s="361"/>
      <c r="K584" s="361"/>
      <c r="L584" s="361"/>
      <c r="M584" s="361"/>
      <c r="N584" s="361"/>
      <c r="O584" s="361"/>
      <c r="U584" s="182"/>
    </row>
    <row r="585" spans="1:21" s="1" customFormat="1" x14ac:dyDescent="0.25">
      <c r="A585" s="110" t="str">
        <f ca="1">OFFSET(PO!J$12,ROW(A585)-ROW($A$12),0)</f>
        <v>Nível 2</v>
      </c>
      <c r="B585" s="112" t="str">
        <f ca="1">IF($A585=0,"",OFFSET(PO!K$12,ROW(B585)-ROW(B$12),0))</f>
        <v>24.9.</v>
      </c>
      <c r="C585" s="109" t="str">
        <f ca="1">IF(OFFSET(PO!N$12,ROW(C585)-ROW(C$12),0)=0,"",OFFSET(PO!N$12,ROW(C585)-ROW(C$12),0))</f>
        <v>REVESTIMENTO INTERNO E EXTERNO</v>
      </c>
      <c r="D585" s="111" t="str">
        <f ca="1">IF(OFFSET(PO!O$12,ROW(D585)-ROW(D$12),0)=0,"",OFFSET(PO!O$12,ROW(D585)-ROW(D$12),0))</f>
        <v/>
      </c>
      <c r="E585" s="140">
        <f ca="1">IF($A585&lt;&gt;"Serviço",0,ROUND(SUMIF($F$9:$P$9,"&lt;&gt;",$F585:$P585),15-13*PO!$X$3))</f>
        <v>0</v>
      </c>
      <c r="F585" s="361">
        <f ca="1">OFFSET(PO!$P$12,ROW($E585)-ROW(F$12),0)</f>
        <v>0</v>
      </c>
      <c r="G585" s="361"/>
      <c r="H585" s="361"/>
      <c r="I585" s="361"/>
      <c r="J585" s="361"/>
      <c r="K585" s="361"/>
      <c r="L585" s="361"/>
      <c r="M585" s="361"/>
      <c r="N585" s="361"/>
      <c r="O585" s="361"/>
      <c r="U585" s="182"/>
    </row>
    <row r="586" spans="1:21" s="1" customFormat="1" x14ac:dyDescent="0.25">
      <c r="A586" s="110" t="str">
        <f ca="1">OFFSET(PO!J$12,ROW(A586)-ROW($A$12),0)</f>
        <v>Serviço</v>
      </c>
      <c r="B586" s="112" t="str">
        <f ca="1">IF($A586=0,"",OFFSET(PO!K$12,ROW(B586)-ROW(B$12),0))</f>
        <v>24.9.0.1.</v>
      </c>
      <c r="C586" s="109" t="str">
        <f ca="1">IF(OFFSET(PO!N$12,ROW(C586)-ROW(C$12),0)=0,"",OFFSET(PO!N$12,ROW(C586)-ROW(C$12),0))</f>
        <v>ACABAMENTOS PARA FORRO (MOLDURA EM DRYWALL, COM LARGURA DE 15 CM). AF_08/2023_PS</v>
      </c>
      <c r="D586" s="111" t="str">
        <f ca="1">IF(OFFSET(PO!O$12,ROW(D586)-ROW(D$12),0)=0,"",OFFSET(PO!O$12,ROW(D586)-ROW(D$12),0))</f>
        <v>M</v>
      </c>
      <c r="E586" s="140">
        <f ca="1">IF($A586&lt;&gt;"Serviço",0,ROUND(SUMIF($F$9:$P$9,"&lt;&gt;",$F586:$P586),15-13*PO!$X$3))</f>
        <v>248.65</v>
      </c>
      <c r="F586" s="361">
        <f ca="1">OFFSET(PO!$P$12,ROW($E586)-ROW(F$12),0)</f>
        <v>248.64999999999998</v>
      </c>
      <c r="G586" s="361"/>
      <c r="H586" s="361"/>
      <c r="I586" s="361"/>
      <c r="J586" s="361"/>
      <c r="K586" s="361"/>
      <c r="L586" s="361"/>
      <c r="M586" s="361"/>
      <c r="N586" s="361"/>
      <c r="O586" s="361"/>
      <c r="U586" s="182"/>
    </row>
    <row r="587" spans="1:21" s="1" customFormat="1" x14ac:dyDescent="0.25">
      <c r="A587" s="110" t="str">
        <f ca="1">OFFSET(PO!J$12,ROW(A587)-ROW($A$12),0)</f>
        <v>Nível 3</v>
      </c>
      <c r="B587" s="112" t="str">
        <f ca="1">IF($A587=0,"",OFFSET(PO!K$12,ROW(B587)-ROW(B$12),0))</f>
        <v>24.9.1.</v>
      </c>
      <c r="C587" s="109" t="str">
        <f ca="1">IF(OFFSET(PO!N$12,ROW(C587)-ROW(C$12),0)=0,"",OFFSET(PO!N$12,ROW(C587)-ROW(C$12),0))</f>
        <v xml:space="preserve">MURETA  </v>
      </c>
      <c r="D587" s="111" t="str">
        <f ca="1">IF(OFFSET(PO!O$12,ROW(D587)-ROW(D$12),0)=0,"",OFFSET(PO!O$12,ROW(D587)-ROW(D$12),0))</f>
        <v/>
      </c>
      <c r="E587" s="140">
        <f ca="1">IF($A587&lt;&gt;"Serviço",0,ROUND(SUMIF($F$9:$P$9,"&lt;&gt;",$F587:$P587),15-13*PO!$X$3))</f>
        <v>0</v>
      </c>
      <c r="F587" s="361">
        <f ca="1">OFFSET(PO!$P$12,ROW($E587)-ROW(F$12),0)</f>
        <v>0</v>
      </c>
      <c r="G587" s="361"/>
      <c r="H587" s="361"/>
      <c r="I587" s="361"/>
      <c r="J587" s="361"/>
      <c r="K587" s="361"/>
      <c r="L587" s="361"/>
      <c r="M587" s="361"/>
      <c r="N587" s="361"/>
      <c r="O587" s="361"/>
      <c r="U587" s="182"/>
    </row>
    <row r="588" spans="1:21" s="1" customFormat="1" x14ac:dyDescent="0.25">
      <c r="A588" s="110" t="str">
        <f ca="1">OFFSET(PO!J$12,ROW(A588)-ROW($A$12),0)</f>
        <v>Serviço</v>
      </c>
      <c r="B588" s="112" t="str">
        <f ca="1">IF($A588=0,"",OFFSET(PO!K$12,ROW(B588)-ROW(B$12),0))</f>
        <v>24.9.1.1.</v>
      </c>
      <c r="C588" s="109" t="str">
        <f ca="1">IF(OFFSET(PO!N$12,ROW(C588)-ROW(C$12),0)=0,"",OFFSET(PO!N$12,ROW(C588)-ROW(C$12),0))</f>
        <v>CHAPISCO APLICADO EM ALVENARIAS E ESTRUTURAS DE CONCRETO INTERNAS, COM COLHER DE PEDREIRO.  ARGAMASSA TRAÇO 1:3 COM PREPARO MANUAL. AF_10/2022</v>
      </c>
      <c r="D588" s="111" t="str">
        <f ca="1">IF(OFFSET(PO!O$12,ROW(D588)-ROW(D$12),0)=0,"",OFFSET(PO!O$12,ROW(D588)-ROW(D$12),0))</f>
        <v>M2</v>
      </c>
      <c r="E588" s="140">
        <f ca="1">IF($A588&lt;&gt;"Serviço",0,ROUND(SUMIF($F$9:$P$9,"&lt;&gt;",$F588:$P588),15-13*PO!$X$3))</f>
        <v>450</v>
      </c>
      <c r="F588" s="361">
        <f ca="1">OFFSET(PO!$P$12,ROW($E588)-ROW(F$12),0)</f>
        <v>450</v>
      </c>
      <c r="G588" s="361"/>
      <c r="H588" s="361"/>
      <c r="I588" s="361"/>
      <c r="J588" s="361"/>
      <c r="K588" s="361"/>
      <c r="L588" s="361"/>
      <c r="M588" s="361"/>
      <c r="N588" s="361"/>
      <c r="O588" s="361"/>
      <c r="U588" s="182"/>
    </row>
    <row r="589" spans="1:21" s="1" customFormat="1" x14ac:dyDescent="0.25">
      <c r="A589" s="110" t="str">
        <f ca="1">OFFSET(PO!J$12,ROW(A589)-ROW($A$12),0)</f>
        <v>Serviço</v>
      </c>
      <c r="B589" s="112" t="str">
        <f ca="1">IF($A589=0,"",OFFSET(PO!K$12,ROW(B589)-ROW(B$12),0))</f>
        <v>24.9.1.2.</v>
      </c>
      <c r="C589" s="109" t="str">
        <f ca="1">IF(OFFSET(PO!N$12,ROW(C589)-ROW(C$12),0)=0,"",OFFSET(PO!N$12,ROW(C589)-ROW(C$12),0))</f>
        <v>EMBOÇO OU MASSA ÚNICA EM ARGAMASSA TRAÇO 1:2:8, PREPARO MECÂNICO COM BETONEIRA 400 L, APLICADA MANUALMENTE EM PANOS CEGOS DE FACHADA (SEM PRESENÇA DE VÃOS), ESPESSURA DE 25 MM. AF_08/2022</v>
      </c>
      <c r="D589" s="111" t="str">
        <f ca="1">IF(OFFSET(PO!O$12,ROW(D589)-ROW(D$12),0)=0,"",OFFSET(PO!O$12,ROW(D589)-ROW(D$12),0))</f>
        <v>M2</v>
      </c>
      <c r="E589" s="140">
        <f ca="1">IF($A589&lt;&gt;"Serviço",0,ROUND(SUMIF($F$9:$P$9,"&lt;&gt;",$F589:$P589),15-13*PO!$X$3))</f>
        <v>450</v>
      </c>
      <c r="F589" s="361">
        <f ca="1">OFFSET(PO!$P$12,ROW($E589)-ROW(F$12),0)</f>
        <v>450</v>
      </c>
      <c r="G589" s="361"/>
      <c r="H589" s="361"/>
      <c r="I589" s="361"/>
      <c r="J589" s="361"/>
      <c r="K589" s="361"/>
      <c r="L589" s="361"/>
      <c r="M589" s="361"/>
      <c r="N589" s="361"/>
      <c r="O589" s="361"/>
      <c r="U589" s="182"/>
    </row>
    <row r="590" spans="1:21" s="1" customFormat="1" x14ac:dyDescent="0.25">
      <c r="A590" s="110" t="str">
        <f ca="1">OFFSET(PO!J$12,ROW(A590)-ROW($A$12),0)</f>
        <v>Nível 2</v>
      </c>
      <c r="B590" s="112" t="str">
        <f ca="1">IF($A590=0,"",OFFSET(PO!K$12,ROW(B590)-ROW(B$12),0))</f>
        <v>24.10.</v>
      </c>
      <c r="C590" s="109" t="str">
        <f ca="1">IF(OFFSET(PO!N$12,ROW(C590)-ROW(C$12),0)=0,"",OFFSET(PO!N$12,ROW(C590)-ROW(C$12),0))</f>
        <v>SISTEMAS DE PISO</v>
      </c>
      <c r="D590" s="111" t="str">
        <f ca="1">IF(OFFSET(PO!O$12,ROW(D590)-ROW(D$12),0)=0,"",OFFSET(PO!O$12,ROW(D590)-ROW(D$12),0))</f>
        <v/>
      </c>
      <c r="E590" s="140">
        <f ca="1">IF($A590&lt;&gt;"Serviço",0,ROUND(SUMIF($F$9:$P$9,"&lt;&gt;",$F590:$P590),15-13*PO!$X$3))</f>
        <v>0</v>
      </c>
      <c r="F590" s="361">
        <f ca="1">OFFSET(PO!$P$12,ROW($E590)-ROW(F$12),0)</f>
        <v>0</v>
      </c>
      <c r="G590" s="361"/>
      <c r="H590" s="361"/>
      <c r="I590" s="361"/>
      <c r="J590" s="361"/>
      <c r="K590" s="361"/>
      <c r="L590" s="361"/>
      <c r="M590" s="361"/>
      <c r="N590" s="361"/>
      <c r="O590" s="361"/>
      <c r="U590" s="182"/>
    </row>
    <row r="591" spans="1:21" s="1" customFormat="1" x14ac:dyDescent="0.25">
      <c r="A591" s="110" t="str">
        <f ca="1">OFFSET(PO!J$12,ROW(A591)-ROW($A$12),0)</f>
        <v>Serviço</v>
      </c>
      <c r="B591" s="112" t="str">
        <f ca="1">IF($A591=0,"",OFFSET(PO!K$12,ROW(B591)-ROW(B$12),0))</f>
        <v>24.10.0.1.</v>
      </c>
      <c r="C591" s="109" t="str">
        <f ca="1">IF(OFFSET(PO!N$12,ROW(C591)-ROW(C$12),0)=0,"",OFFSET(PO!N$12,ROW(C591)-ROW(C$12),0))</f>
        <v>PISO VINÍLICO SEMI-FLEXÍVEL EM MANTA ESPESSURA 2 MM</v>
      </c>
      <c r="D591" s="111" t="str">
        <f ca="1">IF(OFFSET(PO!O$12,ROW(D591)-ROW(D$12),0)=0,"",OFFSET(PO!O$12,ROW(D591)-ROW(D$12),0))</f>
        <v>M2</v>
      </c>
      <c r="E591" s="140">
        <f ca="1">IF($A591&lt;&gt;"Serviço",0,ROUND(SUMIF($F$9:$P$9,"&lt;&gt;",$F591:$P591),15-13*PO!$X$3))</f>
        <v>0</v>
      </c>
      <c r="F591" s="361">
        <f ca="1">OFFSET(PO!$P$12,ROW($E591)-ROW(F$12),0)</f>
        <v>0</v>
      </c>
      <c r="G591" s="361"/>
      <c r="H591" s="361"/>
      <c r="I591" s="361"/>
      <c r="J591" s="361"/>
      <c r="K591" s="361"/>
      <c r="L591" s="361"/>
      <c r="M591" s="361"/>
      <c r="N591" s="361"/>
      <c r="O591" s="361"/>
      <c r="U591" s="182"/>
    </row>
    <row r="592" spans="1:21" s="1" customFormat="1" x14ac:dyDescent="0.25">
      <c r="A592" s="110" t="str">
        <f ca="1">OFFSET(PO!J$12,ROW(A592)-ROW($A$12),0)</f>
        <v>Serviço</v>
      </c>
      <c r="B592" s="112" t="str">
        <f ca="1">IF($A592=0,"",OFFSET(PO!K$12,ROW(B592)-ROW(B$12),0))</f>
        <v>24.10.0.2.</v>
      </c>
      <c r="C592" s="109" t="str">
        <f ca="1">IF(OFFSET(PO!N$12,ROW(C592)-ROW(C$12),0)=0,"",OFFSET(PO!N$12,ROW(C592)-ROW(C$12),0))</f>
        <v xml:space="preserve">TERRA VEGETAL (GRANEL)                                                                                                                                                                                                                                                                                                                                                                                                                                                                                    </v>
      </c>
      <c r="D592" s="111" t="str">
        <f ca="1">IF(OFFSET(PO!O$12,ROW(D592)-ROW(D$12),0)=0,"",OFFSET(PO!O$12,ROW(D592)-ROW(D$12),0))</f>
        <v xml:space="preserve">M3    </v>
      </c>
      <c r="E592" s="140">
        <f ca="1">IF($A592&lt;&gt;"Serviço",0,ROUND(SUMIF($F$9:$P$9,"&lt;&gt;",$F592:$P592),15-13*PO!$X$3))</f>
        <v>34.479999999999997</v>
      </c>
      <c r="F592" s="361">
        <f ca="1">OFFSET(PO!$P$12,ROW($E592)-ROW(F$12),0)</f>
        <v>34.481000000000002</v>
      </c>
      <c r="G592" s="361"/>
      <c r="H592" s="361"/>
      <c r="I592" s="361"/>
      <c r="J592" s="361"/>
      <c r="K592" s="361"/>
      <c r="L592" s="361"/>
      <c r="M592" s="361"/>
      <c r="N592" s="361"/>
      <c r="O592" s="361"/>
      <c r="U592" s="182"/>
    </row>
    <row r="593" spans="1:21" s="1" customFormat="1" x14ac:dyDescent="0.25">
      <c r="A593" s="110" t="str">
        <f ca="1">OFFSET(PO!J$12,ROW(A593)-ROW($A$12),0)</f>
        <v>Nível 2</v>
      </c>
      <c r="B593" s="112" t="str">
        <f ca="1">IF($A593=0,"",OFFSET(PO!K$12,ROW(B593)-ROW(B$12),0))</f>
        <v>24.11.</v>
      </c>
      <c r="C593" s="109" t="str">
        <f ca="1">IF(OFFSET(PO!N$12,ROW(C593)-ROW(C$12),0)=0,"",OFFSET(PO!N$12,ROW(C593)-ROW(C$12),0))</f>
        <v>INSTALAÇÕES SANITÁRIAS</v>
      </c>
      <c r="D593" s="111" t="str">
        <f ca="1">IF(OFFSET(PO!O$12,ROW(D593)-ROW(D$12),0)=0,"",OFFSET(PO!O$12,ROW(D593)-ROW(D$12),0))</f>
        <v/>
      </c>
      <c r="E593" s="140">
        <f ca="1">IF($A593&lt;&gt;"Serviço",0,ROUND(SUMIF($F$9:$P$9,"&lt;&gt;",$F593:$P593),15-13*PO!$X$3))</f>
        <v>0</v>
      </c>
      <c r="F593" s="361">
        <f ca="1">OFFSET(PO!$P$12,ROW($E593)-ROW(F$12),0)</f>
        <v>0</v>
      </c>
      <c r="G593" s="361"/>
      <c r="H593" s="361"/>
      <c r="I593" s="361"/>
      <c r="J593" s="361"/>
      <c r="K593" s="361"/>
      <c r="L593" s="361"/>
      <c r="M593" s="361"/>
      <c r="N593" s="361"/>
      <c r="O593" s="361"/>
      <c r="U593" s="182"/>
    </row>
    <row r="594" spans="1:21" s="1" customFormat="1" x14ac:dyDescent="0.25">
      <c r="A594" s="110" t="str">
        <f ca="1">OFFSET(PO!J$12,ROW(A594)-ROW($A$12),0)</f>
        <v>Serviço</v>
      </c>
      <c r="B594" s="112" t="str">
        <f ca="1">IF($A594=0,"",OFFSET(PO!K$12,ROW(B594)-ROW(B$12),0))</f>
        <v>24.11.0.1.</v>
      </c>
      <c r="C594" s="109" t="str">
        <f ca="1">IF(OFFSET(PO!N$12,ROW(C594)-ROW(C$12),0)=0,"",OFFSET(PO!N$12,ROW(C594)-ROW(C$12),0))</f>
        <v>BARRA METÁLICA COM PINTURA CINZA PARA PROTEÇÃO DOS ESPELHOS E CHUVEIRO INFANTIL</v>
      </c>
      <c r="D594" s="111" t="str">
        <f ca="1">IF(OFFSET(PO!O$12,ROW(D594)-ROW(D$12),0)=0,"",OFFSET(PO!O$12,ROW(D594)-ROW(D$12),0))</f>
        <v xml:space="preserve">UN    </v>
      </c>
      <c r="E594" s="140">
        <f ca="1">IF($A594&lt;&gt;"Serviço",0,ROUND(SUMIF($F$9:$P$9,"&lt;&gt;",$F594:$P594),15-13*PO!$X$3))</f>
        <v>9</v>
      </c>
      <c r="F594" s="361">
        <f ca="1">OFFSET(PO!$P$12,ROW($E594)-ROW(F$12),0)</f>
        <v>9</v>
      </c>
      <c r="G594" s="361"/>
      <c r="H594" s="361"/>
      <c r="I594" s="361"/>
      <c r="J594" s="361"/>
      <c r="K594" s="361"/>
      <c r="L594" s="361"/>
      <c r="M594" s="361"/>
      <c r="N594" s="361"/>
      <c r="O594" s="361"/>
      <c r="U594" s="182"/>
    </row>
    <row r="595" spans="1:21" s="1" customFormat="1" x14ac:dyDescent="0.25">
      <c r="A595" s="110" t="str">
        <f ca="1">OFFSET(PO!J$12,ROW(A595)-ROW($A$12),0)</f>
        <v>Nível 2</v>
      </c>
      <c r="B595" s="112" t="str">
        <f ca="1">IF($A595=0,"",OFFSET(PO!K$12,ROW(B595)-ROW(B$12),0))</f>
        <v>24.12.</v>
      </c>
      <c r="C595" s="109" t="str">
        <f ca="1">IF(OFFSET(PO!N$12,ROW(C595)-ROW(C$12),0)=0,"",OFFSET(PO!N$12,ROW(C595)-ROW(C$12),0))</f>
        <v>CORTINA DE CONTENÇÃO</v>
      </c>
      <c r="D595" s="111" t="str">
        <f ca="1">IF(OFFSET(PO!O$12,ROW(D595)-ROW(D$12),0)=0,"",OFFSET(PO!O$12,ROW(D595)-ROW(D$12),0))</f>
        <v/>
      </c>
      <c r="E595" s="140">
        <f ca="1">IF($A595&lt;&gt;"Serviço",0,ROUND(SUMIF($F$9:$P$9,"&lt;&gt;",$F595:$P595),15-13*PO!$X$3))</f>
        <v>0</v>
      </c>
      <c r="F595" s="361">
        <f ca="1">OFFSET(PO!$P$12,ROW($E595)-ROW(F$12),0)</f>
        <v>0</v>
      </c>
      <c r="G595" s="361"/>
      <c r="H595" s="361"/>
      <c r="I595" s="361"/>
      <c r="J595" s="361"/>
      <c r="K595" s="361"/>
      <c r="L595" s="361"/>
      <c r="M595" s="361"/>
      <c r="N595" s="361"/>
      <c r="O595" s="361"/>
      <c r="U595" s="182"/>
    </row>
    <row r="596" spans="1:21" s="1" customFormat="1" x14ac:dyDescent="0.25">
      <c r="A596" s="110" t="str">
        <f ca="1">OFFSET(PO!J$12,ROW(A596)-ROW($A$12),0)</f>
        <v>Serviço</v>
      </c>
      <c r="B596" s="112" t="str">
        <f ca="1">IF($A596=0,"",OFFSET(PO!K$12,ROW(B596)-ROW(B$12),0))</f>
        <v>24.12.0.1.</v>
      </c>
      <c r="C596" s="109" t="str">
        <f ca="1">IF(OFFSET(PO!N$12,ROW(C596)-ROW(C$12),0)=0,"",OFFSET(PO!N$12,ROW(C596)-ROW(C$12),0))</f>
        <v>FABRICAÇÃO, MONTAGEM E DESMONTAGEM DE FÔRMA PARA CORTINA DE CONTENÇÃO, EM CHAPA DE MADEIRA COMPENSADA PLASTIFICADA, E = 18 MM, 10 UTILIZAÇÕES. AF_07/2019</v>
      </c>
      <c r="D596" s="111" t="str">
        <f ca="1">IF(OFFSET(PO!O$12,ROW(D596)-ROW(D$12),0)=0,"",OFFSET(PO!O$12,ROW(D596)-ROW(D$12),0))</f>
        <v>M2</v>
      </c>
      <c r="E596" s="140">
        <f ca="1">IF($A596&lt;&gt;"Serviço",0,ROUND(SUMIF($F$9:$P$9,"&lt;&gt;",$F596:$P596),15-13*PO!$X$3))</f>
        <v>65</v>
      </c>
      <c r="F596" s="361">
        <f ca="1">OFFSET(PO!$P$12,ROW($E596)-ROW(F$12),0)</f>
        <v>65</v>
      </c>
      <c r="G596" s="361"/>
      <c r="H596" s="361"/>
      <c r="I596" s="361"/>
      <c r="J596" s="361"/>
      <c r="K596" s="361"/>
      <c r="L596" s="361"/>
      <c r="M596" s="361"/>
      <c r="N596" s="361"/>
      <c r="O596" s="361"/>
      <c r="U596" s="182"/>
    </row>
    <row r="597" spans="1:21" s="1" customFormat="1" x14ac:dyDescent="0.25">
      <c r="A597" s="110" t="str">
        <f ca="1">OFFSET(PO!J$12,ROW(A597)-ROW($A$12),0)</f>
        <v>Serviço</v>
      </c>
      <c r="B597" s="112" t="str">
        <f ca="1">IF($A597=0,"",OFFSET(PO!K$12,ROW(B597)-ROW(B$12),0))</f>
        <v>24.12.0.2.</v>
      </c>
      <c r="C597" s="109" t="str">
        <f ca="1">IF(OFFSET(PO!N$12,ROW(C597)-ROW(C$12),0)=0,"",OFFSET(PO!N$12,ROW(C597)-ROW(C$12),0))</f>
        <v>CONCRETAGEM DE CORTINA DE CONTENÇÃO, ATRAVÉS DE BOMBA  - LANÇAMENTO, ADENSAMENTO E ACABAMENTO. AF_07/2019</v>
      </c>
      <c r="D597" s="111" t="str">
        <f ca="1">IF(OFFSET(PO!O$12,ROW(D597)-ROW(D$12),0)=0,"",OFFSET(PO!O$12,ROW(D597)-ROW(D$12),0))</f>
        <v>M3</v>
      </c>
      <c r="E597" s="140">
        <f ca="1">IF($A597&lt;&gt;"Serviço",0,ROUND(SUMIF($F$9:$P$9,"&lt;&gt;",$F597:$P597),15-13*PO!$X$3))</f>
        <v>24</v>
      </c>
      <c r="F597" s="361">
        <f ca="1">OFFSET(PO!$P$12,ROW($E597)-ROW(F$12),0)</f>
        <v>24</v>
      </c>
      <c r="G597" s="361"/>
      <c r="H597" s="361"/>
      <c r="I597" s="361"/>
      <c r="J597" s="361"/>
      <c r="K597" s="361"/>
      <c r="L597" s="361"/>
      <c r="M597" s="361"/>
      <c r="N597" s="361"/>
      <c r="O597" s="361"/>
      <c r="U597" s="182"/>
    </row>
    <row r="598" spans="1:21" s="1" customFormat="1" x14ac:dyDescent="0.25">
      <c r="A598" s="110" t="str">
        <f ca="1">OFFSET(PO!J$12,ROW(A598)-ROW($A$12),0)</f>
        <v>Serviço</v>
      </c>
      <c r="B598" s="112" t="str">
        <f ca="1">IF($A598=0,"",OFFSET(PO!K$12,ROW(B598)-ROW(B$12),0))</f>
        <v>24.12.0.3.</v>
      </c>
      <c r="C598" s="109" t="str">
        <f ca="1">IF(OFFSET(PO!N$12,ROW(C598)-ROW(C$12),0)=0,"",OFFSET(PO!N$12,ROW(C598)-ROW(C$12),0))</f>
        <v>ARMAÇÃO DE CORTINA DE CONTENÇÃO EM CONCRETO ARMADO, COM AÇO CA-50 DE 10 MM - MONTAGEM. AF_07/2019</v>
      </c>
      <c r="D598" s="111" t="str">
        <f ca="1">IF(OFFSET(PO!O$12,ROW(D598)-ROW(D$12),0)=0,"",OFFSET(PO!O$12,ROW(D598)-ROW(D$12),0))</f>
        <v>KG</v>
      </c>
      <c r="E598" s="140">
        <f ca="1">IF($A598&lt;&gt;"Serviço",0,ROUND(SUMIF($F$9:$P$9,"&lt;&gt;",$F598:$P598),15-13*PO!$X$3))</f>
        <v>2400</v>
      </c>
      <c r="F598" s="361">
        <f ca="1">OFFSET(PO!$P$12,ROW($E598)-ROW(F$12),0)</f>
        <v>2400</v>
      </c>
      <c r="G598" s="361"/>
      <c r="H598" s="361"/>
      <c r="I598" s="361"/>
      <c r="J598" s="361"/>
      <c r="K598" s="361"/>
      <c r="L598" s="361"/>
      <c r="M598" s="361"/>
      <c r="N598" s="361"/>
      <c r="O598" s="361"/>
      <c r="U598" s="182"/>
    </row>
    <row r="599" spans="1:21" s="1" customFormat="1" x14ac:dyDescent="0.25">
      <c r="A599" s="110" t="str">
        <f ca="1">OFFSET(PO!J$12,ROW(A599)-ROW($A$12),0)</f>
        <v>Serviço</v>
      </c>
      <c r="B599" s="112" t="str">
        <f ca="1">IF($A599=0,"",OFFSET(PO!K$12,ROW(B599)-ROW(B$12),0))</f>
        <v>24.12.0.4.</v>
      </c>
      <c r="C599" s="109" t="str">
        <f ca="1">IF(OFFSET(PO!N$12,ROW(C599)-ROW(C$12),0)=0,"",OFFSET(PO!N$12,ROW(C599)-ROW(C$12),0))</f>
        <v xml:space="preserve">CONCRETO USINADO BOMBEAVEL, CLASSE DE RESISTENCIA C25, BRITA 0 E 1, SLUMP = 100 +/- 20 MM, COM BOMBEAMENTO (DISPONIBILIZACAO DE BOMBA), SEM O LANCAMENTO (NBR 8953)                                                                                                                                                                                                                                                                                                                                       </v>
      </c>
      <c r="D599" s="111" t="str">
        <f ca="1">IF(OFFSET(PO!O$12,ROW(D599)-ROW(D$12),0)=0,"",OFFSET(PO!O$12,ROW(D599)-ROW(D$12),0))</f>
        <v xml:space="preserve">M3    </v>
      </c>
      <c r="E599" s="140">
        <f ca="1">IF($A599&lt;&gt;"Serviço",0,ROUND(SUMIF($F$9:$P$9,"&lt;&gt;",$F599:$P599),15-13*PO!$X$3))</f>
        <v>24</v>
      </c>
      <c r="F599" s="361">
        <f ca="1">OFFSET(PO!$P$12,ROW($E599)-ROW(F$12),0)</f>
        <v>24</v>
      </c>
      <c r="G599" s="361"/>
      <c r="H599" s="361"/>
      <c r="I599" s="361"/>
      <c r="J599" s="361"/>
      <c r="K599" s="361"/>
      <c r="L599" s="361"/>
      <c r="M599" s="361"/>
      <c r="N599" s="361"/>
      <c r="O599" s="361"/>
      <c r="U599" s="182"/>
    </row>
    <row r="600" spans="1:21" s="1" customFormat="1" x14ac:dyDescent="0.25">
      <c r="A600" s="110" t="str">
        <f ca="1">OFFSET(PO!J$12,ROW(A600)-ROW($A$12),0)</f>
        <v>Meta</v>
      </c>
      <c r="B600" s="112" t="str">
        <f ca="1">IF($A600=0,"",OFFSET(PO!K$12,ROW(B600)-ROW(B$12),0))</f>
        <v>25.</v>
      </c>
      <c r="C600" s="109" t="str">
        <f ca="1">IF(OFFSET(PO!N$12,ROW(C600)-ROW(C$12),0)=0,"",OFFSET(PO!N$12,ROW(C600)-ROW(C$12),0))</f>
        <v>SERVIÇOS FINAIS</v>
      </c>
      <c r="D600" s="111" t="str">
        <f ca="1">IF(OFFSET(PO!O$12,ROW(D600)-ROW(D$12),0)=0,"",OFFSET(PO!O$12,ROW(D600)-ROW(D$12),0))</f>
        <v/>
      </c>
      <c r="E600" s="140">
        <f ca="1">IF($A600&lt;&gt;"Serviço",0,ROUND(SUMIF($F$9:$P$9,"&lt;&gt;",$F600:$P600),15-13*PO!$X$3))</f>
        <v>0</v>
      </c>
      <c r="F600" s="361">
        <f ca="1">OFFSET(PO!$P$12,ROW($E600)-ROW(F$12),0)</f>
        <v>0</v>
      </c>
      <c r="G600" s="361"/>
      <c r="H600" s="361"/>
      <c r="I600" s="361"/>
      <c r="J600" s="361"/>
      <c r="K600" s="361"/>
      <c r="L600" s="361"/>
      <c r="M600" s="361"/>
      <c r="N600" s="361"/>
      <c r="O600" s="361"/>
      <c r="U600" s="182"/>
    </row>
    <row r="601" spans="1:21" s="1" customFormat="1" ht="26.4" x14ac:dyDescent="0.25">
      <c r="A601" s="110" t="str">
        <f ca="1">OFFSET(PO!J$12,ROW(A601)-ROW($A$12),0)</f>
        <v>Serviço</v>
      </c>
      <c r="B601" s="112" t="str">
        <f ca="1">IF($A601=0,"",OFFSET(PO!K$12,ROW(B601)-ROW(B$12),0))</f>
        <v>25.0.0.1.</v>
      </c>
      <c r="C601" s="109" t="str">
        <f ca="1">IF(OFFSET(PO!N$12,ROW(C601)-ROW(C$12),0)=0,"",OFFSET(PO!N$12,ROW(C601)-ROW(C$12),0))</f>
        <v>LIMPEZA DE PISO CERÂMICO OU PORCELANATO COM PANO ÚMIDO. AF_04/2019</v>
      </c>
      <c r="D601" s="111" t="str">
        <f ca="1">IF(OFFSET(PO!O$12,ROW(D601)-ROW(D$12),0)=0,"",OFFSET(PO!O$12,ROW(D601)-ROW(D$12),0))</f>
        <v>M2</v>
      </c>
      <c r="E601" s="140">
        <f ca="1">IF($A601&lt;&gt;"Serviço",0,ROUND(SUMIF($F$9:$P$9,"&lt;&gt;",$F601:$P601),15-13*PO!$X$3))</f>
        <v>891.68</v>
      </c>
      <c r="F601" s="361">
        <f ca="1">OFFSET(PO!$P$12,ROW($E601)-ROW(F$12),0)</f>
        <v>891.68</v>
      </c>
      <c r="G601" s="361"/>
      <c r="H601" s="361"/>
      <c r="I601" s="361"/>
      <c r="J601" s="361"/>
      <c r="K601" s="361"/>
      <c r="L601" s="361"/>
      <c r="M601" s="361"/>
      <c r="N601" s="361"/>
      <c r="O601" s="361"/>
      <c r="U601" s="182"/>
    </row>
    <row r="602" spans="1:21" s="1" customFormat="1" x14ac:dyDescent="0.25">
      <c r="A602" s="110" t="str">
        <f ca="1">OFFSET(PO!J$12,ROW(A602)-ROW($A$12),0)</f>
        <v>Serviço</v>
      </c>
      <c r="B602" s="112" t="str">
        <f ca="1">IF($A602=0,"",OFFSET(PO!K$12,ROW(B602)-ROW(B$12),0))</f>
        <v>25.0.0.2.</v>
      </c>
      <c r="C602" s="109" t="str">
        <f ca="1">IF(OFFSET(PO!N$12,ROW(C602)-ROW(C$12),0)=0,"",OFFSET(PO!N$12,ROW(C602)-ROW(C$12),0))</f>
        <v xml:space="preserve">PLACA DE INAUGURACAO METALICA, *40* CM X *60* CM                                                                                                                                                                                                                                                                                                                                                                                                                                                          </v>
      </c>
      <c r="D602" s="111" t="str">
        <f ca="1">IF(OFFSET(PO!O$12,ROW(D602)-ROW(D$12),0)=0,"",OFFSET(PO!O$12,ROW(D602)-ROW(D$12),0))</f>
        <v xml:space="preserve">UN    </v>
      </c>
      <c r="E602" s="140">
        <f ca="1">IF($A602&lt;&gt;"Serviço",0,ROUND(SUMIF($F$9:$P$9,"&lt;&gt;",$F602:$P602),15-13*PO!$X$3))</f>
        <v>1</v>
      </c>
      <c r="F602" s="361">
        <f ca="1">OFFSET(PO!$P$12,ROW($E602)-ROW(F$12),0)</f>
        <v>1</v>
      </c>
      <c r="G602" s="361"/>
      <c r="H602" s="361"/>
      <c r="I602" s="361"/>
      <c r="J602" s="361"/>
      <c r="K602" s="361"/>
      <c r="L602" s="361"/>
      <c r="M602" s="361"/>
      <c r="N602" s="361"/>
      <c r="O602" s="361"/>
      <c r="U602" s="182"/>
    </row>
    <row r="603" spans="1:21" s="1" customFormat="1" x14ac:dyDescent="0.25">
      <c r="A603" s="69"/>
      <c r="B603" s="69"/>
      <c r="C603" s="69"/>
      <c r="D603" s="69"/>
      <c r="E603" s="69"/>
      <c r="F603" s="69"/>
      <c r="G603" s="69"/>
      <c r="H603" s="69"/>
      <c r="I603" s="69"/>
      <c r="J603" s="69"/>
      <c r="K603" s="69"/>
      <c r="L603" s="69"/>
      <c r="M603" s="69"/>
      <c r="N603" s="69"/>
      <c r="O603" s="69"/>
      <c r="U603" s="69"/>
    </row>
    <row r="604" spans="1:21" s="1" customFormat="1" x14ac:dyDescent="0.25">
      <c r="B604" s="4"/>
      <c r="C604" s="10"/>
      <c r="D604" s="4"/>
      <c r="E604" s="12"/>
      <c r="F604" s="12"/>
      <c r="G604" s="12"/>
      <c r="H604" s="12"/>
      <c r="I604" s="12"/>
      <c r="J604" s="12"/>
      <c r="K604" s="12"/>
      <c r="L604" s="12"/>
      <c r="M604" s="12"/>
      <c r="N604" s="12"/>
      <c r="O604" s="12"/>
      <c r="U604" s="12"/>
    </row>
    <row r="605" spans="1:21" s="1" customFormat="1" x14ac:dyDescent="0.25">
      <c r="B605" s="332" t="str">
        <f>PO!$K$614</f>
        <v>BENTO GONÇALVES/RS</v>
      </c>
      <c r="C605" s="332"/>
      <c r="D605" s="4"/>
      <c r="E605" s="12"/>
      <c r="F605" s="12"/>
      <c r="G605" s="12"/>
      <c r="H605" s="12"/>
      <c r="I605" s="12"/>
      <c r="J605" s="12"/>
      <c r="K605" s="12"/>
      <c r="L605" s="12"/>
      <c r="M605" s="12"/>
      <c r="N605" s="12"/>
      <c r="O605" s="12"/>
      <c r="U605" s="12"/>
    </row>
    <row r="606" spans="1:21" s="1" customFormat="1" x14ac:dyDescent="0.25">
      <c r="B606" s="98" t="s">
        <v>120</v>
      </c>
      <c r="C606" s="10"/>
      <c r="D606" s="4"/>
      <c r="E606" s="12"/>
      <c r="F606" s="12"/>
      <c r="G606" s="12"/>
      <c r="H606" s="12"/>
      <c r="I606" s="12"/>
      <c r="J606" s="12"/>
      <c r="K606" s="12"/>
      <c r="L606" s="12"/>
      <c r="M606" s="12"/>
      <c r="N606" s="12"/>
      <c r="O606" s="12"/>
      <c r="U606" s="12"/>
    </row>
    <row r="607" spans="1:21" s="1" customFormat="1" x14ac:dyDescent="0.25">
      <c r="B607" s="10"/>
      <c r="C607" s="10"/>
      <c r="D607" s="4"/>
      <c r="E607" s="12"/>
      <c r="F607" s="12"/>
      <c r="G607" s="12"/>
      <c r="H607" s="12"/>
      <c r="I607" s="12"/>
      <c r="J607" s="12"/>
      <c r="K607" s="12"/>
      <c r="L607" s="12"/>
      <c r="M607" s="12"/>
      <c r="N607" s="12"/>
      <c r="O607" s="12"/>
      <c r="U607" s="12"/>
    </row>
    <row r="608" spans="1:21" s="1" customFormat="1" x14ac:dyDescent="0.25">
      <c r="B608" s="333">
        <f ca="1">PO!$K$617</f>
        <v>45770</v>
      </c>
      <c r="C608" s="333"/>
      <c r="D608" s="4"/>
      <c r="E608" s="12"/>
      <c r="F608" s="12"/>
      <c r="G608" s="12"/>
      <c r="H608" s="12"/>
      <c r="I608" s="12"/>
      <c r="J608" s="12"/>
      <c r="K608" s="12"/>
      <c r="L608" s="12"/>
      <c r="M608" s="12"/>
      <c r="N608" s="12"/>
      <c r="O608" s="12"/>
      <c r="U608" s="12"/>
    </row>
    <row r="609" spans="2:21" s="1" customFormat="1" x14ac:dyDescent="0.25">
      <c r="B609" s="120" t="s">
        <v>121</v>
      </c>
      <c r="C609" s="121"/>
      <c r="D609" s="4"/>
      <c r="E609" s="12"/>
      <c r="F609" s="12"/>
      <c r="G609" s="12"/>
      <c r="H609" s="12"/>
      <c r="I609" s="12"/>
      <c r="J609" s="12"/>
      <c r="K609" s="12"/>
      <c r="L609" s="12"/>
      <c r="M609" s="12"/>
      <c r="N609" s="12"/>
      <c r="O609" s="12"/>
      <c r="U609" s="12"/>
    </row>
  </sheetData>
  <sheetProtection password="C95B" sheet="1" objects="1" scenarios="1"/>
  <mergeCells count="2">
    <mergeCell ref="B605:C605"/>
    <mergeCell ref="B608:C608"/>
  </mergeCells>
  <phoneticPr fontId="25" type="noConversion"/>
  <conditionalFormatting sqref="D11:E11 D121:E127 D136:E144 D206:E222 D13:E16 D19:E24 D39:E45 D26:E30 D68:E72 D134:E134 D228:E228 D230:E239 D247:E252 D254:E367 D369:E376 D378:E392 D394:E395 D397:E398 D400:E405 D409:E413 D477:E488 D79:E105 D108:E119 D147:E179 D52:E57 D47:E50 D241:E245 D492:E506 D508:E536 D538:E544 D415:E474 D600:E602">
    <cfRule type="expression" dxfId="547" priority="3212" stopIfTrue="1">
      <formula>$A11="Meta"</formula>
    </cfRule>
    <cfRule type="expression" dxfId="546" priority="3213" stopIfTrue="1">
      <formula>$A11&lt;&gt;"Serviço"</formula>
    </cfRule>
  </conditionalFormatting>
  <conditionalFormatting sqref="C11 C121:C127 C136:C144 C206:C222 C13:C16 C19:C24 C39:C45 C26:C30 C68:C72 C134 C228 C230:C239 C247:C252 C254:C367 C369:C376 C378:C392 C394:C395 C397:C398 C400:C405 C409:C413 C477:C488 C79:C105 C108:C119 C147:C179 C52:C57 C47:C50 C241:C245 C492:C506 C508:C536 C538:C544 C415:C474 C600:C602">
    <cfRule type="expression" dxfId="545" priority="3214" stopIfTrue="1">
      <formula>$A11="Meta"</formula>
    </cfRule>
    <cfRule type="expression" dxfId="544" priority="3215" stopIfTrue="1">
      <formula>$A11&lt;&gt;"Serviço"</formula>
    </cfRule>
  </conditionalFormatting>
  <conditionalFormatting sqref="A11:B11 A121:B127 A136:B144 A206:B222 A13:B16 A19:B24 A39:B45 A26:B30 A68:B72 A134:B134 A228:B228 A230:B239 A247:B252 A254:B367 A369:B376 A378:B392 A394:B395 A397:B398 A400:B405 A409:B413 A477:B488 A79:B105 A108:B119 A147:B179 A52:B57 A47:B50 A241:B245 A492:B506 A508:B536 A538:B544 A415:B474 A600:B602">
    <cfRule type="expression" dxfId="543" priority="3216" stopIfTrue="1">
      <formula>$A11="Meta"</formula>
    </cfRule>
    <cfRule type="expression" dxfId="542" priority="3217" stopIfTrue="1">
      <formula>LEFT($A11,5)="Nível"</formula>
    </cfRule>
    <cfRule type="expression" dxfId="541" priority="3218" stopIfTrue="1">
      <formula>$A11=0</formula>
    </cfRule>
  </conditionalFormatting>
  <conditionalFormatting sqref="U11 U13:U16 F13:O16 F39:O45 U39:U45 F26:O30 U26:U30 U59:U65 F59:O65 F68:O72 U68:U72 U52:U57 F52:O57 U47:U50 F47:O50 F74:O239 U74:U239 F18:O24 U18:U24 F241:O544 U241:U544 U600:U602 F600:O602">
    <cfRule type="expression" dxfId="540" priority="3228" stopIfTrue="1">
      <formula>$A11="Meta"</formula>
    </cfRule>
    <cfRule type="expression" dxfId="539" priority="3229" stopIfTrue="1">
      <formula>OR(F$9=0,$A11&lt;&gt;"Serviço")</formula>
    </cfRule>
    <cfRule type="expression" dxfId="538" priority="3230" stopIfTrue="1">
      <formula>TipoOrçamento="Licitado"</formula>
    </cfRule>
  </conditionalFormatting>
  <conditionalFormatting sqref="U9">
    <cfRule type="expression" dxfId="537" priority="2650" stopIfTrue="1">
      <formula>AND(T9=0,U9=0)</formula>
    </cfRule>
    <cfRule type="expression" dxfId="536" priority="2651" stopIfTrue="1">
      <formula>TipoOrçamento="Licitado"</formula>
    </cfRule>
  </conditionalFormatting>
  <conditionalFormatting sqref="F11:O11">
    <cfRule type="expression" dxfId="535" priority="2610" stopIfTrue="1">
      <formula>$A11="Meta"</formula>
    </cfRule>
    <cfRule type="expression" dxfId="534" priority="2611" stopIfTrue="1">
      <formula>OR(F$9=0,$A11&lt;&gt;"Serviço")</formula>
    </cfRule>
    <cfRule type="expression" dxfId="533" priority="2612" stopIfTrue="1">
      <formula>TipoOrçamento="Licitado"</formula>
    </cfRule>
  </conditionalFormatting>
  <conditionalFormatting sqref="F9:O9">
    <cfRule type="expression" dxfId="532" priority="2608" stopIfTrue="1">
      <formula>AND(E9=0,F9=0)</formula>
    </cfRule>
    <cfRule type="expression" dxfId="531" priority="2609" stopIfTrue="1">
      <formula>TipoOrçamento="Licitado"</formula>
    </cfRule>
  </conditionalFormatting>
  <conditionalFormatting sqref="D182:E202">
    <cfRule type="expression" dxfId="530" priority="823" stopIfTrue="1">
      <formula>$A182="Meta"</formula>
    </cfRule>
    <cfRule type="expression" dxfId="529" priority="824" stopIfTrue="1">
      <formula>$A182&lt;&gt;"Serviço"</formula>
    </cfRule>
  </conditionalFormatting>
  <conditionalFormatting sqref="C182:C202">
    <cfRule type="expression" dxfId="528" priority="825" stopIfTrue="1">
      <formula>$A182="Meta"</formula>
    </cfRule>
    <cfRule type="expression" dxfId="527" priority="826" stopIfTrue="1">
      <formula>$A182&lt;&gt;"Serviço"</formula>
    </cfRule>
  </conditionalFormatting>
  <conditionalFormatting sqref="A182:B202">
    <cfRule type="expression" dxfId="526" priority="827" stopIfTrue="1">
      <formula>$A182="Meta"</formula>
    </cfRule>
    <cfRule type="expression" dxfId="525" priority="828" stopIfTrue="1">
      <formula>LEFT($A182,5)="Nível"</formula>
    </cfRule>
    <cfRule type="expression" dxfId="524" priority="829" stopIfTrue="1">
      <formula>$A182=0</formula>
    </cfRule>
  </conditionalFormatting>
  <conditionalFormatting sqref="D120:E120">
    <cfRule type="expression" dxfId="523" priority="810" stopIfTrue="1">
      <formula>$A120="Meta"</formula>
    </cfRule>
    <cfRule type="expression" dxfId="522" priority="811" stopIfTrue="1">
      <formula>$A120&lt;&gt;"Serviço"</formula>
    </cfRule>
  </conditionalFormatting>
  <conditionalFormatting sqref="C120">
    <cfRule type="expression" dxfId="521" priority="812" stopIfTrue="1">
      <formula>$A120="Meta"</formula>
    </cfRule>
    <cfRule type="expression" dxfId="520" priority="813" stopIfTrue="1">
      <formula>$A120&lt;&gt;"Serviço"</formula>
    </cfRule>
  </conditionalFormatting>
  <conditionalFormatting sqref="A120:B120">
    <cfRule type="expression" dxfId="519" priority="814" stopIfTrue="1">
      <formula>$A120="Meta"</formula>
    </cfRule>
    <cfRule type="expression" dxfId="518" priority="815" stopIfTrue="1">
      <formula>LEFT($A120,5)="Nível"</formula>
    </cfRule>
    <cfRule type="expression" dxfId="517" priority="816" stopIfTrue="1">
      <formula>$A120=0</formula>
    </cfRule>
  </conditionalFormatting>
  <conditionalFormatting sqref="D135:E135">
    <cfRule type="expression" dxfId="516" priority="797" stopIfTrue="1">
      <formula>$A135="Meta"</formula>
    </cfRule>
    <cfRule type="expression" dxfId="515" priority="798" stopIfTrue="1">
      <formula>$A135&lt;&gt;"Serviço"</formula>
    </cfRule>
  </conditionalFormatting>
  <conditionalFormatting sqref="C135">
    <cfRule type="expression" dxfId="514" priority="799" stopIfTrue="1">
      <formula>$A135="Meta"</formula>
    </cfRule>
    <cfRule type="expression" dxfId="513" priority="800" stopIfTrue="1">
      <formula>$A135&lt;&gt;"Serviço"</formula>
    </cfRule>
  </conditionalFormatting>
  <conditionalFormatting sqref="A135:B135">
    <cfRule type="expression" dxfId="512" priority="801" stopIfTrue="1">
      <formula>$A135="Meta"</formula>
    </cfRule>
    <cfRule type="expression" dxfId="511" priority="802" stopIfTrue="1">
      <formula>LEFT($A135,5)="Nível"</formula>
    </cfRule>
    <cfRule type="expression" dxfId="510" priority="803" stopIfTrue="1">
      <formula>$A135=0</formula>
    </cfRule>
  </conditionalFormatting>
  <conditionalFormatting sqref="D246:E246">
    <cfRule type="expression" dxfId="509" priority="758" stopIfTrue="1">
      <formula>$A246="Meta"</formula>
    </cfRule>
    <cfRule type="expression" dxfId="508" priority="759" stopIfTrue="1">
      <formula>$A246&lt;&gt;"Serviço"</formula>
    </cfRule>
  </conditionalFormatting>
  <conditionalFormatting sqref="C246">
    <cfRule type="expression" dxfId="507" priority="760" stopIfTrue="1">
      <formula>$A246="Meta"</formula>
    </cfRule>
    <cfRule type="expression" dxfId="506" priority="761" stopIfTrue="1">
      <formula>$A246&lt;&gt;"Serviço"</formula>
    </cfRule>
  </conditionalFormatting>
  <conditionalFormatting sqref="A246:B246">
    <cfRule type="expression" dxfId="505" priority="762" stopIfTrue="1">
      <formula>$A246="Meta"</formula>
    </cfRule>
    <cfRule type="expression" dxfId="504" priority="763" stopIfTrue="1">
      <formula>LEFT($A246,5)="Nível"</formula>
    </cfRule>
    <cfRule type="expression" dxfId="503" priority="764" stopIfTrue="1">
      <formula>$A246=0</formula>
    </cfRule>
  </conditionalFormatting>
  <conditionalFormatting sqref="D180:E180">
    <cfRule type="expression" dxfId="502" priority="745" stopIfTrue="1">
      <formula>$A180="Meta"</formula>
    </cfRule>
    <cfRule type="expression" dxfId="501" priority="746" stopIfTrue="1">
      <formula>$A180&lt;&gt;"Serviço"</formula>
    </cfRule>
  </conditionalFormatting>
  <conditionalFormatting sqref="C180">
    <cfRule type="expression" dxfId="500" priority="747" stopIfTrue="1">
      <formula>$A180="Meta"</formula>
    </cfRule>
    <cfRule type="expression" dxfId="499" priority="748" stopIfTrue="1">
      <formula>$A180&lt;&gt;"Serviço"</formula>
    </cfRule>
  </conditionalFormatting>
  <conditionalFormatting sqref="A180:B180">
    <cfRule type="expression" dxfId="498" priority="749" stopIfTrue="1">
      <formula>$A180="Meta"</formula>
    </cfRule>
    <cfRule type="expression" dxfId="497" priority="750" stopIfTrue="1">
      <formula>LEFT($A180,5)="Nível"</formula>
    </cfRule>
    <cfRule type="expression" dxfId="496" priority="751" stopIfTrue="1">
      <formula>$A180=0</formula>
    </cfRule>
  </conditionalFormatting>
  <conditionalFormatting sqref="D489:E490">
    <cfRule type="expression" dxfId="495" priority="706" stopIfTrue="1">
      <formula>$A489="Meta"</formula>
    </cfRule>
    <cfRule type="expression" dxfId="494" priority="707" stopIfTrue="1">
      <formula>$A489&lt;&gt;"Serviço"</formula>
    </cfRule>
  </conditionalFormatting>
  <conditionalFormatting sqref="C489:C490">
    <cfRule type="expression" dxfId="493" priority="708" stopIfTrue="1">
      <formula>$A489="Meta"</formula>
    </cfRule>
    <cfRule type="expression" dxfId="492" priority="709" stopIfTrue="1">
      <formula>$A489&lt;&gt;"Serviço"</formula>
    </cfRule>
  </conditionalFormatting>
  <conditionalFormatting sqref="A489:B490">
    <cfRule type="expression" dxfId="491" priority="710" stopIfTrue="1">
      <formula>$A489="Meta"</formula>
    </cfRule>
    <cfRule type="expression" dxfId="490" priority="711" stopIfTrue="1">
      <formula>LEFT($A489,5)="Nível"</formula>
    </cfRule>
    <cfRule type="expression" dxfId="489" priority="712" stopIfTrue="1">
      <formula>$A489=0</formula>
    </cfRule>
  </conditionalFormatting>
  <conditionalFormatting sqref="D491:E491">
    <cfRule type="expression" dxfId="488" priority="693" stopIfTrue="1">
      <formula>$A491="Meta"</formula>
    </cfRule>
    <cfRule type="expression" dxfId="487" priority="694" stopIfTrue="1">
      <formula>$A491&lt;&gt;"Serviço"</formula>
    </cfRule>
  </conditionalFormatting>
  <conditionalFormatting sqref="C491">
    <cfRule type="expression" dxfId="486" priority="695" stopIfTrue="1">
      <formula>$A491="Meta"</formula>
    </cfRule>
    <cfRule type="expression" dxfId="485" priority="696" stopIfTrue="1">
      <formula>$A491&lt;&gt;"Serviço"</formula>
    </cfRule>
  </conditionalFormatting>
  <conditionalFormatting sqref="A491:B491">
    <cfRule type="expression" dxfId="484" priority="697" stopIfTrue="1">
      <formula>$A491="Meta"</formula>
    </cfRule>
    <cfRule type="expression" dxfId="483" priority="698" stopIfTrue="1">
      <formula>LEFT($A491,5)="Nível"</formula>
    </cfRule>
    <cfRule type="expression" dxfId="482" priority="699" stopIfTrue="1">
      <formula>$A491=0</formula>
    </cfRule>
  </conditionalFormatting>
  <conditionalFormatting sqref="D18:E18">
    <cfRule type="expression" dxfId="481" priority="602" stopIfTrue="1">
      <formula>$A18="Meta"</formula>
    </cfRule>
    <cfRule type="expression" dxfId="480" priority="603" stopIfTrue="1">
      <formula>$A18&lt;&gt;"Serviço"</formula>
    </cfRule>
  </conditionalFormatting>
  <conditionalFormatting sqref="C18">
    <cfRule type="expression" dxfId="479" priority="604" stopIfTrue="1">
      <formula>$A18="Meta"</formula>
    </cfRule>
    <cfRule type="expression" dxfId="478" priority="605" stopIfTrue="1">
      <formula>$A18&lt;&gt;"Serviço"</formula>
    </cfRule>
  </conditionalFormatting>
  <conditionalFormatting sqref="A18:B18">
    <cfRule type="expression" dxfId="477" priority="606" stopIfTrue="1">
      <formula>$A18="Meta"</formula>
    </cfRule>
    <cfRule type="expression" dxfId="476" priority="607" stopIfTrue="1">
      <formula>LEFT($A18,5)="Nível"</formula>
    </cfRule>
    <cfRule type="expression" dxfId="475" priority="608" stopIfTrue="1">
      <formula>$A18=0</formula>
    </cfRule>
  </conditionalFormatting>
  <conditionalFormatting sqref="D31:E34">
    <cfRule type="expression" dxfId="474" priority="576" stopIfTrue="1">
      <formula>$A31="Meta"</formula>
    </cfRule>
    <cfRule type="expression" dxfId="473" priority="577" stopIfTrue="1">
      <formula>$A31&lt;&gt;"Serviço"</formula>
    </cfRule>
  </conditionalFormatting>
  <conditionalFormatting sqref="C31:C34">
    <cfRule type="expression" dxfId="472" priority="578" stopIfTrue="1">
      <formula>$A31="Meta"</formula>
    </cfRule>
    <cfRule type="expression" dxfId="471" priority="579" stopIfTrue="1">
      <formula>$A31&lt;&gt;"Serviço"</formula>
    </cfRule>
  </conditionalFormatting>
  <conditionalFormatting sqref="A31:B34">
    <cfRule type="expression" dxfId="470" priority="580" stopIfTrue="1">
      <formula>$A31="Meta"</formula>
    </cfRule>
    <cfRule type="expression" dxfId="469" priority="581" stopIfTrue="1">
      <formula>LEFT($A31,5)="Nível"</formula>
    </cfRule>
    <cfRule type="expression" dxfId="468" priority="582" stopIfTrue="1">
      <formula>$A31=0</formula>
    </cfRule>
  </conditionalFormatting>
  <conditionalFormatting sqref="U31:U34">
    <cfRule type="expression" dxfId="467" priority="583" stopIfTrue="1">
      <formula>$A31="Meta"</formula>
    </cfRule>
    <cfRule type="expression" dxfId="466" priority="584" stopIfTrue="1">
      <formula>OR(U$9=0,$A31&lt;&gt;"Serviço")</formula>
    </cfRule>
    <cfRule type="expression" dxfId="465" priority="585" stopIfTrue="1">
      <formula>TipoOrçamento="Licitado"</formula>
    </cfRule>
  </conditionalFormatting>
  <conditionalFormatting sqref="F31:O34">
    <cfRule type="expression" dxfId="464" priority="573" stopIfTrue="1">
      <formula>$A31="Meta"</formula>
    </cfRule>
    <cfRule type="expression" dxfId="463" priority="574" stopIfTrue="1">
      <formula>OR(F$9=0,$A31&lt;&gt;"Serviço")</formula>
    </cfRule>
    <cfRule type="expression" dxfId="462" priority="575" stopIfTrue="1">
      <formula>TipoOrçamento="Licitado"</formula>
    </cfRule>
  </conditionalFormatting>
  <conditionalFormatting sqref="D25:E25">
    <cfRule type="expression" dxfId="461" priority="563" stopIfTrue="1">
      <formula>$A25="Meta"</formula>
    </cfRule>
    <cfRule type="expression" dxfId="460" priority="564" stopIfTrue="1">
      <formula>$A25&lt;&gt;"Serviço"</formula>
    </cfRule>
  </conditionalFormatting>
  <conditionalFormatting sqref="C25">
    <cfRule type="expression" dxfId="459" priority="565" stopIfTrue="1">
      <formula>$A25="Meta"</formula>
    </cfRule>
    <cfRule type="expression" dxfId="458" priority="566" stopIfTrue="1">
      <formula>$A25&lt;&gt;"Serviço"</formula>
    </cfRule>
  </conditionalFormatting>
  <conditionalFormatting sqref="A25:B25">
    <cfRule type="expression" dxfId="457" priority="567" stopIfTrue="1">
      <formula>$A25="Meta"</formula>
    </cfRule>
    <cfRule type="expression" dxfId="456" priority="568" stopIfTrue="1">
      <formula>LEFT($A25,5)="Nível"</formula>
    </cfRule>
    <cfRule type="expression" dxfId="455" priority="569" stopIfTrue="1">
      <formula>$A25=0</formula>
    </cfRule>
  </conditionalFormatting>
  <conditionalFormatting sqref="U25">
    <cfRule type="expression" dxfId="454" priority="570" stopIfTrue="1">
      <formula>$A25="Meta"</formula>
    </cfRule>
    <cfRule type="expression" dxfId="453" priority="571" stopIfTrue="1">
      <formula>OR(U$9=0,$A25&lt;&gt;"Serviço")</formula>
    </cfRule>
    <cfRule type="expression" dxfId="452" priority="572" stopIfTrue="1">
      <formula>TipoOrçamento="Licitado"</formula>
    </cfRule>
  </conditionalFormatting>
  <conditionalFormatting sqref="F25:O25">
    <cfRule type="expression" dxfId="451" priority="560" stopIfTrue="1">
      <formula>$A25="Meta"</formula>
    </cfRule>
    <cfRule type="expression" dxfId="450" priority="561" stopIfTrue="1">
      <formula>OR(F$9=0,$A25&lt;&gt;"Serviço")</formula>
    </cfRule>
    <cfRule type="expression" dxfId="449" priority="562" stopIfTrue="1">
      <formula>TipoOrçamento="Licitado"</formula>
    </cfRule>
  </conditionalFormatting>
  <conditionalFormatting sqref="D35:E38">
    <cfRule type="expression" dxfId="448" priority="550" stopIfTrue="1">
      <formula>$A35="Meta"</formula>
    </cfRule>
    <cfRule type="expression" dxfId="447" priority="551" stopIfTrue="1">
      <formula>$A35&lt;&gt;"Serviço"</formula>
    </cfRule>
  </conditionalFormatting>
  <conditionalFormatting sqref="C35:C38">
    <cfRule type="expression" dxfId="446" priority="552" stopIfTrue="1">
      <formula>$A35="Meta"</formula>
    </cfRule>
    <cfRule type="expression" dxfId="445" priority="553" stopIfTrue="1">
      <formula>$A35&lt;&gt;"Serviço"</formula>
    </cfRule>
  </conditionalFormatting>
  <conditionalFormatting sqref="A35:B38">
    <cfRule type="expression" dxfId="444" priority="554" stopIfTrue="1">
      <formula>$A35="Meta"</formula>
    </cfRule>
    <cfRule type="expression" dxfId="443" priority="555" stopIfTrue="1">
      <formula>LEFT($A35,5)="Nível"</formula>
    </cfRule>
    <cfRule type="expression" dxfId="442" priority="556" stopIfTrue="1">
      <formula>$A35=0</formula>
    </cfRule>
  </conditionalFormatting>
  <conditionalFormatting sqref="U35:U38">
    <cfRule type="expression" dxfId="441" priority="557" stopIfTrue="1">
      <formula>$A35="Meta"</formula>
    </cfRule>
    <cfRule type="expression" dxfId="440" priority="558" stopIfTrue="1">
      <formula>OR(U$9=0,$A35&lt;&gt;"Serviço")</formula>
    </cfRule>
    <cfRule type="expression" dxfId="439" priority="559" stopIfTrue="1">
      <formula>TipoOrçamento="Licitado"</formula>
    </cfRule>
  </conditionalFormatting>
  <conditionalFormatting sqref="F35:O38">
    <cfRule type="expression" dxfId="438" priority="547" stopIfTrue="1">
      <formula>$A35="Meta"</formula>
    </cfRule>
    <cfRule type="expression" dxfId="437" priority="548" stopIfTrue="1">
      <formula>OR(F$9=0,$A35&lt;&gt;"Serviço")</formula>
    </cfRule>
    <cfRule type="expression" dxfId="436" priority="549" stopIfTrue="1">
      <formula>TipoOrçamento="Licitado"</formula>
    </cfRule>
  </conditionalFormatting>
  <conditionalFormatting sqref="D58:E65">
    <cfRule type="expression" dxfId="435" priority="537" stopIfTrue="1">
      <formula>$A58="Meta"</formula>
    </cfRule>
    <cfRule type="expression" dxfId="434" priority="538" stopIfTrue="1">
      <formula>$A58&lt;&gt;"Serviço"</formula>
    </cfRule>
  </conditionalFormatting>
  <conditionalFormatting sqref="C58:C65">
    <cfRule type="expression" dxfId="433" priority="539" stopIfTrue="1">
      <formula>$A58="Meta"</formula>
    </cfRule>
    <cfRule type="expression" dxfId="432" priority="540" stopIfTrue="1">
      <formula>$A58&lt;&gt;"Serviço"</formula>
    </cfRule>
  </conditionalFormatting>
  <conditionalFormatting sqref="A58:B65">
    <cfRule type="expression" dxfId="431" priority="541" stopIfTrue="1">
      <formula>$A58="Meta"</formula>
    </cfRule>
    <cfRule type="expression" dxfId="430" priority="542" stopIfTrue="1">
      <formula>LEFT($A58,5)="Nível"</formula>
    </cfRule>
    <cfRule type="expression" dxfId="429" priority="543" stopIfTrue="1">
      <formula>$A58=0</formula>
    </cfRule>
  </conditionalFormatting>
  <conditionalFormatting sqref="U58">
    <cfRule type="expression" dxfId="428" priority="544" stopIfTrue="1">
      <formula>$A58="Meta"</formula>
    </cfRule>
    <cfRule type="expression" dxfId="427" priority="545" stopIfTrue="1">
      <formula>OR(U$9=0,$A58&lt;&gt;"Serviço")</formula>
    </cfRule>
    <cfRule type="expression" dxfId="426" priority="546" stopIfTrue="1">
      <formula>TipoOrçamento="Licitado"</formula>
    </cfRule>
  </conditionalFormatting>
  <conditionalFormatting sqref="F58:O58">
    <cfRule type="expression" dxfId="425" priority="534" stopIfTrue="1">
      <formula>$A58="Meta"</formula>
    </cfRule>
    <cfRule type="expression" dxfId="424" priority="535" stopIfTrue="1">
      <formula>OR(F$9=0,$A58&lt;&gt;"Serviço")</formula>
    </cfRule>
    <cfRule type="expression" dxfId="423" priority="536" stopIfTrue="1">
      <formula>TipoOrçamento="Licitado"</formula>
    </cfRule>
  </conditionalFormatting>
  <conditionalFormatting sqref="D74:E78">
    <cfRule type="expression" dxfId="422" priority="511" stopIfTrue="1">
      <formula>$A74="Meta"</formula>
    </cfRule>
    <cfRule type="expression" dxfId="421" priority="512" stopIfTrue="1">
      <formula>$A74&lt;&gt;"Serviço"</formula>
    </cfRule>
  </conditionalFormatting>
  <conditionalFormatting sqref="C74:C78">
    <cfRule type="expression" dxfId="420" priority="513" stopIfTrue="1">
      <formula>$A74="Meta"</formula>
    </cfRule>
    <cfRule type="expression" dxfId="419" priority="514" stopIfTrue="1">
      <formula>$A74&lt;&gt;"Serviço"</formula>
    </cfRule>
  </conditionalFormatting>
  <conditionalFormatting sqref="A74:B78">
    <cfRule type="expression" dxfId="418" priority="515" stopIfTrue="1">
      <formula>$A74="Meta"</formula>
    </cfRule>
    <cfRule type="expression" dxfId="417" priority="516" stopIfTrue="1">
      <formula>LEFT($A74,5)="Nível"</formula>
    </cfRule>
    <cfRule type="expression" dxfId="416" priority="517" stopIfTrue="1">
      <formula>$A74=0</formula>
    </cfRule>
  </conditionalFormatting>
  <conditionalFormatting sqref="D128:E133">
    <cfRule type="expression" dxfId="415" priority="485" stopIfTrue="1">
      <formula>$A128="Meta"</formula>
    </cfRule>
    <cfRule type="expression" dxfId="414" priority="486" stopIfTrue="1">
      <formula>$A128&lt;&gt;"Serviço"</formula>
    </cfRule>
  </conditionalFormatting>
  <conditionalFormatting sqref="C128:C133">
    <cfRule type="expression" dxfId="413" priority="487" stopIfTrue="1">
      <formula>$A128="Meta"</formula>
    </cfRule>
    <cfRule type="expression" dxfId="412" priority="488" stopIfTrue="1">
      <formula>$A128&lt;&gt;"Serviço"</formula>
    </cfRule>
  </conditionalFormatting>
  <conditionalFormatting sqref="A128:B133">
    <cfRule type="expression" dxfId="411" priority="489" stopIfTrue="1">
      <formula>$A128="Meta"</formula>
    </cfRule>
    <cfRule type="expression" dxfId="410" priority="490" stopIfTrue="1">
      <formula>LEFT($A128,5)="Nível"</formula>
    </cfRule>
    <cfRule type="expression" dxfId="409" priority="491" stopIfTrue="1">
      <formula>$A128=0</formula>
    </cfRule>
  </conditionalFormatting>
  <conditionalFormatting sqref="D145:E146">
    <cfRule type="expression" dxfId="408" priority="472" stopIfTrue="1">
      <formula>$A145="Meta"</formula>
    </cfRule>
    <cfRule type="expression" dxfId="407" priority="473" stopIfTrue="1">
      <formula>$A145&lt;&gt;"Serviço"</formula>
    </cfRule>
  </conditionalFormatting>
  <conditionalFormatting sqref="C145:C146">
    <cfRule type="expression" dxfId="406" priority="474" stopIfTrue="1">
      <formula>$A145="Meta"</formula>
    </cfRule>
    <cfRule type="expression" dxfId="405" priority="475" stopIfTrue="1">
      <formula>$A145&lt;&gt;"Serviço"</formula>
    </cfRule>
  </conditionalFormatting>
  <conditionalFormatting sqref="A145:B146">
    <cfRule type="expression" dxfId="404" priority="476" stopIfTrue="1">
      <formula>$A145="Meta"</formula>
    </cfRule>
    <cfRule type="expression" dxfId="403" priority="477" stopIfTrue="1">
      <formula>LEFT($A145,5)="Nível"</formula>
    </cfRule>
    <cfRule type="expression" dxfId="402" priority="478" stopIfTrue="1">
      <formula>$A145=0</formula>
    </cfRule>
  </conditionalFormatting>
  <conditionalFormatting sqref="D203:E205">
    <cfRule type="expression" dxfId="401" priority="459" stopIfTrue="1">
      <formula>$A203="Meta"</formula>
    </cfRule>
    <cfRule type="expression" dxfId="400" priority="460" stopIfTrue="1">
      <formula>$A203&lt;&gt;"Serviço"</formula>
    </cfRule>
  </conditionalFormatting>
  <conditionalFormatting sqref="C203:C205">
    <cfRule type="expression" dxfId="399" priority="461" stopIfTrue="1">
      <formula>$A203="Meta"</formula>
    </cfRule>
    <cfRule type="expression" dxfId="398" priority="462" stopIfTrue="1">
      <formula>$A203&lt;&gt;"Serviço"</formula>
    </cfRule>
  </conditionalFormatting>
  <conditionalFormatting sqref="A203:B205">
    <cfRule type="expression" dxfId="397" priority="463" stopIfTrue="1">
      <formula>$A203="Meta"</formula>
    </cfRule>
    <cfRule type="expression" dxfId="396" priority="464" stopIfTrue="1">
      <formula>LEFT($A203,5)="Nível"</formula>
    </cfRule>
    <cfRule type="expression" dxfId="395" priority="465" stopIfTrue="1">
      <formula>$A203=0</formula>
    </cfRule>
  </conditionalFormatting>
  <conditionalFormatting sqref="D223:E227">
    <cfRule type="expression" dxfId="394" priority="446" stopIfTrue="1">
      <formula>$A223="Meta"</formula>
    </cfRule>
    <cfRule type="expression" dxfId="393" priority="447" stopIfTrue="1">
      <formula>$A223&lt;&gt;"Serviço"</formula>
    </cfRule>
  </conditionalFormatting>
  <conditionalFormatting sqref="C223:C227">
    <cfRule type="expression" dxfId="392" priority="448" stopIfTrue="1">
      <formula>$A223="Meta"</formula>
    </cfRule>
    <cfRule type="expression" dxfId="391" priority="449" stopIfTrue="1">
      <formula>$A223&lt;&gt;"Serviço"</formula>
    </cfRule>
  </conditionalFormatting>
  <conditionalFormatting sqref="A223:B227">
    <cfRule type="expression" dxfId="390" priority="450" stopIfTrue="1">
      <formula>$A223="Meta"</formula>
    </cfRule>
    <cfRule type="expression" dxfId="389" priority="451" stopIfTrue="1">
      <formula>LEFT($A223,5)="Nível"</formula>
    </cfRule>
    <cfRule type="expression" dxfId="388" priority="452" stopIfTrue="1">
      <formula>$A223=0</formula>
    </cfRule>
  </conditionalFormatting>
  <conditionalFormatting sqref="D229:E229">
    <cfRule type="expression" dxfId="387" priority="433" stopIfTrue="1">
      <formula>$A229="Meta"</formula>
    </cfRule>
    <cfRule type="expression" dxfId="386" priority="434" stopIfTrue="1">
      <formula>$A229&lt;&gt;"Serviço"</formula>
    </cfRule>
  </conditionalFormatting>
  <conditionalFormatting sqref="C229">
    <cfRule type="expression" dxfId="385" priority="435" stopIfTrue="1">
      <formula>$A229="Meta"</formula>
    </cfRule>
    <cfRule type="expression" dxfId="384" priority="436" stopIfTrue="1">
      <formula>$A229&lt;&gt;"Serviço"</formula>
    </cfRule>
  </conditionalFormatting>
  <conditionalFormatting sqref="A229:B229">
    <cfRule type="expression" dxfId="383" priority="437" stopIfTrue="1">
      <formula>$A229="Meta"</formula>
    </cfRule>
    <cfRule type="expression" dxfId="382" priority="438" stopIfTrue="1">
      <formula>LEFT($A229,5)="Nível"</formula>
    </cfRule>
    <cfRule type="expression" dxfId="381" priority="439" stopIfTrue="1">
      <formula>$A229=0</formula>
    </cfRule>
  </conditionalFormatting>
  <conditionalFormatting sqref="D253:E253">
    <cfRule type="expression" dxfId="380" priority="407" stopIfTrue="1">
      <formula>$A253="Meta"</formula>
    </cfRule>
    <cfRule type="expression" dxfId="379" priority="408" stopIfTrue="1">
      <formula>$A253&lt;&gt;"Serviço"</formula>
    </cfRule>
  </conditionalFormatting>
  <conditionalFormatting sqref="C253">
    <cfRule type="expression" dxfId="378" priority="409" stopIfTrue="1">
      <formula>$A253="Meta"</formula>
    </cfRule>
    <cfRule type="expression" dxfId="377" priority="410" stopIfTrue="1">
      <formula>$A253&lt;&gt;"Serviço"</formula>
    </cfRule>
  </conditionalFormatting>
  <conditionalFormatting sqref="A253:B253">
    <cfRule type="expression" dxfId="376" priority="411" stopIfTrue="1">
      <formula>$A253="Meta"</formula>
    </cfRule>
    <cfRule type="expression" dxfId="375" priority="412" stopIfTrue="1">
      <formula>LEFT($A253,5)="Nível"</formula>
    </cfRule>
    <cfRule type="expression" dxfId="374" priority="413" stopIfTrue="1">
      <formula>$A253=0</formula>
    </cfRule>
  </conditionalFormatting>
  <conditionalFormatting sqref="D368:E368">
    <cfRule type="expression" dxfId="373" priority="394" stopIfTrue="1">
      <formula>$A368="Meta"</formula>
    </cfRule>
    <cfRule type="expression" dxfId="372" priority="395" stopIfTrue="1">
      <formula>$A368&lt;&gt;"Serviço"</formula>
    </cfRule>
  </conditionalFormatting>
  <conditionalFormatting sqref="C368">
    <cfRule type="expression" dxfId="371" priority="396" stopIfTrue="1">
      <formula>$A368="Meta"</formula>
    </cfRule>
    <cfRule type="expression" dxfId="370" priority="397" stopIfTrue="1">
      <formula>$A368&lt;&gt;"Serviço"</formula>
    </cfRule>
  </conditionalFormatting>
  <conditionalFormatting sqref="A368:B368">
    <cfRule type="expression" dxfId="369" priority="398" stopIfTrue="1">
      <formula>$A368="Meta"</formula>
    </cfRule>
    <cfRule type="expression" dxfId="368" priority="399" stopIfTrue="1">
      <formula>LEFT($A368,5)="Nível"</formula>
    </cfRule>
    <cfRule type="expression" dxfId="367" priority="400" stopIfTrue="1">
      <formula>$A368=0</formula>
    </cfRule>
  </conditionalFormatting>
  <conditionalFormatting sqref="D377:E377">
    <cfRule type="expression" dxfId="366" priority="381" stopIfTrue="1">
      <formula>$A377="Meta"</formula>
    </cfRule>
    <cfRule type="expression" dxfId="365" priority="382" stopIfTrue="1">
      <formula>$A377&lt;&gt;"Serviço"</formula>
    </cfRule>
  </conditionalFormatting>
  <conditionalFormatting sqref="C377">
    <cfRule type="expression" dxfId="364" priority="383" stopIfTrue="1">
      <formula>$A377="Meta"</formula>
    </cfRule>
    <cfRule type="expression" dxfId="363" priority="384" stopIfTrue="1">
      <formula>$A377&lt;&gt;"Serviço"</formula>
    </cfRule>
  </conditionalFormatting>
  <conditionalFormatting sqref="A377:B377">
    <cfRule type="expression" dxfId="362" priority="385" stopIfTrue="1">
      <formula>$A377="Meta"</formula>
    </cfRule>
    <cfRule type="expression" dxfId="361" priority="386" stopIfTrue="1">
      <formula>LEFT($A377,5)="Nível"</formula>
    </cfRule>
    <cfRule type="expression" dxfId="360" priority="387" stopIfTrue="1">
      <formula>$A377=0</formula>
    </cfRule>
  </conditionalFormatting>
  <conditionalFormatting sqref="D393:E393">
    <cfRule type="expression" dxfId="359" priority="368" stopIfTrue="1">
      <formula>$A393="Meta"</formula>
    </cfRule>
    <cfRule type="expression" dxfId="358" priority="369" stopIfTrue="1">
      <formula>$A393&lt;&gt;"Serviço"</formula>
    </cfRule>
  </conditionalFormatting>
  <conditionalFormatting sqref="C393">
    <cfRule type="expression" dxfId="357" priority="370" stopIfTrue="1">
      <formula>$A393="Meta"</formula>
    </cfRule>
    <cfRule type="expression" dxfId="356" priority="371" stopIfTrue="1">
      <formula>$A393&lt;&gt;"Serviço"</formula>
    </cfRule>
  </conditionalFormatting>
  <conditionalFormatting sqref="A393:B393">
    <cfRule type="expression" dxfId="355" priority="372" stopIfTrue="1">
      <formula>$A393="Meta"</formula>
    </cfRule>
    <cfRule type="expression" dxfId="354" priority="373" stopIfTrue="1">
      <formula>LEFT($A393,5)="Nível"</formula>
    </cfRule>
    <cfRule type="expression" dxfId="353" priority="374" stopIfTrue="1">
      <formula>$A393=0</formula>
    </cfRule>
  </conditionalFormatting>
  <conditionalFormatting sqref="D396:E396">
    <cfRule type="expression" dxfId="352" priority="355" stopIfTrue="1">
      <formula>$A396="Meta"</formula>
    </cfRule>
    <cfRule type="expression" dxfId="351" priority="356" stopIfTrue="1">
      <formula>$A396&lt;&gt;"Serviço"</formula>
    </cfRule>
  </conditionalFormatting>
  <conditionalFormatting sqref="C396">
    <cfRule type="expression" dxfId="350" priority="357" stopIfTrue="1">
      <formula>$A396="Meta"</formula>
    </cfRule>
    <cfRule type="expression" dxfId="349" priority="358" stopIfTrue="1">
      <formula>$A396&lt;&gt;"Serviço"</formula>
    </cfRule>
  </conditionalFormatting>
  <conditionalFormatting sqref="A396:B396">
    <cfRule type="expression" dxfId="348" priority="359" stopIfTrue="1">
      <formula>$A396="Meta"</formula>
    </cfRule>
    <cfRule type="expression" dxfId="347" priority="360" stopIfTrue="1">
      <formula>LEFT($A396,5)="Nível"</formula>
    </cfRule>
    <cfRule type="expression" dxfId="346" priority="361" stopIfTrue="1">
      <formula>$A396=0</formula>
    </cfRule>
  </conditionalFormatting>
  <conditionalFormatting sqref="D399:E399">
    <cfRule type="expression" dxfId="345" priority="342" stopIfTrue="1">
      <formula>$A399="Meta"</formula>
    </cfRule>
    <cfRule type="expression" dxfId="344" priority="343" stopIfTrue="1">
      <formula>$A399&lt;&gt;"Serviço"</formula>
    </cfRule>
  </conditionalFormatting>
  <conditionalFormatting sqref="C399">
    <cfRule type="expression" dxfId="343" priority="344" stopIfTrue="1">
      <formula>$A399="Meta"</formula>
    </cfRule>
    <cfRule type="expression" dxfId="342" priority="345" stopIfTrue="1">
      <formula>$A399&lt;&gt;"Serviço"</formula>
    </cfRule>
  </conditionalFormatting>
  <conditionalFormatting sqref="A399:B399">
    <cfRule type="expression" dxfId="341" priority="346" stopIfTrue="1">
      <formula>$A399="Meta"</formula>
    </cfRule>
    <cfRule type="expression" dxfId="340" priority="347" stopIfTrue="1">
      <formula>LEFT($A399,5)="Nível"</formula>
    </cfRule>
    <cfRule type="expression" dxfId="339" priority="348" stopIfTrue="1">
      <formula>$A399=0</formula>
    </cfRule>
  </conditionalFormatting>
  <conditionalFormatting sqref="D406:E407">
    <cfRule type="expression" dxfId="338" priority="329" stopIfTrue="1">
      <formula>$A406="Meta"</formula>
    </cfRule>
    <cfRule type="expression" dxfId="337" priority="330" stopIfTrue="1">
      <formula>$A406&lt;&gt;"Serviço"</formula>
    </cfRule>
  </conditionalFormatting>
  <conditionalFormatting sqref="C406:C407">
    <cfRule type="expression" dxfId="336" priority="331" stopIfTrue="1">
      <formula>$A406="Meta"</formula>
    </cfRule>
    <cfRule type="expression" dxfId="335" priority="332" stopIfTrue="1">
      <formula>$A406&lt;&gt;"Serviço"</formula>
    </cfRule>
  </conditionalFormatting>
  <conditionalFormatting sqref="A406:B407">
    <cfRule type="expression" dxfId="334" priority="333" stopIfTrue="1">
      <formula>$A406="Meta"</formula>
    </cfRule>
    <cfRule type="expression" dxfId="333" priority="334" stopIfTrue="1">
      <formula>LEFT($A406,5)="Nível"</formula>
    </cfRule>
    <cfRule type="expression" dxfId="332" priority="335" stopIfTrue="1">
      <formula>$A406=0</formula>
    </cfRule>
  </conditionalFormatting>
  <conditionalFormatting sqref="D408:E408">
    <cfRule type="expression" dxfId="331" priority="316" stopIfTrue="1">
      <formula>$A408="Meta"</formula>
    </cfRule>
    <cfRule type="expression" dxfId="330" priority="317" stopIfTrue="1">
      <formula>$A408&lt;&gt;"Serviço"</formula>
    </cfRule>
  </conditionalFormatting>
  <conditionalFormatting sqref="C408">
    <cfRule type="expression" dxfId="329" priority="318" stopIfTrue="1">
      <formula>$A408="Meta"</formula>
    </cfRule>
    <cfRule type="expression" dxfId="328" priority="319" stopIfTrue="1">
      <formula>$A408&lt;&gt;"Serviço"</formula>
    </cfRule>
  </conditionalFormatting>
  <conditionalFormatting sqref="A408:B408">
    <cfRule type="expression" dxfId="327" priority="320" stopIfTrue="1">
      <formula>$A408="Meta"</formula>
    </cfRule>
    <cfRule type="expression" dxfId="326" priority="321" stopIfTrue="1">
      <formula>LEFT($A408,5)="Nível"</formula>
    </cfRule>
    <cfRule type="expression" dxfId="325" priority="322" stopIfTrue="1">
      <formula>$A408=0</formula>
    </cfRule>
  </conditionalFormatting>
  <conditionalFormatting sqref="D414:E414">
    <cfRule type="expression" dxfId="324" priority="303" stopIfTrue="1">
      <formula>$A414="Meta"</formula>
    </cfRule>
    <cfRule type="expression" dxfId="323" priority="304" stopIfTrue="1">
      <formula>$A414&lt;&gt;"Serviço"</formula>
    </cfRule>
  </conditionalFormatting>
  <conditionalFormatting sqref="C414">
    <cfRule type="expression" dxfId="322" priority="305" stopIfTrue="1">
      <formula>$A414="Meta"</formula>
    </cfRule>
    <cfRule type="expression" dxfId="321" priority="306" stopIfTrue="1">
      <formula>$A414&lt;&gt;"Serviço"</formula>
    </cfRule>
  </conditionalFormatting>
  <conditionalFormatting sqref="A414:B414">
    <cfRule type="expression" dxfId="320" priority="307" stopIfTrue="1">
      <formula>$A414="Meta"</formula>
    </cfRule>
    <cfRule type="expression" dxfId="319" priority="308" stopIfTrue="1">
      <formula>LEFT($A414,5)="Nível"</formula>
    </cfRule>
    <cfRule type="expression" dxfId="318" priority="309" stopIfTrue="1">
      <formula>$A414=0</formula>
    </cfRule>
  </conditionalFormatting>
  <conditionalFormatting sqref="D475:E475">
    <cfRule type="expression" dxfId="317" priority="290" stopIfTrue="1">
      <formula>$A475="Meta"</formula>
    </cfRule>
    <cfRule type="expression" dxfId="316" priority="291" stopIfTrue="1">
      <formula>$A475&lt;&gt;"Serviço"</formula>
    </cfRule>
  </conditionalFormatting>
  <conditionalFormatting sqref="C475">
    <cfRule type="expression" dxfId="315" priority="292" stopIfTrue="1">
      <formula>$A475="Meta"</formula>
    </cfRule>
    <cfRule type="expression" dxfId="314" priority="293" stopIfTrue="1">
      <formula>$A475&lt;&gt;"Serviço"</formula>
    </cfRule>
  </conditionalFormatting>
  <conditionalFormatting sqref="A475:B475">
    <cfRule type="expression" dxfId="313" priority="294" stopIfTrue="1">
      <formula>$A475="Meta"</formula>
    </cfRule>
    <cfRule type="expression" dxfId="312" priority="295" stopIfTrue="1">
      <formula>LEFT($A475,5)="Nível"</formula>
    </cfRule>
    <cfRule type="expression" dxfId="311" priority="296" stopIfTrue="1">
      <formula>$A475=0</formula>
    </cfRule>
  </conditionalFormatting>
  <conditionalFormatting sqref="D476:E476">
    <cfRule type="expression" dxfId="310" priority="277" stopIfTrue="1">
      <formula>$A476="Meta"</formula>
    </cfRule>
    <cfRule type="expression" dxfId="309" priority="278" stopIfTrue="1">
      <formula>$A476&lt;&gt;"Serviço"</formula>
    </cfRule>
  </conditionalFormatting>
  <conditionalFormatting sqref="C476">
    <cfRule type="expression" dxfId="308" priority="279" stopIfTrue="1">
      <formula>$A476="Meta"</formula>
    </cfRule>
    <cfRule type="expression" dxfId="307" priority="280" stopIfTrue="1">
      <formula>$A476&lt;&gt;"Serviço"</formula>
    </cfRule>
  </conditionalFormatting>
  <conditionalFormatting sqref="A476:B476">
    <cfRule type="expression" dxfId="306" priority="281" stopIfTrue="1">
      <formula>$A476="Meta"</formula>
    </cfRule>
    <cfRule type="expression" dxfId="305" priority="282" stopIfTrue="1">
      <formula>LEFT($A476,5)="Nível"</formula>
    </cfRule>
    <cfRule type="expression" dxfId="304" priority="283" stopIfTrue="1">
      <formula>$A476=0</formula>
    </cfRule>
  </conditionalFormatting>
  <conditionalFormatting sqref="D106:E107">
    <cfRule type="expression" dxfId="303" priority="264" stopIfTrue="1">
      <formula>$A106="Meta"</formula>
    </cfRule>
    <cfRule type="expression" dxfId="302" priority="265" stopIfTrue="1">
      <formula>$A106&lt;&gt;"Serviço"</formula>
    </cfRule>
  </conditionalFormatting>
  <conditionalFormatting sqref="C106:C107">
    <cfRule type="expression" dxfId="301" priority="266" stopIfTrue="1">
      <formula>$A106="Meta"</formula>
    </cfRule>
    <cfRule type="expression" dxfId="300" priority="267" stopIfTrue="1">
      <formula>$A106&lt;&gt;"Serviço"</formula>
    </cfRule>
  </conditionalFormatting>
  <conditionalFormatting sqref="A106:B107">
    <cfRule type="expression" dxfId="299" priority="268" stopIfTrue="1">
      <formula>$A106="Meta"</formula>
    </cfRule>
    <cfRule type="expression" dxfId="298" priority="269" stopIfTrue="1">
      <formula>LEFT($A106,5)="Nível"</formula>
    </cfRule>
    <cfRule type="expression" dxfId="297" priority="270" stopIfTrue="1">
      <formula>$A106=0</formula>
    </cfRule>
  </conditionalFormatting>
  <conditionalFormatting sqref="D66:E66">
    <cfRule type="expression" dxfId="296" priority="238" stopIfTrue="1">
      <formula>$A66="Meta"</formula>
    </cfRule>
    <cfRule type="expression" dxfId="295" priority="239" stopIfTrue="1">
      <formula>$A66&lt;&gt;"Serviço"</formula>
    </cfRule>
  </conditionalFormatting>
  <conditionalFormatting sqref="C66">
    <cfRule type="expression" dxfId="294" priority="240" stopIfTrue="1">
      <formula>$A66="Meta"</formula>
    </cfRule>
    <cfRule type="expression" dxfId="293" priority="241" stopIfTrue="1">
      <formula>$A66&lt;&gt;"Serviço"</formula>
    </cfRule>
  </conditionalFormatting>
  <conditionalFormatting sqref="A66:B66">
    <cfRule type="expression" dxfId="292" priority="242" stopIfTrue="1">
      <formula>$A66="Meta"</formula>
    </cfRule>
    <cfRule type="expression" dxfId="291" priority="243" stopIfTrue="1">
      <formula>LEFT($A66,5)="Nível"</formula>
    </cfRule>
    <cfRule type="expression" dxfId="290" priority="244" stopIfTrue="1">
      <formula>$A66=0</formula>
    </cfRule>
  </conditionalFormatting>
  <conditionalFormatting sqref="U66">
    <cfRule type="expression" dxfId="289" priority="245" stopIfTrue="1">
      <formula>$A66="Meta"</formula>
    </cfRule>
    <cfRule type="expression" dxfId="288" priority="246" stopIfTrue="1">
      <formula>OR(U$9=0,$A66&lt;&gt;"Serviço")</formula>
    </cfRule>
    <cfRule type="expression" dxfId="287" priority="247" stopIfTrue="1">
      <formula>TipoOrçamento="Licitado"</formula>
    </cfRule>
  </conditionalFormatting>
  <conditionalFormatting sqref="F66:O66">
    <cfRule type="expression" dxfId="286" priority="235" stopIfTrue="1">
      <formula>$A66="Meta"</formula>
    </cfRule>
    <cfRule type="expression" dxfId="285" priority="236" stopIfTrue="1">
      <formula>OR(F$9=0,$A66&lt;&gt;"Serviço")</formula>
    </cfRule>
    <cfRule type="expression" dxfId="284" priority="237" stopIfTrue="1">
      <formula>TipoOrçamento="Licitado"</formula>
    </cfRule>
  </conditionalFormatting>
  <conditionalFormatting sqref="D51:E51">
    <cfRule type="expression" dxfId="283" priority="186" stopIfTrue="1">
      <formula>$A51="Meta"</formula>
    </cfRule>
    <cfRule type="expression" dxfId="282" priority="187" stopIfTrue="1">
      <formula>$A51&lt;&gt;"Serviço"</formula>
    </cfRule>
  </conditionalFormatting>
  <conditionalFormatting sqref="C51">
    <cfRule type="expression" dxfId="281" priority="188" stopIfTrue="1">
      <formula>$A51="Meta"</formula>
    </cfRule>
    <cfRule type="expression" dxfId="280" priority="189" stopIfTrue="1">
      <formula>$A51&lt;&gt;"Serviço"</formula>
    </cfRule>
  </conditionalFormatting>
  <conditionalFormatting sqref="A51:B51">
    <cfRule type="expression" dxfId="279" priority="190" stopIfTrue="1">
      <formula>$A51="Meta"</formula>
    </cfRule>
    <cfRule type="expression" dxfId="278" priority="191" stopIfTrue="1">
      <formula>LEFT($A51,5)="Nível"</formula>
    </cfRule>
    <cfRule type="expression" dxfId="277" priority="192" stopIfTrue="1">
      <formula>$A51=0</formula>
    </cfRule>
  </conditionalFormatting>
  <conditionalFormatting sqref="U51">
    <cfRule type="expression" dxfId="276" priority="193" stopIfTrue="1">
      <formula>$A51="Meta"</formula>
    </cfRule>
    <cfRule type="expression" dxfId="275" priority="194" stopIfTrue="1">
      <formula>OR(U$9=0,$A51&lt;&gt;"Serviço")</formula>
    </cfRule>
    <cfRule type="expression" dxfId="274" priority="195" stopIfTrue="1">
      <formula>TipoOrçamento="Licitado"</formula>
    </cfRule>
  </conditionalFormatting>
  <conditionalFormatting sqref="F51:O51">
    <cfRule type="expression" dxfId="273" priority="183" stopIfTrue="1">
      <formula>$A51="Meta"</formula>
    </cfRule>
    <cfRule type="expression" dxfId="272" priority="184" stopIfTrue="1">
      <formula>OR(F$9=0,$A51&lt;&gt;"Serviço")</formula>
    </cfRule>
    <cfRule type="expression" dxfId="271" priority="185" stopIfTrue="1">
      <formula>TipoOrçamento="Licitado"</formula>
    </cfRule>
  </conditionalFormatting>
  <conditionalFormatting sqref="D46:E46">
    <cfRule type="expression" dxfId="270" priority="173" stopIfTrue="1">
      <formula>$A46="Meta"</formula>
    </cfRule>
    <cfRule type="expression" dxfId="269" priority="174" stopIfTrue="1">
      <formula>$A46&lt;&gt;"Serviço"</formula>
    </cfRule>
  </conditionalFormatting>
  <conditionalFormatting sqref="C46">
    <cfRule type="expression" dxfId="268" priority="175" stopIfTrue="1">
      <formula>$A46="Meta"</formula>
    </cfRule>
    <cfRule type="expression" dxfId="267" priority="176" stopIfTrue="1">
      <formula>$A46&lt;&gt;"Serviço"</formula>
    </cfRule>
  </conditionalFormatting>
  <conditionalFormatting sqref="A46:B46">
    <cfRule type="expression" dxfId="266" priority="177" stopIfTrue="1">
      <formula>$A46="Meta"</formula>
    </cfRule>
    <cfRule type="expression" dxfId="265" priority="178" stopIfTrue="1">
      <formula>LEFT($A46,5)="Nível"</formula>
    </cfRule>
    <cfRule type="expression" dxfId="264" priority="179" stopIfTrue="1">
      <formula>$A46=0</formula>
    </cfRule>
  </conditionalFormatting>
  <conditionalFormatting sqref="U46">
    <cfRule type="expression" dxfId="263" priority="180" stopIfTrue="1">
      <formula>$A46="Meta"</formula>
    </cfRule>
    <cfRule type="expression" dxfId="262" priority="181" stopIfTrue="1">
      <formula>OR(U$9=0,$A46&lt;&gt;"Serviço")</formula>
    </cfRule>
    <cfRule type="expression" dxfId="261" priority="182" stopIfTrue="1">
      <formula>TipoOrçamento="Licitado"</formula>
    </cfRule>
  </conditionalFormatting>
  <conditionalFormatting sqref="F46:O46">
    <cfRule type="expression" dxfId="260" priority="170" stopIfTrue="1">
      <formula>$A46="Meta"</formula>
    </cfRule>
    <cfRule type="expression" dxfId="259" priority="171" stopIfTrue="1">
      <formula>OR(F$9=0,$A46&lt;&gt;"Serviço")</formula>
    </cfRule>
    <cfRule type="expression" dxfId="258" priority="172" stopIfTrue="1">
      <formula>TipoOrçamento="Licitado"</formula>
    </cfRule>
  </conditionalFormatting>
  <conditionalFormatting sqref="D67:E67">
    <cfRule type="expression" dxfId="257" priority="160" stopIfTrue="1">
      <formula>$A67="Meta"</formula>
    </cfRule>
    <cfRule type="expression" dxfId="256" priority="161" stopIfTrue="1">
      <formula>$A67&lt;&gt;"Serviço"</formula>
    </cfRule>
  </conditionalFormatting>
  <conditionalFormatting sqref="C67">
    <cfRule type="expression" dxfId="255" priority="162" stopIfTrue="1">
      <formula>$A67="Meta"</formula>
    </cfRule>
    <cfRule type="expression" dxfId="254" priority="163" stopIfTrue="1">
      <formula>$A67&lt;&gt;"Serviço"</formula>
    </cfRule>
  </conditionalFormatting>
  <conditionalFormatting sqref="A67:B67">
    <cfRule type="expression" dxfId="253" priority="164" stopIfTrue="1">
      <formula>$A67="Meta"</formula>
    </cfRule>
    <cfRule type="expression" dxfId="252" priority="165" stopIfTrue="1">
      <formula>LEFT($A67,5)="Nível"</formula>
    </cfRule>
    <cfRule type="expression" dxfId="251" priority="166" stopIfTrue="1">
      <formula>$A67=0</formula>
    </cfRule>
  </conditionalFormatting>
  <conditionalFormatting sqref="U67">
    <cfRule type="expression" dxfId="250" priority="167" stopIfTrue="1">
      <formula>$A67="Meta"</formula>
    </cfRule>
    <cfRule type="expression" dxfId="249" priority="168" stopIfTrue="1">
      <formula>OR(U$9=0,$A67&lt;&gt;"Serviço")</formula>
    </cfRule>
    <cfRule type="expression" dxfId="248" priority="169" stopIfTrue="1">
      <formula>TipoOrçamento="Licitado"</formula>
    </cfRule>
  </conditionalFormatting>
  <conditionalFormatting sqref="F67:O67">
    <cfRule type="expression" dxfId="247" priority="157" stopIfTrue="1">
      <formula>$A67="Meta"</formula>
    </cfRule>
    <cfRule type="expression" dxfId="246" priority="158" stopIfTrue="1">
      <formula>OR(F$9=0,$A67&lt;&gt;"Serviço")</formula>
    </cfRule>
    <cfRule type="expression" dxfId="245" priority="159" stopIfTrue="1">
      <formula>TipoOrçamento="Licitado"</formula>
    </cfRule>
  </conditionalFormatting>
  <conditionalFormatting sqref="D73:E73">
    <cfRule type="expression" dxfId="244" priority="147" stopIfTrue="1">
      <formula>$A73="Meta"</formula>
    </cfRule>
    <cfRule type="expression" dxfId="243" priority="148" stopIfTrue="1">
      <formula>$A73&lt;&gt;"Serviço"</formula>
    </cfRule>
  </conditionalFormatting>
  <conditionalFormatting sqref="C73">
    <cfRule type="expression" dxfId="242" priority="149" stopIfTrue="1">
      <formula>$A73="Meta"</formula>
    </cfRule>
    <cfRule type="expression" dxfId="241" priority="150" stopIfTrue="1">
      <formula>$A73&lt;&gt;"Serviço"</formula>
    </cfRule>
  </conditionalFormatting>
  <conditionalFormatting sqref="A73:B73">
    <cfRule type="expression" dxfId="240" priority="151" stopIfTrue="1">
      <formula>$A73="Meta"</formula>
    </cfRule>
    <cfRule type="expression" dxfId="239" priority="152" stopIfTrue="1">
      <formula>LEFT($A73,5)="Nível"</formula>
    </cfRule>
    <cfRule type="expression" dxfId="238" priority="153" stopIfTrue="1">
      <formula>$A73=0</formula>
    </cfRule>
  </conditionalFormatting>
  <conditionalFormatting sqref="U73">
    <cfRule type="expression" dxfId="237" priority="154" stopIfTrue="1">
      <formula>$A73="Meta"</formula>
    </cfRule>
    <cfRule type="expression" dxfId="236" priority="155" stopIfTrue="1">
      <formula>OR(U$9=0,$A73&lt;&gt;"Serviço")</formula>
    </cfRule>
    <cfRule type="expression" dxfId="235" priority="156" stopIfTrue="1">
      <formula>TipoOrçamento="Licitado"</formula>
    </cfRule>
  </conditionalFormatting>
  <conditionalFormatting sqref="F73:O73">
    <cfRule type="expression" dxfId="234" priority="144" stopIfTrue="1">
      <formula>$A73="Meta"</formula>
    </cfRule>
    <cfRule type="expression" dxfId="233" priority="145" stopIfTrue="1">
      <formula>OR(F$9=0,$A73&lt;&gt;"Serviço")</formula>
    </cfRule>
    <cfRule type="expression" dxfId="232" priority="146" stopIfTrue="1">
      <formula>TipoOrçamento="Licitado"</formula>
    </cfRule>
  </conditionalFormatting>
  <conditionalFormatting sqref="D181:E181">
    <cfRule type="expression" dxfId="231" priority="134" stopIfTrue="1">
      <formula>$A181="Meta"</formula>
    </cfRule>
    <cfRule type="expression" dxfId="230" priority="135" stopIfTrue="1">
      <formula>$A181&lt;&gt;"Serviço"</formula>
    </cfRule>
  </conditionalFormatting>
  <conditionalFormatting sqref="C181">
    <cfRule type="expression" dxfId="229" priority="136" stopIfTrue="1">
      <formula>$A181="Meta"</formula>
    </cfRule>
    <cfRule type="expression" dxfId="228" priority="137" stopIfTrue="1">
      <formula>$A181&lt;&gt;"Serviço"</formula>
    </cfRule>
  </conditionalFormatting>
  <conditionalFormatting sqref="A181:B181">
    <cfRule type="expression" dxfId="227" priority="138" stopIfTrue="1">
      <formula>$A181="Meta"</formula>
    </cfRule>
    <cfRule type="expression" dxfId="226" priority="139" stopIfTrue="1">
      <formula>LEFT($A181,5)="Nível"</formula>
    </cfRule>
    <cfRule type="expression" dxfId="225" priority="140" stopIfTrue="1">
      <formula>$A181=0</formula>
    </cfRule>
  </conditionalFormatting>
  <conditionalFormatting sqref="D240:E240">
    <cfRule type="expression" dxfId="224" priority="108" stopIfTrue="1">
      <formula>$A240="Meta"</formula>
    </cfRule>
    <cfRule type="expression" dxfId="223" priority="109" stopIfTrue="1">
      <formula>$A240&lt;&gt;"Serviço"</formula>
    </cfRule>
  </conditionalFormatting>
  <conditionalFormatting sqref="C240">
    <cfRule type="expression" dxfId="222" priority="110" stopIfTrue="1">
      <formula>$A240="Meta"</formula>
    </cfRule>
    <cfRule type="expression" dxfId="221" priority="111" stopIfTrue="1">
      <formula>$A240&lt;&gt;"Serviço"</formula>
    </cfRule>
  </conditionalFormatting>
  <conditionalFormatting sqref="A240:B240">
    <cfRule type="expression" dxfId="220" priority="112" stopIfTrue="1">
      <formula>$A240="Meta"</formula>
    </cfRule>
    <cfRule type="expression" dxfId="219" priority="113" stopIfTrue="1">
      <formula>LEFT($A240,5)="Nível"</formula>
    </cfRule>
    <cfRule type="expression" dxfId="218" priority="114" stopIfTrue="1">
      <formula>$A240=0</formula>
    </cfRule>
  </conditionalFormatting>
  <conditionalFormatting sqref="U240">
    <cfRule type="expression" dxfId="217" priority="115" stopIfTrue="1">
      <formula>$A240="Meta"</formula>
    </cfRule>
    <cfRule type="expression" dxfId="216" priority="116" stopIfTrue="1">
      <formula>OR(U$9=0,$A240&lt;&gt;"Serviço")</formula>
    </cfRule>
    <cfRule type="expression" dxfId="215" priority="117" stopIfTrue="1">
      <formula>TipoOrçamento="Licitado"</formula>
    </cfRule>
  </conditionalFormatting>
  <conditionalFormatting sqref="F240:O240">
    <cfRule type="expression" dxfId="214" priority="105" stopIfTrue="1">
      <formula>$A240="Meta"</formula>
    </cfRule>
    <cfRule type="expression" dxfId="213" priority="106" stopIfTrue="1">
      <formula>OR(F$9=0,$A240&lt;&gt;"Serviço")</formula>
    </cfRule>
    <cfRule type="expression" dxfId="212" priority="107" stopIfTrue="1">
      <formula>TipoOrçamento="Licitado"</formula>
    </cfRule>
  </conditionalFormatting>
  <conditionalFormatting sqref="D507:E507">
    <cfRule type="expression" dxfId="211" priority="82" stopIfTrue="1">
      <formula>$A507="Meta"</formula>
    </cfRule>
    <cfRule type="expression" dxfId="210" priority="83" stopIfTrue="1">
      <formula>$A507&lt;&gt;"Serviço"</formula>
    </cfRule>
  </conditionalFormatting>
  <conditionalFormatting sqref="C507">
    <cfRule type="expression" dxfId="209" priority="84" stopIfTrue="1">
      <formula>$A507="Meta"</formula>
    </cfRule>
    <cfRule type="expression" dxfId="208" priority="85" stopIfTrue="1">
      <formula>$A507&lt;&gt;"Serviço"</formula>
    </cfRule>
  </conditionalFormatting>
  <conditionalFormatting sqref="A507:B507">
    <cfRule type="expression" dxfId="207" priority="86" stopIfTrue="1">
      <formula>$A507="Meta"</formula>
    </cfRule>
    <cfRule type="expression" dxfId="206" priority="87" stopIfTrue="1">
      <formula>LEFT($A507,5)="Nível"</formula>
    </cfRule>
    <cfRule type="expression" dxfId="205" priority="88" stopIfTrue="1">
      <formula>$A507=0</formula>
    </cfRule>
  </conditionalFormatting>
  <conditionalFormatting sqref="D537:E537">
    <cfRule type="expression" dxfId="204" priority="69" stopIfTrue="1">
      <formula>$A537="Meta"</formula>
    </cfRule>
    <cfRule type="expression" dxfId="203" priority="70" stopIfTrue="1">
      <formula>$A537&lt;&gt;"Serviço"</formula>
    </cfRule>
  </conditionalFormatting>
  <conditionalFormatting sqref="C537">
    <cfRule type="expression" dxfId="202" priority="71" stopIfTrue="1">
      <formula>$A537="Meta"</formula>
    </cfRule>
    <cfRule type="expression" dxfId="201" priority="72" stopIfTrue="1">
      <formula>$A537&lt;&gt;"Serviço"</formula>
    </cfRule>
  </conditionalFormatting>
  <conditionalFormatting sqref="A537:B537">
    <cfRule type="expression" dxfId="200" priority="73" stopIfTrue="1">
      <formula>$A537="Meta"</formula>
    </cfRule>
    <cfRule type="expression" dxfId="199" priority="74" stopIfTrue="1">
      <formula>LEFT($A537,5)="Nível"</formula>
    </cfRule>
    <cfRule type="expression" dxfId="198" priority="75" stopIfTrue="1">
      <formula>$A537=0</formula>
    </cfRule>
  </conditionalFormatting>
  <conditionalFormatting sqref="D17:E17">
    <cfRule type="expression" dxfId="197" priority="56" stopIfTrue="1">
      <formula>$A17="Meta"</formula>
    </cfRule>
    <cfRule type="expression" dxfId="196" priority="57" stopIfTrue="1">
      <formula>$A17&lt;&gt;"Serviço"</formula>
    </cfRule>
  </conditionalFormatting>
  <conditionalFormatting sqref="C17">
    <cfRule type="expression" dxfId="195" priority="58" stopIfTrue="1">
      <formula>$A17="Meta"</formula>
    </cfRule>
    <cfRule type="expression" dxfId="194" priority="59" stopIfTrue="1">
      <formula>$A17&lt;&gt;"Serviço"</formula>
    </cfRule>
  </conditionalFormatting>
  <conditionalFormatting sqref="A17:B17">
    <cfRule type="expression" dxfId="193" priority="60" stopIfTrue="1">
      <formula>$A17="Meta"</formula>
    </cfRule>
    <cfRule type="expression" dxfId="192" priority="61" stopIfTrue="1">
      <formula>LEFT($A17,5)="Nível"</formula>
    </cfRule>
    <cfRule type="expression" dxfId="191" priority="62" stopIfTrue="1">
      <formula>$A17=0</formula>
    </cfRule>
  </conditionalFormatting>
  <conditionalFormatting sqref="U17">
    <cfRule type="expression" dxfId="190" priority="63" stopIfTrue="1">
      <formula>$A17="Meta"</formula>
    </cfRule>
    <cfRule type="expression" dxfId="189" priority="64" stopIfTrue="1">
      <formula>OR(U$9=0,$A17&lt;&gt;"Serviço")</formula>
    </cfRule>
    <cfRule type="expression" dxfId="188" priority="65" stopIfTrue="1">
      <formula>TipoOrçamento="Licitado"</formula>
    </cfRule>
  </conditionalFormatting>
  <conditionalFormatting sqref="F17:O17">
    <cfRule type="expression" dxfId="187" priority="53" stopIfTrue="1">
      <formula>$A17="Meta"</formula>
    </cfRule>
    <cfRule type="expression" dxfId="186" priority="54" stopIfTrue="1">
      <formula>OR(F$9=0,$A17&lt;&gt;"Serviço")</formula>
    </cfRule>
    <cfRule type="expression" dxfId="185" priority="55" stopIfTrue="1">
      <formula>TipoOrçamento="Licitado"</formula>
    </cfRule>
  </conditionalFormatting>
  <conditionalFormatting sqref="D545:E579">
    <cfRule type="expression" dxfId="184" priority="17" stopIfTrue="1">
      <formula>$A545="Meta"</formula>
    </cfRule>
    <cfRule type="expression" dxfId="183" priority="18" stopIfTrue="1">
      <formula>$A545&lt;&gt;"Serviço"</formula>
    </cfRule>
  </conditionalFormatting>
  <conditionalFormatting sqref="C545:C579">
    <cfRule type="expression" dxfId="182" priority="19" stopIfTrue="1">
      <formula>$A545="Meta"</formula>
    </cfRule>
    <cfRule type="expression" dxfId="181" priority="20" stopIfTrue="1">
      <formula>$A545&lt;&gt;"Serviço"</formula>
    </cfRule>
  </conditionalFormatting>
  <conditionalFormatting sqref="A545:B579">
    <cfRule type="expression" dxfId="180" priority="21" stopIfTrue="1">
      <formula>$A545="Meta"</formula>
    </cfRule>
    <cfRule type="expression" dxfId="179" priority="22" stopIfTrue="1">
      <formula>LEFT($A545,5)="Nível"</formula>
    </cfRule>
    <cfRule type="expression" dxfId="178" priority="23" stopIfTrue="1">
      <formula>$A545=0</formula>
    </cfRule>
  </conditionalFormatting>
  <conditionalFormatting sqref="U545:U579">
    <cfRule type="expression" dxfId="177" priority="24" stopIfTrue="1">
      <formula>$A545="Meta"</formula>
    </cfRule>
    <cfRule type="expression" dxfId="176" priority="25" stopIfTrue="1">
      <formula>OR(U$9=0,$A545&lt;&gt;"Serviço")</formula>
    </cfRule>
    <cfRule type="expression" dxfId="175" priority="26" stopIfTrue="1">
      <formula>TipoOrçamento="Licitado"</formula>
    </cfRule>
  </conditionalFormatting>
  <conditionalFormatting sqref="F545:O579">
    <cfRule type="expression" dxfId="174" priority="14" stopIfTrue="1">
      <formula>$A545="Meta"</formula>
    </cfRule>
    <cfRule type="expression" dxfId="173" priority="15" stopIfTrue="1">
      <formula>OR(F$9=0,$A545&lt;&gt;"Serviço")</formula>
    </cfRule>
    <cfRule type="expression" dxfId="172" priority="16" stopIfTrue="1">
      <formula>TipoOrçamento="Licitado"</formula>
    </cfRule>
  </conditionalFormatting>
  <conditionalFormatting sqref="D580:E599">
    <cfRule type="expression" dxfId="171" priority="4" stopIfTrue="1">
      <formula>$A580="Meta"</formula>
    </cfRule>
    <cfRule type="expression" dxfId="170" priority="5" stopIfTrue="1">
      <formula>$A580&lt;&gt;"Serviço"</formula>
    </cfRule>
  </conditionalFormatting>
  <conditionalFormatting sqref="C580:C599">
    <cfRule type="expression" dxfId="169" priority="6" stopIfTrue="1">
      <formula>$A580="Meta"</formula>
    </cfRule>
    <cfRule type="expression" dxfId="168" priority="7" stopIfTrue="1">
      <formula>$A580&lt;&gt;"Serviço"</formula>
    </cfRule>
  </conditionalFormatting>
  <conditionalFormatting sqref="A580:B599">
    <cfRule type="expression" dxfId="167" priority="8" stopIfTrue="1">
      <formula>$A580="Meta"</formula>
    </cfRule>
    <cfRule type="expression" dxfId="166" priority="9" stopIfTrue="1">
      <formula>LEFT($A580,5)="Nível"</formula>
    </cfRule>
    <cfRule type="expression" dxfId="165" priority="10" stopIfTrue="1">
      <formula>$A580=0</formula>
    </cfRule>
  </conditionalFormatting>
  <conditionalFormatting sqref="U580:U599">
    <cfRule type="expression" dxfId="164" priority="11" stopIfTrue="1">
      <formula>$A580="Meta"</formula>
    </cfRule>
    <cfRule type="expression" dxfId="163" priority="12" stopIfTrue="1">
      <formula>OR(U$9=0,$A580&lt;&gt;"Serviço")</formula>
    </cfRule>
    <cfRule type="expression" dxfId="162" priority="13" stopIfTrue="1">
      <formula>TipoOrçamento="Licitado"</formula>
    </cfRule>
  </conditionalFormatting>
  <conditionalFormatting sqref="F580:O599">
    <cfRule type="expression" dxfId="161" priority="1" stopIfTrue="1">
      <formula>$A580="Meta"</formula>
    </cfRule>
    <cfRule type="expression" dxfId="160" priority="2" stopIfTrue="1">
      <formula>OR(F$9=0,$A580&lt;&gt;"Serviço")</formula>
    </cfRule>
    <cfRule type="expression" dxfId="159"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F14:O602 U14:U602">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608 B605"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313"/>
  <sheetViews>
    <sheetView showGridLines="0" view="pageBreakPreview" topLeftCell="L1" zoomScale="90" zoomScaleNormal="100" zoomScaleSheetLayoutView="90" workbookViewId="0">
      <selection activeCell="T300" sqref="T300:W300"/>
    </sheetView>
  </sheetViews>
  <sheetFormatPr defaultColWidth="9.109375" defaultRowHeight="13.2" x14ac:dyDescent="0.25"/>
  <cols>
    <col min="1" max="4" width="9.109375" style="33" hidden="1" customWidth="1"/>
    <col min="5" max="8" width="5.6640625" style="33" hidden="1" customWidth="1"/>
    <col min="9" max="10" width="6.6640625" style="33" hidden="1" customWidth="1"/>
    <col min="11" max="11" width="10.6640625" style="33" hidden="1" customWidth="1"/>
    <col min="12" max="12" width="10.6640625" style="33" customWidth="1"/>
    <col min="13" max="13" width="40.5546875" style="33" customWidth="1"/>
    <col min="14" max="14" width="16.44140625" style="37" customWidth="1"/>
    <col min="15" max="15" width="16.5546875" style="33" bestFit="1" customWidth="1"/>
    <col min="16" max="23" width="15.6640625" style="33" customWidth="1"/>
    <col min="24" max="24" width="0.88671875" style="36" customWidth="1"/>
    <col min="25" max="28" width="9.109375" style="33"/>
    <col min="29" max="29" width="15.6640625" style="33" hidden="1" customWidth="1"/>
    <col min="30" max="16384" width="9.109375" style="33"/>
  </cols>
  <sheetData>
    <row r="1" spans="1:29" s="32" customFormat="1" ht="12.9" customHeight="1" x14ac:dyDescent="0.25">
      <c r="A1"/>
      <c r="B1"/>
      <c r="C1"/>
      <c r="D1"/>
      <c r="E1" s="147"/>
      <c r="F1" s="147"/>
      <c r="G1" s="147"/>
      <c r="H1" s="147"/>
      <c r="I1" s="147"/>
      <c r="J1" s="147"/>
      <c r="K1" s="147"/>
      <c r="L1"/>
      <c r="M1"/>
      <c r="N1"/>
      <c r="O1" s="148" t="s">
        <v>22</v>
      </c>
      <c r="P1" s="84" t="s">
        <v>115</v>
      </c>
      <c r="Q1" s="149"/>
      <c r="R1"/>
      <c r="S1"/>
      <c r="T1"/>
      <c r="U1"/>
      <c r="V1"/>
      <c r="W1"/>
      <c r="X1"/>
      <c r="AC1"/>
    </row>
    <row r="2" spans="1:29" s="32" customFormat="1" ht="12.75" customHeight="1" x14ac:dyDescent="0.25">
      <c r="A2"/>
      <c r="B2"/>
      <c r="C2"/>
      <c r="D2"/>
      <c r="E2"/>
      <c r="F2"/>
      <c r="G2"/>
      <c r="H2"/>
      <c r="I2"/>
      <c r="J2"/>
      <c r="K2"/>
      <c r="L2"/>
      <c r="M2"/>
      <c r="N2"/>
      <c r="O2" s="148"/>
      <c r="P2" s="87"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c r="R2"/>
      <c r="S2"/>
      <c r="T2"/>
      <c r="U2"/>
      <c r="V2" s="84"/>
      <c r="W2"/>
      <c r="X2"/>
      <c r="AC2"/>
    </row>
    <row r="3" spans="1:29" s="32" customFormat="1" ht="12.75" customHeight="1" x14ac:dyDescent="0.25">
      <c r="A3"/>
      <c r="B3"/>
      <c r="C3"/>
      <c r="D3"/>
      <c r="E3"/>
      <c r="F3"/>
      <c r="G3"/>
      <c r="H3"/>
      <c r="I3"/>
      <c r="J3"/>
      <c r="K3"/>
      <c r="L3"/>
      <c r="M3"/>
      <c r="N3"/>
      <c r="O3"/>
      <c r="P3"/>
      <c r="Q3"/>
      <c r="R3"/>
      <c r="S3" s="1"/>
      <c r="T3"/>
      <c r="U3"/>
      <c r="V3"/>
      <c r="W3"/>
      <c r="X3"/>
      <c r="AC3"/>
    </row>
    <row r="4" spans="1:29" s="32" customFormat="1" ht="24.9" customHeight="1" x14ac:dyDescent="0.25">
      <c r="A4"/>
      <c r="B4"/>
      <c r="C4"/>
      <c r="D4"/>
      <c r="E4"/>
      <c r="F4"/>
      <c r="G4"/>
      <c r="H4"/>
      <c r="I4"/>
      <c r="J4"/>
      <c r="K4"/>
      <c r="L4"/>
      <c r="M4"/>
      <c r="N4"/>
      <c r="O4"/>
      <c r="P4"/>
      <c r="Q4"/>
      <c r="R4"/>
      <c r="S4"/>
      <c r="T4"/>
      <c r="U4"/>
      <c r="V4"/>
      <c r="W4"/>
      <c r="X4"/>
      <c r="AC4"/>
    </row>
    <row r="5" spans="1:29" s="32" customFormat="1" ht="24.9" customHeight="1" x14ac:dyDescent="0.25">
      <c r="A5"/>
      <c r="B5"/>
      <c r="C5"/>
      <c r="D5"/>
      <c r="E5"/>
      <c r="F5"/>
      <c r="G5"/>
      <c r="H5"/>
      <c r="I5"/>
      <c r="J5"/>
      <c r="K5"/>
      <c r="L5"/>
      <c r="M5"/>
      <c r="N5"/>
      <c r="O5"/>
      <c r="P5"/>
      <c r="Q5"/>
      <c r="R5"/>
      <c r="S5"/>
      <c r="T5"/>
      <c r="U5"/>
      <c r="V5"/>
      <c r="W5"/>
      <c r="X5"/>
      <c r="AC5"/>
    </row>
    <row r="6" spans="1:29" s="32" customFormat="1" ht="24.9" customHeight="1" x14ac:dyDescent="0.25">
      <c r="A6"/>
      <c r="B6"/>
      <c r="C6"/>
      <c r="D6"/>
      <c r="E6"/>
      <c r="F6"/>
      <c r="G6"/>
      <c r="H6"/>
      <c r="I6"/>
      <c r="J6"/>
      <c r="K6"/>
      <c r="L6"/>
      <c r="M6"/>
      <c r="N6"/>
      <c r="O6"/>
      <c r="P6"/>
      <c r="Q6"/>
      <c r="R6"/>
      <c r="S6"/>
      <c r="T6"/>
      <c r="U6"/>
      <c r="V6"/>
      <c r="W6"/>
      <c r="X6"/>
      <c r="AC6"/>
    </row>
    <row r="7" spans="1:29" s="32" customFormat="1" ht="21.75" customHeight="1" x14ac:dyDescent="0.25">
      <c r="A7"/>
      <c r="B7"/>
      <c r="C7"/>
      <c r="D7"/>
      <c r="E7"/>
      <c r="F7"/>
      <c r="G7"/>
      <c r="H7"/>
      <c r="I7"/>
      <c r="J7"/>
      <c r="K7"/>
      <c r="L7"/>
      <c r="M7"/>
      <c r="N7"/>
      <c r="O7"/>
      <c r="P7"/>
      <c r="Q7"/>
      <c r="R7"/>
      <c r="S7"/>
      <c r="T7"/>
      <c r="U7"/>
      <c r="V7"/>
      <c r="W7"/>
      <c r="X7"/>
      <c r="AC7"/>
    </row>
    <row r="8" spans="1:29" s="32" customFormat="1" ht="30" customHeight="1" x14ac:dyDescent="0.25">
      <c r="A8" s="150" t="s">
        <v>176</v>
      </c>
      <c r="B8"/>
      <c r="C8"/>
      <c r="D8"/>
      <c r="E8"/>
      <c r="F8"/>
      <c r="G8"/>
      <c r="H8"/>
      <c r="I8"/>
      <c r="J8"/>
      <c r="K8"/>
      <c r="L8" s="334" t="str">
        <f ca="1">IF(MAX($A$14:$A$304)&lt;&gt;MAX(PO!$V$12:$V$603),"ERRO: CRONOGRAMA DESATUALIZADO",IF(OR(COUNTIF($O$16:$X$16,"&gt;1")&gt;0,OFFSET($X$17,0,-1)&lt;&gt;$N$14),"ERRO: CRONOGRAMA NÃO FECHA EM 100%",""))</f>
        <v>ERRO: CRONOGRAMA NÃO FECHA EM 100%</v>
      </c>
      <c r="M8" s="334"/>
      <c r="N8" s="136" t="str">
        <f>IF(TipoOrçamento="REPROGRAMADOAC","Qtde de Medições realizadas","")</f>
        <v/>
      </c>
      <c r="O8" s="151"/>
      <c r="P8"/>
      <c r="Q8"/>
      <c r="R8"/>
      <c r="S8"/>
      <c r="T8"/>
      <c r="U8"/>
      <c r="V8"/>
      <c r="W8"/>
      <c r="X8"/>
      <c r="AC8"/>
    </row>
    <row r="9" spans="1:29" s="32" customFormat="1" ht="14.1" customHeight="1" x14ac:dyDescent="0.25">
      <c r="A9" s="141">
        <v>2</v>
      </c>
      <c r="B9"/>
      <c r="C9"/>
      <c r="D9"/>
      <c r="E9"/>
      <c r="F9"/>
      <c r="G9"/>
      <c r="H9"/>
      <c r="I9"/>
      <c r="J9"/>
      <c r="K9"/>
      <c r="L9" s="1"/>
      <c r="M9" s="1"/>
      <c r="N9" s="135">
        <v>1</v>
      </c>
      <c r="O9" s="26">
        <f>IF(AND(TipoOrçamento="REPROGRAMADOAC",$N$9&gt;0),$N$9-1,0)</f>
        <v>0</v>
      </c>
      <c r="P9" s="126">
        <f t="shared" ref="P9:W9" ca="1" si="0">OFFSET(P9,0,-1)+1</f>
        <v>1</v>
      </c>
      <c r="Q9" s="126">
        <f t="shared" ca="1" si="0"/>
        <v>2</v>
      </c>
      <c r="R9" s="126">
        <f t="shared" ca="1" si="0"/>
        <v>3</v>
      </c>
      <c r="S9" s="126">
        <f t="shared" ca="1" si="0"/>
        <v>4</v>
      </c>
      <c r="T9" s="126">
        <f t="shared" ca="1" si="0"/>
        <v>5</v>
      </c>
      <c r="U9" s="126">
        <f t="shared" ca="1" si="0"/>
        <v>6</v>
      </c>
      <c r="V9" s="126">
        <f t="shared" ca="1" si="0"/>
        <v>7</v>
      </c>
      <c r="W9" s="126">
        <f t="shared" ca="1" si="0"/>
        <v>8</v>
      </c>
      <c r="X9"/>
      <c r="AC9" s="126">
        <f ca="1">OFFSET(AC9,0,-1)+1</f>
        <v>1</v>
      </c>
    </row>
    <row r="10" spans="1:29" s="34" customFormat="1" ht="30" customHeight="1" x14ac:dyDescent="0.25">
      <c r="A10" s="152" t="s">
        <v>161</v>
      </c>
      <c r="B10" s="152" t="s">
        <v>129</v>
      </c>
      <c r="C10" s="152" t="s">
        <v>3</v>
      </c>
      <c r="D10" s="152" t="s">
        <v>123</v>
      </c>
      <c r="E10" s="152" t="s">
        <v>109</v>
      </c>
      <c r="F10" s="152" t="s">
        <v>110</v>
      </c>
      <c r="G10" s="152" t="s">
        <v>127</v>
      </c>
      <c r="H10" s="152" t="s">
        <v>128</v>
      </c>
      <c r="I10" s="152" t="s">
        <v>124</v>
      </c>
      <c r="J10" s="152" t="s">
        <v>125</v>
      </c>
      <c r="K10" s="152" t="s">
        <v>178</v>
      </c>
      <c r="L10" s="153" t="s">
        <v>147</v>
      </c>
      <c r="M10" s="154" t="s">
        <v>160</v>
      </c>
      <c r="N10" s="155" t="s">
        <v>139</v>
      </c>
      <c r="O10" s="185" t="str">
        <f>IF(TipoOrçamento="REPROGRAMADOAC","Reinício de Obra","Início de Obra")&amp;CHAR(10)&amp;TEXT(DADOS!A48,"dd/mm/aa")</f>
        <v>Início de Obra
01/03/25</v>
      </c>
      <c r="P10" s="186" t="str">
        <f ca="1">IF(AND(TipoOrçamento="REPROGRAMADOAC",$N$9&gt;0,N10="Valores Totais (R$)"),"Parcela "&amp;$N$9&amp;" Executado","Parcela "&amp;P$9&amp;CHAR(10)&amp;TEXT(DATE(YEAR(DADOS!$A$48),MONTH(DADOS!$A$48)+P$9-IF(AND(TipoOrçamento="REPROGRAMADOAC",$N$9&gt;0),$N$9,0),1),"mmm/aa"))</f>
        <v>Parcela 1
abr/25</v>
      </c>
      <c r="Q10" s="177" t="str">
        <f ca="1">IF(AND(TipoOrçamento="REPROGRAMADOAC",$N$9&gt;0,O10="Valores Totais (R$)"),"Parcela "&amp;$N$9&amp;" Executado","Parcela "&amp;Q$9&amp;CHAR(10)&amp;TEXT(DATE(YEAR(DADOS!$A$48),MONTH(DADOS!$A$48)+Q$9-IF(AND(TipoOrçamento="REPROGRAMADOAC",$N$9&gt;0),$N$9,0),1),"mmm/aa"))</f>
        <v>Parcela 2
mai/25</v>
      </c>
      <c r="R10" s="177" t="str">
        <f ca="1">IF(AND(TipoOrçamento="REPROGRAMADOAC",$N$9&gt;0,P10="Valores Totais (R$)"),"Parcela "&amp;$N$9&amp;" Executado","Parcela "&amp;R$9&amp;CHAR(10)&amp;TEXT(DATE(YEAR(DADOS!$A$48),MONTH(DADOS!$A$48)+R$9-IF(AND(TipoOrçamento="REPROGRAMADOAC",$N$9&gt;0),$N$9,0),1),"mmm/aa"))</f>
        <v>Parcela 3
jun/25</v>
      </c>
      <c r="S10" s="177" t="str">
        <f ca="1">IF(AND(TipoOrçamento="REPROGRAMADOAC",$N$9&gt;0,Q10="Valores Totais (R$)"),"Parcela "&amp;$N$9&amp;" Executado","Parcela "&amp;S$9&amp;CHAR(10)&amp;TEXT(DATE(YEAR(DADOS!$A$48),MONTH(DADOS!$A$48)+S$9-IF(AND(TipoOrçamento="REPROGRAMADOAC",$N$9&gt;0),$N$9,0),1),"mmm/aa"))</f>
        <v>Parcela 4
jul/25</v>
      </c>
      <c r="T10" s="177" t="str">
        <f ca="1">IF(AND(TipoOrçamento="REPROGRAMADOAC",$N$9&gt;0,R10="Valores Totais (R$)"),"Parcela "&amp;$N$9&amp;" Executado","Parcela "&amp;T$9&amp;CHAR(10)&amp;TEXT(DATE(YEAR(DADOS!$A$48),MONTH(DADOS!$A$48)+T$9-IF(AND(TipoOrçamento="REPROGRAMADOAC",$N$9&gt;0),$N$9,0),1),"mmm/aa"))</f>
        <v>Parcela 5
ago/25</v>
      </c>
      <c r="U10" s="177" t="str">
        <f ca="1">IF(AND(TipoOrçamento="REPROGRAMADOAC",$N$9&gt;0,S10="Valores Totais (R$)"),"Parcela "&amp;$N$9&amp;" Executado","Parcela "&amp;U$9&amp;CHAR(10)&amp;TEXT(DATE(YEAR(DADOS!$A$48),MONTH(DADOS!$A$48)+U$9-IF(AND(TipoOrçamento="REPROGRAMADOAC",$N$9&gt;0),$N$9,0),1),"mmm/aa"))</f>
        <v>Parcela 6
set/25</v>
      </c>
      <c r="V10" s="177" t="str">
        <f ca="1">IF(AND(TipoOrçamento="REPROGRAMADOAC",$N$9&gt;0,T10="Valores Totais (R$)"),"Parcela "&amp;$N$9&amp;" Executado","Parcela "&amp;V$9&amp;CHAR(10)&amp;TEXT(DATE(YEAR(DADOS!$A$48),MONTH(DADOS!$A$48)+V$9-IF(AND(TipoOrçamento="REPROGRAMADOAC",$N$9&gt;0),$N$9,0),1),"mmm/aa"))</f>
        <v>Parcela 7
out/25</v>
      </c>
      <c r="W10" s="189" t="str">
        <f ca="1">IF(AND(TipoOrçamento="REPROGRAMADOAC",$N$9&gt;0,U10="Valores Totais (R$)"),"Parcela "&amp;$N$9&amp;" Executado","Parcela "&amp;W$9&amp;CHAR(10)&amp;TEXT(DATE(YEAR(DADOS!$A$48),MONTH(DADOS!$A$48)+W$9-IF(AND(TipoOrçamento="REPROGRAMADOAC",$N$9&gt;0),$N$9,0),1),"mmm/aa"))</f>
        <v>Parcela 8
nov/25</v>
      </c>
      <c r="X10" s="162"/>
      <c r="AC10" s="177" t="str">
        <f ca="1">IF(AND(TipoOrçamento="REPROGRAMADOAC",$N$9&gt;0,AA10="Valores Totais (R$)"),"Parcela "&amp;$N$9&amp;" Executado","Parcela "&amp;AC$9&amp;CHAR(10)&amp;TEXT(DATE(YEAR(DADOS!$A$48),MONTH(DADOS!$A$48)+AC$9-IF(AND(TipoOrçamento="REPROGRAMADOAC",$N$9&gt;0),$N$9,0),1),"mmm/aa"))</f>
        <v>Parcela 1
abr/25</v>
      </c>
    </row>
    <row r="11" spans="1:29" customFormat="1" ht="14.25" hidden="1" customHeight="1" x14ac:dyDescent="0.25">
      <c r="A11" s="1"/>
      <c r="B11" s="1"/>
      <c r="C11" s="1"/>
      <c r="D11" s="1"/>
      <c r="E11" s="1"/>
      <c r="F11" s="1"/>
      <c r="G11" s="1"/>
      <c r="H11" s="1"/>
      <c r="I11" s="1"/>
      <c r="J11" s="1"/>
      <c r="K11" s="1"/>
      <c r="L11" s="343" t="e">
        <f ca="1">INDEX(PO!K$12:K$603,MATCH($A13,PO!$V$12:$V$603,0))</f>
        <v>#VALUE!</v>
      </c>
      <c r="M11" s="337" t="e">
        <f ca="1">INDEX(PO!N$12:N$603,MATCH($A13,PO!$V$12:$V$603,0))</f>
        <v>#VALUE!</v>
      </c>
      <c r="N11" s="335" t="e">
        <f ca="1">IF(ROUND(K13,2)=0,K13,ROUND(K13,2))</f>
        <v>#VALUE!</v>
      </c>
      <c r="O11" s="187" t="s">
        <v>143</v>
      </c>
      <c r="P11" s="192" t="e">
        <f ca="1">IF($B13,0,P12-IF(ISNUMBER(O12),O12,0))</f>
        <v>#VALUE!</v>
      </c>
      <c r="Q11" s="193" t="e">
        <f t="shared" ref="Q11:W11" ca="1" si="1">IF($B13,0,Q12-IF(ISNUMBER(P12),P12,0))</f>
        <v>#VALUE!</v>
      </c>
      <c r="R11" s="193" t="e">
        <f t="shared" ca="1" si="1"/>
        <v>#VALUE!</v>
      </c>
      <c r="S11" s="193" t="e">
        <f t="shared" ca="1" si="1"/>
        <v>#VALUE!</v>
      </c>
      <c r="T11" s="193" t="e">
        <f t="shared" ca="1" si="1"/>
        <v>#VALUE!</v>
      </c>
      <c r="U11" s="193" t="e">
        <f t="shared" ca="1" si="1"/>
        <v>#VALUE!</v>
      </c>
      <c r="V11" s="193" t="e">
        <f t="shared" ca="1" si="1"/>
        <v>#VALUE!</v>
      </c>
      <c r="W11" s="194" t="e">
        <f t="shared" ca="1" si="1"/>
        <v>#VALUE!</v>
      </c>
      <c r="X11" s="163"/>
      <c r="AC11" s="188" t="e">
        <f ca="1">IF($B13,0,AC12-IF(ISNUMBER(AB12),AB12,0))</f>
        <v>#VALUE!</v>
      </c>
    </row>
    <row r="12" spans="1:29" customFormat="1" ht="13.8" hidden="1" x14ac:dyDescent="0.25">
      <c r="A12" s="11"/>
      <c r="B12" s="11"/>
      <c r="C12" s="11"/>
      <c r="D12" s="11"/>
      <c r="E12" s="11"/>
      <c r="F12" s="11"/>
      <c r="G12" s="11"/>
      <c r="H12" s="11"/>
      <c r="I12" s="11"/>
      <c r="J12" s="11"/>
      <c r="K12" s="11"/>
      <c r="L12" s="344"/>
      <c r="M12" s="338"/>
      <c r="N12" s="336"/>
      <c r="O12" s="145" t="s">
        <v>145</v>
      </c>
      <c r="P12" s="165" t="e">
        <f ca="1">MIN(IF($B13,P11+IF(ISNUMBER(O12),O12,0),P13/$N11),1)</f>
        <v>#VALUE!</v>
      </c>
      <c r="Q12" s="143" t="e">
        <f t="shared" ref="Q12:W12" ca="1" si="2">MIN(IF($B13,Q11+IF(ISNUMBER(P12),P12,0),Q13/$N11),1)</f>
        <v>#VALUE!</v>
      </c>
      <c r="R12" s="143" t="e">
        <f t="shared" ca="1" si="2"/>
        <v>#VALUE!</v>
      </c>
      <c r="S12" s="143" t="e">
        <f t="shared" ca="1" si="2"/>
        <v>#VALUE!</v>
      </c>
      <c r="T12" s="143" t="e">
        <f t="shared" ca="1" si="2"/>
        <v>#VALUE!</v>
      </c>
      <c r="U12" s="143" t="e">
        <f t="shared" ca="1" si="2"/>
        <v>#VALUE!</v>
      </c>
      <c r="V12" s="143" t="e">
        <f t="shared" ca="1" si="2"/>
        <v>#VALUE!</v>
      </c>
      <c r="W12" s="143" t="e">
        <f t="shared" ca="1" si="2"/>
        <v>#VALUE!</v>
      </c>
      <c r="X12" s="163"/>
      <c r="AC12" s="143" t="e">
        <f ca="1">MIN(IF($B13,AC11+IF(ISNUMBER(AB12),AB12,0),AC13/$N11),1)</f>
        <v>#VALUE!</v>
      </c>
    </row>
    <row r="13" spans="1:29" customFormat="1" ht="13.8" hidden="1" x14ac:dyDescent="0.25">
      <c r="A13" s="11" t="e">
        <f ca="1">OFFSET(A13,-CFF.NumLinha,0)+1</f>
        <v>#VALUE!</v>
      </c>
      <c r="B13" s="11" t="e">
        <f ca="1">$C13&gt;=OFFSET($C13,CFF.NumLinha,0)</f>
        <v>#VALUE!</v>
      </c>
      <c r="C13" s="11" t="e">
        <f ca="1">INDEX(PO!A$12:A$603,MATCH($A13,PO!$V$12:$V$603,0))</f>
        <v>#VALUE!</v>
      </c>
      <c r="D13" s="11" t="e">
        <f ca="1">IF(ISERROR(J13),I13,SMALL(I13:J13,1))-1</f>
        <v>#VALUE!</v>
      </c>
      <c r="E13" s="11" t="e">
        <f ca="1">IF($C13=1,OFFSET(E13,-CFF.NumLinha,0)+1,OFFSET(E13,-CFF.NumLinha,0))</f>
        <v>#VALUE!</v>
      </c>
      <c r="F13" s="11" t="e">
        <f ca="1">IF($C13=1,0,IF($C13=2,OFFSET(F13,-CFF.NumLinha,0)+1,OFFSET(F13,-CFF.NumLinha,0)))</f>
        <v>#VALUE!</v>
      </c>
      <c r="G13" s="11" t="e">
        <f ca="1">IF(AND($C13&lt;=2,$C13&lt;&gt;0),0,IF($C13=3,OFFSET(G13,-CFF.NumLinha,0)+1,OFFSET(G13,-CFF.NumLinha,0)))</f>
        <v>#VALUE!</v>
      </c>
      <c r="H13" s="11" t="e">
        <f ca="1">IF(AND($C13&lt;=3,$C13&lt;&gt;0),0,IF($C13=4,OFFSET(H13,-CFF.NumLinha,0)+1,OFFSET(H13,-CFF.NumLinha,0)))</f>
        <v>#VALUE!</v>
      </c>
      <c r="I13" s="11" t="e">
        <f ca="1">MATCH(0,OFFSET($D13,1,$C13,ROW($A$303)-ROW($A13)),0)</f>
        <v>#VALUE!</v>
      </c>
      <c r="J13" s="11" t="e">
        <f ca="1">MATCH(OFFSET($D13,0,$C13)+1,OFFSET($D13,1,$C13,ROW($A$303)-ROW($A13)),0)</f>
        <v>#VALUE!</v>
      </c>
      <c r="K13" s="156" t="e">
        <f ca="1">ROUND(INDEX(PO!T$12:T$603,MATCH($A13,PO!$V$12:$V$603,0)),2)+10^-12</f>
        <v>#VALUE!</v>
      </c>
      <c r="L13" s="344"/>
      <c r="M13" s="338"/>
      <c r="N13" s="336"/>
      <c r="O13" s="171" t="s">
        <v>20</v>
      </c>
      <c r="P13" s="166" t="e">
        <f ca="1">IF($B13,ROUND(P12*$N11,2),ROUND(SUMIF(OFFSET($B13,1,0,$D13),TRUE,OFFSET(P13,1,0,$D13))/SUMIF(OFFSET($B13,1,0,$D13),TRUE,OFFSET($K13,1,0,$D13))*$N11,2))</f>
        <v>#VALUE!</v>
      </c>
      <c r="Q13" s="144" t="e">
        <f t="shared" ref="Q13:W13" ca="1" si="3">IF($B13,ROUND(Q12*$N11,2),ROUND(SUMIF(OFFSET($B13,1,0,$D13),TRUE,OFFSET(Q13,1,0,$D13))/SUMIF(OFFSET($B13,1,0,$D13),TRUE,OFFSET($K13,1,0,$D13))*$N11,2))</f>
        <v>#VALUE!</v>
      </c>
      <c r="R13" s="144" t="e">
        <f t="shared" ca="1" si="3"/>
        <v>#VALUE!</v>
      </c>
      <c r="S13" s="144" t="e">
        <f t="shared" ca="1" si="3"/>
        <v>#VALUE!</v>
      </c>
      <c r="T13" s="144" t="e">
        <f t="shared" ca="1" si="3"/>
        <v>#VALUE!</v>
      </c>
      <c r="U13" s="144" t="e">
        <f t="shared" ca="1" si="3"/>
        <v>#VALUE!</v>
      </c>
      <c r="V13" s="144" t="e">
        <f t="shared" ca="1" si="3"/>
        <v>#VALUE!</v>
      </c>
      <c r="W13" s="174" t="e">
        <f t="shared" ca="1" si="3"/>
        <v>#VALUE!</v>
      </c>
      <c r="X13" s="163"/>
      <c r="AC13" s="144" t="e">
        <f ca="1">IF($B13,ROUND(AC12*$N11,2),ROUND(SUMIF(OFFSET($B13,1,0,$D13),TRUE,OFFSET(AC13,1,0,$D13))/SUMIF(OFFSET($B13,1,0,$D13),TRUE,OFFSET($K13,1,0,$D13))*$N11,2))</f>
        <v>#VALUE!</v>
      </c>
    </row>
    <row r="14" spans="1:29" s="35" customFormat="1" ht="12.75" customHeight="1" x14ac:dyDescent="0.25">
      <c r="A14"/>
      <c r="B14"/>
      <c r="C14"/>
      <c r="D14"/>
      <c r="E14"/>
      <c r="F14"/>
      <c r="G14"/>
      <c r="H14"/>
      <c r="I14"/>
      <c r="J14"/>
      <c r="K14"/>
      <c r="L14" s="346" t="s">
        <v>19</v>
      </c>
      <c r="M14" s="347"/>
      <c r="N14" s="352">
        <f ca="1">IF(PO!$T$12=0,10^-12,PO!$T$12)</f>
        <v>9.9999999999999998E-13</v>
      </c>
      <c r="O14" s="142" t="s">
        <v>143</v>
      </c>
      <c r="P14" s="172">
        <f ca="1">ROUND(P15/$N14,4)</f>
        <v>0</v>
      </c>
      <c r="Q14" s="173">
        <f t="shared" ref="Q14:W14" ca="1" si="4">ROUND(Q15/$N14,4)</f>
        <v>0</v>
      </c>
      <c r="R14" s="173">
        <f t="shared" ca="1" si="4"/>
        <v>0</v>
      </c>
      <c r="S14" s="173">
        <f t="shared" ca="1" si="4"/>
        <v>0</v>
      </c>
      <c r="T14" s="173">
        <f t="shared" ca="1" si="4"/>
        <v>0</v>
      </c>
      <c r="U14" s="173">
        <f t="shared" ca="1" si="4"/>
        <v>0</v>
      </c>
      <c r="V14" s="173">
        <f t="shared" ca="1" si="4"/>
        <v>0</v>
      </c>
      <c r="W14" s="173">
        <f t="shared" ca="1" si="4"/>
        <v>0</v>
      </c>
      <c r="X14" s="146"/>
      <c r="AC14" s="173">
        <f ca="1">ROUND(AC15/$N14,4)</f>
        <v>0</v>
      </c>
    </row>
    <row r="15" spans="1:29" s="35" customFormat="1" ht="12.75" customHeight="1" x14ac:dyDescent="0.25">
      <c r="A15"/>
      <c r="B15"/>
      <c r="C15"/>
      <c r="D15"/>
      <c r="E15"/>
      <c r="F15"/>
      <c r="G15"/>
      <c r="H15"/>
      <c r="I15"/>
      <c r="J15"/>
      <c r="K15"/>
      <c r="L15" s="348"/>
      <c r="M15" s="349"/>
      <c r="N15" s="353"/>
      <c r="O15" s="132" t="s">
        <v>144</v>
      </c>
      <c r="P15" s="167">
        <f ca="1">P17-IF(ISNUMBER(O17),O17,0)</f>
        <v>0</v>
      </c>
      <c r="Q15" s="127">
        <f t="shared" ref="Q15:W15" ca="1" si="5">Q17-IF(ISNUMBER(P17),P17,0)</f>
        <v>0</v>
      </c>
      <c r="R15" s="127">
        <f t="shared" ca="1" si="5"/>
        <v>0</v>
      </c>
      <c r="S15" s="127">
        <f t="shared" ca="1" si="5"/>
        <v>0</v>
      </c>
      <c r="T15" s="127">
        <f t="shared" ca="1" si="5"/>
        <v>0</v>
      </c>
      <c r="U15" s="127">
        <f t="shared" ca="1" si="5"/>
        <v>0</v>
      </c>
      <c r="V15" s="127">
        <f t="shared" ca="1" si="5"/>
        <v>0</v>
      </c>
      <c r="W15" s="127">
        <f t="shared" ca="1" si="5"/>
        <v>0</v>
      </c>
      <c r="X15" s="146"/>
      <c r="AC15" s="127">
        <f ca="1">AC17-IF(ISNUMBER(AB17),AB17,0)</f>
        <v>0</v>
      </c>
    </row>
    <row r="16" spans="1:29" s="35" customFormat="1" ht="12.75" customHeight="1" x14ac:dyDescent="0.25">
      <c r="A16"/>
      <c r="B16"/>
      <c r="C16"/>
      <c r="D16"/>
      <c r="E16"/>
      <c r="F16"/>
      <c r="G16"/>
      <c r="H16"/>
      <c r="I16"/>
      <c r="J16"/>
      <c r="K16"/>
      <c r="L16" s="348"/>
      <c r="M16" s="349"/>
      <c r="N16" s="353"/>
      <c r="O16" s="133" t="s">
        <v>145</v>
      </c>
      <c r="P16" s="168">
        <f ca="1">ROUND(P17/$N14,4)</f>
        <v>0</v>
      </c>
      <c r="Q16" s="128">
        <f t="shared" ref="Q16:W16" ca="1" si="6">ROUND(Q17/$N14,4)</f>
        <v>0</v>
      </c>
      <c r="R16" s="128">
        <f t="shared" ca="1" si="6"/>
        <v>0</v>
      </c>
      <c r="S16" s="128">
        <f t="shared" ca="1" si="6"/>
        <v>0</v>
      </c>
      <c r="T16" s="128">
        <f t="shared" ca="1" si="6"/>
        <v>0</v>
      </c>
      <c r="U16" s="128">
        <f t="shared" ca="1" si="6"/>
        <v>0</v>
      </c>
      <c r="V16" s="128">
        <f t="shared" ca="1" si="6"/>
        <v>0</v>
      </c>
      <c r="W16" s="128">
        <f t="shared" ca="1" si="6"/>
        <v>0</v>
      </c>
      <c r="X16" s="146"/>
      <c r="AC16" s="128">
        <f ca="1">ROUND(AC17/$N14,4)</f>
        <v>0</v>
      </c>
    </row>
    <row r="17" spans="1:29" s="35" customFormat="1" ht="12.75" customHeight="1" x14ac:dyDescent="0.25">
      <c r="A17" s="19">
        <v>0</v>
      </c>
      <c r="B17"/>
      <c r="C17"/>
      <c r="D17" s="19">
        <f>ROW(D$303)-ROW(D18)</f>
        <v>285</v>
      </c>
      <c r="E17"/>
      <c r="F17"/>
      <c r="G17"/>
      <c r="H17"/>
      <c r="I17"/>
      <c r="J17"/>
      <c r="K17"/>
      <c r="L17" s="350"/>
      <c r="M17" s="351"/>
      <c r="N17" s="354"/>
      <c r="O17" s="134" t="s">
        <v>20</v>
      </c>
      <c r="P17" s="169">
        <f ca="1">SUMIF(OFFSET($C17,1,0):$C$303,1,OFFSET(P17,1,0):P$303)</f>
        <v>0</v>
      </c>
      <c r="Q17" s="129">
        <f ca="1">SUMIF(OFFSET($C17,1,0):$C$303,1,OFFSET(Q17,1,0):Q$303)</f>
        <v>0</v>
      </c>
      <c r="R17" s="129">
        <f ca="1">SUMIF(OFFSET($C17,1,0):$C$303,1,OFFSET(R17,1,0):R$303)</f>
        <v>0</v>
      </c>
      <c r="S17" s="129">
        <f ca="1">SUMIF(OFFSET($C17,1,0):$C$303,1,OFFSET(S17,1,0):S$303)</f>
        <v>0</v>
      </c>
      <c r="T17" s="129">
        <f ca="1">SUMIF(OFFSET($C17,1,0):$C$303,1,OFFSET(T17,1,0):T$303)</f>
        <v>0</v>
      </c>
      <c r="U17" s="129">
        <f ca="1">SUMIF(OFFSET($C17,1,0):$C$303,1,OFFSET(U17,1,0):U$303)</f>
        <v>0</v>
      </c>
      <c r="V17" s="129">
        <f ca="1">SUMIF(OFFSET($C17,1,0):$C$303,1,OFFSET(V17,1,0):V$303)</f>
        <v>0</v>
      </c>
      <c r="W17" s="129">
        <f ca="1">SUMIF(OFFSET($C17,1,0):$C$303,1,OFFSET(W17,1,0):W$303)</f>
        <v>0</v>
      </c>
      <c r="X17" s="146"/>
      <c r="AC17" s="129">
        <f ca="1">SUMIF(OFFSET($C17,1,0):$C$303,1,OFFSET(AC17,1,0):AC$303)</f>
        <v>0</v>
      </c>
    </row>
    <row r="18" spans="1:29" customFormat="1" ht="14.25" customHeight="1" x14ac:dyDescent="0.25">
      <c r="L18" s="343" t="str">
        <f ca="1">INDEX(PO!K$12:K$603,MATCH($A20,PO!$V$12:$V$603,0))</f>
        <v>1.</v>
      </c>
      <c r="M18" s="337" t="str">
        <f ca="1">INDEX(PO!N$12:N$603,MATCH($A20,PO!$V$12:$V$603,0))</f>
        <v>SERVIÇOS PRELIMINARES</v>
      </c>
      <c r="N18" s="335">
        <f ca="1">IF(ROUND(K20,2)=0,K20,ROUND(K20,2))</f>
        <v>9.9999999999999998E-13</v>
      </c>
      <c r="O18" s="170" t="s">
        <v>143</v>
      </c>
      <c r="P18" s="192">
        <v>0.3</v>
      </c>
      <c r="Q18" s="193">
        <v>0.1</v>
      </c>
      <c r="R18" s="193">
        <v>0.1</v>
      </c>
      <c r="S18" s="193">
        <v>0.1</v>
      </c>
      <c r="T18" s="193">
        <v>0.1</v>
      </c>
      <c r="U18" s="193">
        <v>0.1</v>
      </c>
      <c r="V18" s="193">
        <v>0.1</v>
      </c>
      <c r="W18" s="194">
        <v>0.1</v>
      </c>
      <c r="X18" s="164" t="s">
        <v>106</v>
      </c>
      <c r="AC18" s="188">
        <f ca="1">IF($B20,0,AC19-IF(ISNUMBER(AB19),AB19,0))</f>
        <v>0</v>
      </c>
    </row>
    <row r="19" spans="1:29" customFormat="1" ht="13.8" x14ac:dyDescent="0.25">
      <c r="L19" s="344"/>
      <c r="M19" s="338"/>
      <c r="N19" s="336"/>
      <c r="O19" s="145" t="s">
        <v>145</v>
      </c>
      <c r="P19" s="165">
        <f t="shared" ref="P19:W19" ca="1" si="7">MIN(IF($B20,P18+IF(ISNUMBER(O19),O19,0),P20/$N18),1)</f>
        <v>0.3</v>
      </c>
      <c r="Q19" s="143">
        <f t="shared" ca="1" si="7"/>
        <v>0.4</v>
      </c>
      <c r="R19" s="143">
        <f t="shared" ca="1" si="7"/>
        <v>0.5</v>
      </c>
      <c r="S19" s="143">
        <f t="shared" ca="1" si="7"/>
        <v>0.6</v>
      </c>
      <c r="T19" s="143">
        <f t="shared" ca="1" si="7"/>
        <v>0.7</v>
      </c>
      <c r="U19" s="143">
        <f t="shared" ca="1" si="7"/>
        <v>0.79999999999999993</v>
      </c>
      <c r="V19" s="143">
        <f t="shared" ca="1" si="7"/>
        <v>0.89999999999999991</v>
      </c>
      <c r="W19" s="143">
        <f t="shared" ca="1" si="7"/>
        <v>0.99999999999999989</v>
      </c>
      <c r="X19" s="163"/>
      <c r="AC19" s="143">
        <f ca="1">MIN(IF($B20,AC18+IF(ISNUMBER(AB19),AB19,0),AC20/$N18),1)</f>
        <v>0</v>
      </c>
    </row>
    <row r="20" spans="1:29" customFormat="1" ht="13.8" x14ac:dyDescent="0.25">
      <c r="A20" s="19">
        <f ca="1">OFFSET(A20,-CFF.NumLinha,0)+1</f>
        <v>1</v>
      </c>
      <c r="B20" t="b">
        <f ca="1">$C20&gt;=OFFSET($C20,CFF.NumLinha,0)</f>
        <v>1</v>
      </c>
      <c r="C20" s="11">
        <f ca="1">INDEX(PO!A$12:A$603,MATCH($A20,PO!$V$12:$V$603,0))</f>
        <v>1</v>
      </c>
      <c r="D20" s="11">
        <f ca="1">IF(ISERROR(J20),I20,SMALL(I20:J20,1))-1</f>
        <v>2</v>
      </c>
      <c r="E20" s="11">
        <f ca="1">IF($C20=1,OFFSET(E20,-CFF.NumLinha,0)+1,OFFSET(E20,-CFF.NumLinha,0))</f>
        <v>1</v>
      </c>
      <c r="F20" s="11">
        <f ca="1">IF($C20=1,0,IF($C20=2,OFFSET(F20,-CFF.NumLinha,0)+1,OFFSET(F20,-CFF.NumLinha,0)))</f>
        <v>0</v>
      </c>
      <c r="G20" s="11">
        <f ca="1">IF(AND($C20&lt;=2,$C20&lt;&gt;0),0,IF($C20=3,OFFSET(G20,-CFF.NumLinha,0)+1,OFFSET(G20,-CFF.NumLinha,0)))</f>
        <v>0</v>
      </c>
      <c r="H20" s="11">
        <f ca="1">IF(AND($C20&lt;=3,$C20&lt;&gt;0),0,IF($C20=4,OFFSET(H20,-CFF.NumLinha,0)+1,OFFSET(H20,-CFF.NumLinha,0)))</f>
        <v>0</v>
      </c>
      <c r="I20" s="11">
        <f ca="1">MATCH(0,OFFSET($D20,1,$C20,ROW($A$303)-ROW($A20)),0)</f>
        <v>283</v>
      </c>
      <c r="J20" s="11">
        <f ca="1">MATCH(OFFSET($D20,0,$C20)+1,OFFSET($D20,1,$C20,ROW($A$303)-ROW($A20)),0)</f>
        <v>3</v>
      </c>
      <c r="K20" s="156">
        <f ca="1">ROUND(INDEX(PO!T$12:T$603,MATCH($A20,PO!$V$12:$V$603,0)),2)+10^-12</f>
        <v>9.9999999999999998E-13</v>
      </c>
      <c r="L20" s="344"/>
      <c r="M20" s="338"/>
      <c r="N20" s="336"/>
      <c r="O20" s="171" t="s">
        <v>20</v>
      </c>
      <c r="P20" s="166">
        <f t="shared" ref="P20:W20" ca="1" si="8">IF($B20,ROUND(P19*$N18,2),ROUND(SUMIF(OFFSET($B20,1,0,$D20),TRUE,OFFSET(P20,1,0,$D20))/SUMIF(OFFSET($B20,1,0,$D20),TRUE,OFFSET($K20,1,0,$D20))*$N18,2))</f>
        <v>0</v>
      </c>
      <c r="Q20" s="144">
        <f t="shared" ca="1" si="8"/>
        <v>0</v>
      </c>
      <c r="R20" s="144">
        <f t="shared" ca="1" si="8"/>
        <v>0</v>
      </c>
      <c r="S20" s="144">
        <f t="shared" ca="1" si="8"/>
        <v>0</v>
      </c>
      <c r="T20" s="144">
        <f t="shared" ca="1" si="8"/>
        <v>0</v>
      </c>
      <c r="U20" s="144">
        <f t="shared" ca="1" si="8"/>
        <v>0</v>
      </c>
      <c r="V20" s="144">
        <f t="shared" ca="1" si="8"/>
        <v>0</v>
      </c>
      <c r="W20" s="174">
        <f t="shared" ca="1" si="8"/>
        <v>0</v>
      </c>
      <c r="X20" s="163"/>
      <c r="AC20" s="144">
        <f ca="1">IF($B20,ROUND(AC19*$N18,2),ROUND(SUMIF(OFFSET($B20,1,0,$D20),TRUE,OFFSET(AC20,1,0,$D20))/SUMIF(OFFSET($B20,1,0,$D20),TRUE,OFFSET($K20,1,0,$D20))*$N18,2))</f>
        <v>0</v>
      </c>
    </row>
    <row r="21" spans="1:29" customFormat="1" ht="14.25" customHeight="1" x14ac:dyDescent="0.25">
      <c r="A21" s="1"/>
      <c r="B21" s="1"/>
      <c r="C21" s="1"/>
      <c r="D21" s="1"/>
      <c r="E21" s="1"/>
      <c r="F21" s="1"/>
      <c r="G21" s="1"/>
      <c r="H21" s="1"/>
      <c r="I21" s="1"/>
      <c r="J21" s="1"/>
      <c r="K21" s="1"/>
      <c r="L21" s="343" t="str">
        <f ca="1">INDEX(PO!K$12:K$603,MATCH($A23,PO!$V$12:$V$603,0))</f>
        <v>2.</v>
      </c>
      <c r="M21" s="337" t="str">
        <f ca="1">INDEX(PO!N$12:N$603,MATCH($A23,PO!$V$12:$V$603,0))</f>
        <v>MOVIMENTAÇÕES DE SOLO</v>
      </c>
      <c r="N21" s="335">
        <f ca="1">IF(ROUND(K23,2)=0,K23,ROUND(K23,2))</f>
        <v>9.9999999999999998E-13</v>
      </c>
      <c r="O21" s="187" t="s">
        <v>143</v>
      </c>
      <c r="P21" s="192">
        <v>1</v>
      </c>
      <c r="Q21" s="193"/>
      <c r="R21" s="193"/>
      <c r="S21" s="193"/>
      <c r="T21" s="193"/>
      <c r="U21" s="193"/>
      <c r="V21" s="193"/>
      <c r="W21" s="194"/>
      <c r="X21" s="163"/>
      <c r="AC21" s="188">
        <f ca="1">IF($B23,0,AC22-IF(ISNUMBER(AB22),AB22,0))</f>
        <v>0</v>
      </c>
    </row>
    <row r="22" spans="1:29" customFormat="1" ht="13.8" x14ac:dyDescent="0.25">
      <c r="A22" s="11"/>
      <c r="B22" s="11"/>
      <c r="C22" s="11"/>
      <c r="D22" s="11"/>
      <c r="E22" s="11"/>
      <c r="F22" s="11"/>
      <c r="G22" s="11"/>
      <c r="H22" s="11"/>
      <c r="I22" s="11"/>
      <c r="J22" s="11"/>
      <c r="K22" s="11"/>
      <c r="L22" s="344"/>
      <c r="M22" s="338"/>
      <c r="N22" s="336"/>
      <c r="O22" s="145" t="s">
        <v>145</v>
      </c>
      <c r="P22" s="165">
        <f ca="1">MIN(IF($B23,P21+IF(ISNUMBER(O22),O22,0),P23/$N21),1)</f>
        <v>0</v>
      </c>
      <c r="Q22" s="143">
        <f t="shared" ref="Q22" ca="1" si="9">MIN(IF($B23,Q21+IF(ISNUMBER(P22),P22,0),Q23/$N21),1)</f>
        <v>0</v>
      </c>
      <c r="R22" s="143">
        <f t="shared" ref="R22" ca="1" si="10">MIN(IF($B23,R21+IF(ISNUMBER(Q22),Q22,0),R23/$N21),1)</f>
        <v>0</v>
      </c>
      <c r="S22" s="143">
        <f t="shared" ref="S22" ca="1" si="11">MIN(IF($B23,S21+IF(ISNUMBER(R22),R22,0),S23/$N21),1)</f>
        <v>0</v>
      </c>
      <c r="T22" s="143">
        <f t="shared" ref="T22" ca="1" si="12">MIN(IF($B23,T21+IF(ISNUMBER(S22),S22,0),T23/$N21),1)</f>
        <v>0</v>
      </c>
      <c r="U22" s="143">
        <f t="shared" ref="U22" ca="1" si="13">MIN(IF($B23,U21+IF(ISNUMBER(T22),T22,0),U23/$N21),1)</f>
        <v>0</v>
      </c>
      <c r="V22" s="143">
        <f t="shared" ref="V22" ca="1" si="14">MIN(IF($B23,V21+IF(ISNUMBER(U22),U22,0),V23/$N21),1)</f>
        <v>0</v>
      </c>
      <c r="W22" s="143">
        <f t="shared" ref="W22" ca="1" si="15">MIN(IF($B23,W21+IF(ISNUMBER(V22),V22,0),W23/$N21),1)</f>
        <v>0</v>
      </c>
      <c r="X22" s="163"/>
      <c r="AC22" s="143">
        <f ca="1">MIN(IF($B23,AC21+IF(ISNUMBER(AB22),AB22,0),AC23/$N21),1)</f>
        <v>0</v>
      </c>
    </row>
    <row r="23" spans="1:29" customFormat="1" ht="13.8" x14ac:dyDescent="0.25">
      <c r="A23" s="11">
        <f ca="1">OFFSET(A23,-CFF.NumLinha,0)+1</f>
        <v>2</v>
      </c>
      <c r="B23" s="11" t="b">
        <f ca="1">$C23&gt;=OFFSET($C23,CFF.NumLinha,0)</f>
        <v>0</v>
      </c>
      <c r="C23" s="11">
        <f ca="1">INDEX(PO!A$12:A$603,MATCH($A23,PO!$V$12:$V$603,0))</f>
        <v>1</v>
      </c>
      <c r="D23" s="11">
        <f ca="1">IF(ISERROR(J23),I23,SMALL(I23:J23,1))-1</f>
        <v>11</v>
      </c>
      <c r="E23" s="11">
        <f ca="1">IF($C23=1,OFFSET(E23,-CFF.NumLinha,0)+1,OFFSET(E23,-CFF.NumLinha,0))</f>
        <v>2</v>
      </c>
      <c r="F23" s="11">
        <f ca="1">IF($C23=1,0,IF($C23=2,OFFSET(F23,-CFF.NumLinha,0)+1,OFFSET(F23,-CFF.NumLinha,0)))</f>
        <v>0</v>
      </c>
      <c r="G23" s="11">
        <f ca="1">IF(AND($C23&lt;=2,$C23&lt;&gt;0),0,IF($C23=3,OFFSET(G23,-CFF.NumLinha,0)+1,OFFSET(G23,-CFF.NumLinha,0)))</f>
        <v>0</v>
      </c>
      <c r="H23" s="11">
        <f ca="1">IF(AND($C23&lt;=3,$C23&lt;&gt;0),0,IF($C23=4,OFFSET(H23,-CFF.NumLinha,0)+1,OFFSET(H23,-CFF.NumLinha,0)))</f>
        <v>0</v>
      </c>
      <c r="I23" s="11">
        <f ca="1">MATCH(0,OFFSET($D23,1,$C23,ROW($A$303)-ROW($A23)),0)</f>
        <v>280</v>
      </c>
      <c r="J23" s="11">
        <f ca="1">MATCH(OFFSET($D23,0,$C23)+1,OFFSET($D23,1,$C23,ROW($A$303)-ROW($A23)),0)</f>
        <v>12</v>
      </c>
      <c r="K23" s="156">
        <f ca="1">ROUND(INDEX(PO!T$12:T$603,MATCH($A23,PO!$V$12:$V$603,0)),2)+10^-12</f>
        <v>9.9999999999999998E-13</v>
      </c>
      <c r="L23" s="344"/>
      <c r="M23" s="338"/>
      <c r="N23" s="336"/>
      <c r="O23" s="171" t="s">
        <v>20</v>
      </c>
      <c r="P23" s="166">
        <f ca="1">IF($B23,ROUND(P22*$N21,2),ROUND(SUMIF(OFFSET($B23,1,0,$D23),TRUE,OFFSET(P23,1,0,$D23))/SUMIF(OFFSET($B23,1,0,$D23),TRUE,OFFSET($K23,1,0,$D23))*$N21,2))</f>
        <v>0</v>
      </c>
      <c r="Q23" s="144">
        <f t="shared" ref="Q23:W23" ca="1" si="16">IF($B23,ROUND(Q22*$N21,2),ROUND(SUMIF(OFFSET($B23,1,0,$D23),TRUE,OFFSET(Q23,1,0,$D23))/SUMIF(OFFSET($B23,1,0,$D23),TRUE,OFFSET($K23,1,0,$D23))*$N21,2))</f>
        <v>0</v>
      </c>
      <c r="R23" s="144">
        <f t="shared" ca="1" si="16"/>
        <v>0</v>
      </c>
      <c r="S23" s="144">
        <f t="shared" ca="1" si="16"/>
        <v>0</v>
      </c>
      <c r="T23" s="144">
        <f t="shared" ca="1" si="16"/>
        <v>0</v>
      </c>
      <c r="U23" s="144">
        <f t="shared" ca="1" si="16"/>
        <v>0</v>
      </c>
      <c r="V23" s="144">
        <f t="shared" ca="1" si="16"/>
        <v>0</v>
      </c>
      <c r="W23" s="174">
        <f t="shared" ca="1" si="16"/>
        <v>0</v>
      </c>
      <c r="X23" s="163"/>
      <c r="AC23" s="144">
        <f ca="1">IF($B23,ROUND(AC22*$N21,2),ROUND(SUMIF(OFFSET($B23,1,0,$D23),TRUE,OFFSET(AC23,1,0,$D23))/SUMIF(OFFSET($B23,1,0,$D23),TRUE,OFFSET($K23,1,0,$D23))*$N21,2))</f>
        <v>0</v>
      </c>
    </row>
    <row r="24" spans="1:29" customFormat="1" ht="14.25" customHeight="1" x14ac:dyDescent="0.25">
      <c r="A24" s="1"/>
      <c r="B24" s="1"/>
      <c r="C24" s="1"/>
      <c r="D24" s="1"/>
      <c r="E24" s="1"/>
      <c r="F24" s="1"/>
      <c r="G24" s="1"/>
      <c r="H24" s="1"/>
      <c r="I24" s="1"/>
      <c r="J24" s="1"/>
      <c r="K24" s="1"/>
      <c r="L24" s="343" t="str">
        <f ca="1">INDEX(PO!K$12:K$603,MATCH($A26,PO!$V$12:$V$603,0))</f>
        <v>2.1.</v>
      </c>
      <c r="M24" s="337" t="str">
        <f ca="1">INDEX(PO!N$12:N$603,MATCH($A26,PO!$V$12:$V$603,0))</f>
        <v>EDIFICAÇÃO</v>
      </c>
      <c r="N24" s="335">
        <f t="shared" ref="N24" ca="1" si="17">IF(ROUND(K26,2)=0,K26,ROUND(K26,2))</f>
        <v>9.9999999999999998E-13</v>
      </c>
      <c r="O24" s="187" t="s">
        <v>143</v>
      </c>
      <c r="P24" s="192">
        <v>0.75</v>
      </c>
      <c r="Q24" s="193">
        <v>0.25</v>
      </c>
      <c r="R24" s="193"/>
      <c r="S24" s="193"/>
      <c r="T24" s="193"/>
      <c r="U24" s="193"/>
      <c r="V24" s="193"/>
      <c r="W24" s="194"/>
      <c r="X24" s="163"/>
      <c r="AC24" s="188">
        <f t="shared" ref="AC24" ca="1" si="18">IF($B26,0,AC25-IF(ISNUMBER(AB25),AB25,0))</f>
        <v>0</v>
      </c>
    </row>
    <row r="25" spans="1:29" customFormat="1" ht="13.8" x14ac:dyDescent="0.25">
      <c r="A25" s="11"/>
      <c r="B25" s="11"/>
      <c r="C25" s="11"/>
      <c r="D25" s="11"/>
      <c r="E25" s="11"/>
      <c r="F25" s="11"/>
      <c r="G25" s="11"/>
      <c r="H25" s="11"/>
      <c r="I25" s="11"/>
      <c r="J25" s="11"/>
      <c r="K25" s="11"/>
      <c r="L25" s="344"/>
      <c r="M25" s="338"/>
      <c r="N25" s="336"/>
      <c r="O25" s="145" t="s">
        <v>145</v>
      </c>
      <c r="P25" s="165">
        <f t="shared" ref="P25" ca="1" si="19">MIN(IF($B26,P24+IF(ISNUMBER(O25),O25,0),P26/$N24),1)</f>
        <v>0.75</v>
      </c>
      <c r="Q25" s="143">
        <f t="shared" ref="Q25" ca="1" si="20">MIN(IF($B26,Q24+IF(ISNUMBER(P25),P25,0),Q26/$N24),1)</f>
        <v>1</v>
      </c>
      <c r="R25" s="143">
        <f t="shared" ref="R25" ca="1" si="21">MIN(IF($B26,R24+IF(ISNUMBER(Q25),Q25,0),R26/$N24),1)</f>
        <v>1</v>
      </c>
      <c r="S25" s="143">
        <f t="shared" ref="S25" ca="1" si="22">MIN(IF($B26,S24+IF(ISNUMBER(R25),R25,0),S26/$N24),1)</f>
        <v>1</v>
      </c>
      <c r="T25" s="143">
        <f t="shared" ref="T25" ca="1" si="23">MIN(IF($B26,T24+IF(ISNUMBER(S25),S25,0),T26/$N24),1)</f>
        <v>1</v>
      </c>
      <c r="U25" s="143">
        <f t="shared" ref="U25" ca="1" si="24">MIN(IF($B26,U24+IF(ISNUMBER(T25),T25,0),U26/$N24),1)</f>
        <v>1</v>
      </c>
      <c r="V25" s="143">
        <f t="shared" ref="V25" ca="1" si="25">MIN(IF($B26,V24+IF(ISNUMBER(U25),U25,0),V26/$N24),1)</f>
        <v>1</v>
      </c>
      <c r="W25" s="143">
        <f t="shared" ref="W25" ca="1" si="26">MIN(IF($B26,W24+IF(ISNUMBER(V25),V25,0),W26/$N24),1)</f>
        <v>1</v>
      </c>
      <c r="X25" s="163"/>
      <c r="AC25" s="143">
        <f t="shared" ref="AC25" ca="1" si="27">MIN(IF($B26,AC24+IF(ISNUMBER(AB25),AB25,0),AC26/$N24),1)</f>
        <v>0</v>
      </c>
    </row>
    <row r="26" spans="1:29" customFormat="1" ht="13.8" x14ac:dyDescent="0.25">
      <c r="A26" s="11">
        <f ca="1">OFFSET(A26,-CFF.NumLinha,0)+1</f>
        <v>3</v>
      </c>
      <c r="B26" s="11" t="b">
        <f ca="1">$C26&gt;=OFFSET($C26,CFF.NumLinha,0)</f>
        <v>1</v>
      </c>
      <c r="C26" s="11">
        <f ca="1">INDEX(PO!A$12:A$603,MATCH($A26,PO!$V$12:$V$603,0))</f>
        <v>2</v>
      </c>
      <c r="D26" s="11">
        <f t="shared" ref="D26" ca="1" si="28">IF(ISERROR(J26),I26,SMALL(I26:J26,1))-1</f>
        <v>2</v>
      </c>
      <c r="E26" s="11">
        <f ca="1">IF($C26=1,OFFSET(E26,-CFF.NumLinha,0)+1,OFFSET(E26,-CFF.NumLinha,0))</f>
        <v>2</v>
      </c>
      <c r="F26" s="11">
        <f ca="1">IF($C26=1,0,IF($C26=2,OFFSET(F26,-CFF.NumLinha,0)+1,OFFSET(F26,-CFF.NumLinha,0)))</f>
        <v>1</v>
      </c>
      <c r="G26" s="11">
        <f ca="1">IF(AND($C26&lt;=2,$C26&lt;&gt;0),0,IF($C26=3,OFFSET(G26,-CFF.NumLinha,0)+1,OFFSET(G26,-CFF.NumLinha,0)))</f>
        <v>0</v>
      </c>
      <c r="H26" s="11">
        <f ca="1">IF(AND($C26&lt;=3,$C26&lt;&gt;0),0,IF($C26=4,OFFSET(H26,-CFF.NumLinha,0)+1,OFFSET(H26,-CFF.NumLinha,0)))</f>
        <v>0</v>
      </c>
      <c r="I26" s="11">
        <f ca="1">MATCH(0,OFFSET($D26,1,$C26,ROW($A$303)-ROW($A26)),0)</f>
        <v>9</v>
      </c>
      <c r="J26" s="11">
        <f ca="1">MATCH(OFFSET($D26,0,$C26)+1,OFFSET($D26,1,$C26,ROW($A$303)-ROW($A26)),0)</f>
        <v>3</v>
      </c>
      <c r="K26" s="156">
        <f ca="1">ROUND(INDEX(PO!T$12:T$603,MATCH($A26,PO!$V$12:$V$603,0)),2)+10^-12</f>
        <v>9.9999999999999998E-13</v>
      </c>
      <c r="L26" s="344"/>
      <c r="M26" s="338"/>
      <c r="N26" s="336"/>
      <c r="O26" s="171" t="s">
        <v>20</v>
      </c>
      <c r="P26" s="166">
        <f t="shared" ref="P26:W26" ca="1" si="29">IF($B26,ROUND(P25*$N24,2),ROUND(SUMIF(OFFSET($B26,1,0,$D26),TRUE,OFFSET(P26,1,0,$D26))/SUMIF(OFFSET($B26,1,0,$D26),TRUE,OFFSET($K26,1,0,$D26))*$N24,2))</f>
        <v>0</v>
      </c>
      <c r="Q26" s="144">
        <f t="shared" ca="1" si="29"/>
        <v>0</v>
      </c>
      <c r="R26" s="144">
        <f t="shared" ca="1" si="29"/>
        <v>0</v>
      </c>
      <c r="S26" s="144">
        <f t="shared" ca="1" si="29"/>
        <v>0</v>
      </c>
      <c r="T26" s="144">
        <f t="shared" ca="1" si="29"/>
        <v>0</v>
      </c>
      <c r="U26" s="144">
        <f t="shared" ca="1" si="29"/>
        <v>0</v>
      </c>
      <c r="V26" s="144">
        <f t="shared" ca="1" si="29"/>
        <v>0</v>
      </c>
      <c r="W26" s="174">
        <f t="shared" ca="1" si="29"/>
        <v>0</v>
      </c>
      <c r="X26" s="163"/>
      <c r="AC26" s="144">
        <f t="shared" ref="AC26" ca="1" si="30">IF($B26,ROUND(AC25*$N24,2),ROUND(SUMIF(OFFSET($B26,1,0,$D26),TRUE,OFFSET(AC26,1,0,$D26))/SUMIF(OFFSET($B26,1,0,$D26),TRUE,OFFSET($K26,1,0,$D26))*$N24,2))</f>
        <v>0</v>
      </c>
    </row>
    <row r="27" spans="1:29" customFormat="1" ht="14.25" customHeight="1" x14ac:dyDescent="0.25">
      <c r="A27" s="1"/>
      <c r="B27" s="1"/>
      <c r="C27" s="1"/>
      <c r="D27" s="1"/>
      <c r="E27" s="1"/>
      <c r="F27" s="1"/>
      <c r="G27" s="1"/>
      <c r="H27" s="1"/>
      <c r="I27" s="1"/>
      <c r="J27" s="1"/>
      <c r="K27" s="1"/>
      <c r="L27" s="343" t="str">
        <f ca="1">INDEX(PO!K$12:K$603,MATCH($A29,PO!$V$12:$V$603,0))</f>
        <v>2.2.</v>
      </c>
      <c r="M27" s="337" t="str">
        <f ca="1">INDEX(PO!N$12:N$603,MATCH($A29,PO!$V$12:$V$603,0))</f>
        <v>MURETA ABRIGO DE GÁS</v>
      </c>
      <c r="N27" s="335">
        <f t="shared" ref="N27" ca="1" si="31">IF(ROUND(K29,2)=0,K29,ROUND(K29,2))</f>
        <v>9.9999999999999998E-13</v>
      </c>
      <c r="O27" s="187" t="s">
        <v>143</v>
      </c>
      <c r="P27" s="192">
        <v>0.25</v>
      </c>
      <c r="Q27" s="193">
        <v>0.35</v>
      </c>
      <c r="R27" s="193">
        <v>0.3</v>
      </c>
      <c r="S27" s="193">
        <v>0.1</v>
      </c>
      <c r="T27" s="193"/>
      <c r="U27" s="193"/>
      <c r="V27" s="193"/>
      <c r="W27" s="194"/>
      <c r="X27" s="163"/>
      <c r="AC27" s="188">
        <f t="shared" ref="AC27" ca="1" si="32">IF($B29,0,AC28-IF(ISNUMBER(AB28),AB28,0))</f>
        <v>0</v>
      </c>
    </row>
    <row r="28" spans="1:29" customFormat="1" ht="13.8" x14ac:dyDescent="0.25">
      <c r="A28" s="11"/>
      <c r="B28" s="11"/>
      <c r="C28" s="11"/>
      <c r="D28" s="11"/>
      <c r="E28" s="11"/>
      <c r="F28" s="11"/>
      <c r="G28" s="11"/>
      <c r="H28" s="11"/>
      <c r="I28" s="11"/>
      <c r="J28" s="11"/>
      <c r="K28" s="11"/>
      <c r="L28" s="344"/>
      <c r="M28" s="338"/>
      <c r="N28" s="336"/>
      <c r="O28" s="145" t="s">
        <v>145</v>
      </c>
      <c r="P28" s="165">
        <f t="shared" ref="P28" ca="1" si="33">MIN(IF($B29,P27+IF(ISNUMBER(O28),O28,0),P29/$N27),1)</f>
        <v>0.25</v>
      </c>
      <c r="Q28" s="143">
        <f t="shared" ref="Q28" ca="1" si="34">MIN(IF($B29,Q27+IF(ISNUMBER(P28),P28,0),Q29/$N27),1)</f>
        <v>0.6</v>
      </c>
      <c r="R28" s="143">
        <f t="shared" ref="R28" ca="1" si="35">MIN(IF($B29,R27+IF(ISNUMBER(Q28),Q28,0),R29/$N27),1)</f>
        <v>0.89999999999999991</v>
      </c>
      <c r="S28" s="143">
        <f t="shared" ref="S28" ca="1" si="36">MIN(IF($B29,S27+IF(ISNUMBER(R28),R28,0),S29/$N27),1)</f>
        <v>0.99999999999999989</v>
      </c>
      <c r="T28" s="143">
        <f t="shared" ref="T28" ca="1" si="37">MIN(IF($B29,T27+IF(ISNUMBER(S28),S28,0),T29/$N27),1)</f>
        <v>0.99999999999999989</v>
      </c>
      <c r="U28" s="143">
        <f t="shared" ref="U28" ca="1" si="38">MIN(IF($B29,U27+IF(ISNUMBER(T28),T28,0),U29/$N27),1)</f>
        <v>0.99999999999999989</v>
      </c>
      <c r="V28" s="143">
        <f t="shared" ref="V28" ca="1" si="39">MIN(IF($B29,V27+IF(ISNUMBER(U28),U28,0),V29/$N27),1)</f>
        <v>0.99999999999999989</v>
      </c>
      <c r="W28" s="143">
        <f t="shared" ref="W28" ca="1" si="40">MIN(IF($B29,W27+IF(ISNUMBER(V28),V28,0),W29/$N27),1)</f>
        <v>0.99999999999999989</v>
      </c>
      <c r="X28" s="163"/>
      <c r="AC28" s="143">
        <f t="shared" ref="AC28" ca="1" si="41">MIN(IF($B29,AC27+IF(ISNUMBER(AB28),AB28,0),AC29/$N27),1)</f>
        <v>0</v>
      </c>
    </row>
    <row r="29" spans="1:29" customFormat="1" ht="13.8" x14ac:dyDescent="0.25">
      <c r="A29" s="11">
        <f ca="1">OFFSET(A29,-CFF.NumLinha,0)+1</f>
        <v>4</v>
      </c>
      <c r="B29" s="11" t="b">
        <f ca="1">$C29&gt;=OFFSET($C29,CFF.NumLinha,0)</f>
        <v>1</v>
      </c>
      <c r="C29" s="11">
        <f ca="1">INDEX(PO!A$12:A$603,MATCH($A29,PO!$V$12:$V$603,0))</f>
        <v>2</v>
      </c>
      <c r="D29" s="11">
        <f t="shared" ref="D29" ca="1" si="42">IF(ISERROR(J29),I29,SMALL(I29:J29,1))-1</f>
        <v>2</v>
      </c>
      <c r="E29" s="11">
        <f ca="1">IF($C29=1,OFFSET(E29,-CFF.NumLinha,0)+1,OFFSET(E29,-CFF.NumLinha,0))</f>
        <v>2</v>
      </c>
      <c r="F29" s="11">
        <f ca="1">IF($C29=1,0,IF($C29=2,OFFSET(F29,-CFF.NumLinha,0)+1,OFFSET(F29,-CFF.NumLinha,0)))</f>
        <v>2</v>
      </c>
      <c r="G29" s="11">
        <f ca="1">IF(AND($C29&lt;=2,$C29&lt;&gt;0),0,IF($C29=3,OFFSET(G29,-CFF.NumLinha,0)+1,OFFSET(G29,-CFF.NumLinha,0)))</f>
        <v>0</v>
      </c>
      <c r="H29" s="11">
        <f ca="1">IF(AND($C29&lt;=3,$C29&lt;&gt;0),0,IF($C29=4,OFFSET(H29,-CFF.NumLinha,0)+1,OFFSET(H29,-CFF.NumLinha,0)))</f>
        <v>0</v>
      </c>
      <c r="I29" s="11">
        <f ca="1">MATCH(0,OFFSET($D29,1,$C29,ROW($A$303)-ROW($A29)),0)</f>
        <v>6</v>
      </c>
      <c r="J29" s="11">
        <f ca="1">MATCH(OFFSET($D29,0,$C29)+1,OFFSET($D29,1,$C29,ROW($A$303)-ROW($A29)),0)</f>
        <v>3</v>
      </c>
      <c r="K29" s="156">
        <f ca="1">ROUND(INDEX(PO!T$12:T$603,MATCH($A29,PO!$V$12:$V$603,0)),2)+10^-12</f>
        <v>9.9999999999999998E-13</v>
      </c>
      <c r="L29" s="344"/>
      <c r="M29" s="338"/>
      <c r="N29" s="336"/>
      <c r="O29" s="171" t="s">
        <v>20</v>
      </c>
      <c r="P29" s="166">
        <f t="shared" ref="P29:W29" ca="1" si="43">IF($B29,ROUND(P28*$N27,2),ROUND(SUMIF(OFFSET($B29,1,0,$D29),TRUE,OFFSET(P29,1,0,$D29))/SUMIF(OFFSET($B29,1,0,$D29),TRUE,OFFSET($K29,1,0,$D29))*$N27,2))</f>
        <v>0</v>
      </c>
      <c r="Q29" s="144">
        <f t="shared" ca="1" si="43"/>
        <v>0</v>
      </c>
      <c r="R29" s="144">
        <f t="shared" ca="1" si="43"/>
        <v>0</v>
      </c>
      <c r="S29" s="144">
        <f t="shared" ca="1" si="43"/>
        <v>0</v>
      </c>
      <c r="T29" s="144">
        <f t="shared" ca="1" si="43"/>
        <v>0</v>
      </c>
      <c r="U29" s="144">
        <f t="shared" ca="1" si="43"/>
        <v>0</v>
      </c>
      <c r="V29" s="144">
        <f t="shared" ca="1" si="43"/>
        <v>0</v>
      </c>
      <c r="W29" s="174">
        <f t="shared" ca="1" si="43"/>
        <v>0</v>
      </c>
      <c r="X29" s="163"/>
      <c r="AC29" s="144">
        <f t="shared" ref="AC29" ca="1" si="44">IF($B29,ROUND(AC28*$N27,2),ROUND(SUMIF(OFFSET($B29,1,0,$D29),TRUE,OFFSET(AC29,1,0,$D29))/SUMIF(OFFSET($B29,1,0,$D29),TRUE,OFFSET($K29,1,0,$D29))*$N27,2))</f>
        <v>0</v>
      </c>
    </row>
    <row r="30" spans="1:29" customFormat="1" ht="14.25" customHeight="1" x14ac:dyDescent="0.25">
      <c r="A30" s="1"/>
      <c r="B30" s="1"/>
      <c r="C30" s="1"/>
      <c r="D30" s="1"/>
      <c r="E30" s="1"/>
      <c r="F30" s="1"/>
      <c r="G30" s="1"/>
      <c r="H30" s="1"/>
      <c r="I30" s="1"/>
      <c r="J30" s="1"/>
      <c r="K30" s="1"/>
      <c r="L30" s="343" t="str">
        <f ca="1">INDEX(PO!K$12:K$603,MATCH($A32,PO!$V$12:$V$603,0))</f>
        <v>2.3.</v>
      </c>
      <c r="M30" s="337" t="str">
        <f ca="1">INDEX(PO!N$12:N$603,MATCH($A32,PO!$V$12:$V$603,0))</f>
        <v>CASTELO D'ÁGUA</v>
      </c>
      <c r="N30" s="335">
        <f t="shared" ref="N30" ca="1" si="45">IF(ROUND(K32,2)=0,K32,ROUND(K32,2))</f>
        <v>9.9999999999999998E-13</v>
      </c>
      <c r="O30" s="187" t="s">
        <v>143</v>
      </c>
      <c r="P30" s="192"/>
      <c r="Q30" s="193">
        <v>0.5</v>
      </c>
      <c r="R30" s="193">
        <v>0.25</v>
      </c>
      <c r="S30" s="193">
        <v>0.25</v>
      </c>
      <c r="T30" s="193"/>
      <c r="U30" s="193"/>
      <c r="V30" s="193"/>
      <c r="W30" s="194"/>
      <c r="X30" s="163"/>
      <c r="AC30" s="188">
        <f t="shared" ref="AC30" ca="1" si="46">IF($B32,0,AC31-IF(ISNUMBER(AB31),AB31,0))</f>
        <v>0</v>
      </c>
    </row>
    <row r="31" spans="1:29" customFormat="1" ht="13.8" x14ac:dyDescent="0.25">
      <c r="A31" s="11"/>
      <c r="B31" s="11"/>
      <c r="C31" s="11"/>
      <c r="D31" s="11"/>
      <c r="E31" s="11"/>
      <c r="F31" s="11"/>
      <c r="G31" s="11"/>
      <c r="H31" s="11"/>
      <c r="I31" s="11"/>
      <c r="J31" s="11"/>
      <c r="K31" s="11"/>
      <c r="L31" s="344"/>
      <c r="M31" s="338"/>
      <c r="N31" s="336"/>
      <c r="O31" s="145" t="s">
        <v>145</v>
      </c>
      <c r="P31" s="165">
        <f t="shared" ref="P31" ca="1" si="47">MIN(IF($B32,P30+IF(ISNUMBER(O31),O31,0),P32/$N30),1)</f>
        <v>0</v>
      </c>
      <c r="Q31" s="143">
        <f t="shared" ref="Q31" ca="1" si="48">MIN(IF($B32,Q30+IF(ISNUMBER(P31),P31,0),Q32/$N30),1)</f>
        <v>0.5</v>
      </c>
      <c r="R31" s="143">
        <f t="shared" ref="R31" ca="1" si="49">MIN(IF($B32,R30+IF(ISNUMBER(Q31),Q31,0),R32/$N30),1)</f>
        <v>0.75</v>
      </c>
      <c r="S31" s="143">
        <f t="shared" ref="S31" ca="1" si="50">MIN(IF($B32,S30+IF(ISNUMBER(R31),R31,0),S32/$N30),1)</f>
        <v>1</v>
      </c>
      <c r="T31" s="143">
        <f t="shared" ref="T31" ca="1" si="51">MIN(IF($B32,T30+IF(ISNUMBER(S31),S31,0),T32/$N30),1)</f>
        <v>1</v>
      </c>
      <c r="U31" s="143">
        <f t="shared" ref="U31" ca="1" si="52">MIN(IF($B32,U30+IF(ISNUMBER(T31),T31,0),U32/$N30),1)</f>
        <v>1</v>
      </c>
      <c r="V31" s="143">
        <f t="shared" ref="V31" ca="1" si="53">MIN(IF($B32,V30+IF(ISNUMBER(U31),U31,0),V32/$N30),1)</f>
        <v>1</v>
      </c>
      <c r="W31" s="143">
        <f t="shared" ref="W31" ca="1" si="54">MIN(IF($B32,W30+IF(ISNUMBER(V31),V31,0),W32/$N30),1)</f>
        <v>1</v>
      </c>
      <c r="X31" s="163"/>
      <c r="AC31" s="143">
        <f t="shared" ref="AC31" ca="1" si="55">MIN(IF($B32,AC30+IF(ISNUMBER(AB31),AB31,0),AC32/$N30),1)</f>
        <v>0</v>
      </c>
    </row>
    <row r="32" spans="1:29" customFormat="1" ht="13.8" x14ac:dyDescent="0.25">
      <c r="A32" s="11">
        <f ca="1">OFFSET(A32,-CFF.NumLinha,0)+1</f>
        <v>5</v>
      </c>
      <c r="B32" s="11" t="b">
        <f ca="1">$C32&gt;=OFFSET($C32,CFF.NumLinha,0)</f>
        <v>1</v>
      </c>
      <c r="C32" s="11">
        <f ca="1">INDEX(PO!A$12:A$603,MATCH($A32,PO!$V$12:$V$603,0))</f>
        <v>2</v>
      </c>
      <c r="D32" s="11">
        <f t="shared" ref="D32" ca="1" si="56">IF(ISERROR(J32),I32,SMALL(I32:J32,1))-1</f>
        <v>2</v>
      </c>
      <c r="E32" s="11">
        <f ca="1">IF($C32=1,OFFSET(E32,-CFF.NumLinha,0)+1,OFFSET(E32,-CFF.NumLinha,0))</f>
        <v>2</v>
      </c>
      <c r="F32" s="11">
        <f ca="1">IF($C32=1,0,IF($C32=2,OFFSET(F32,-CFF.NumLinha,0)+1,OFFSET(F32,-CFF.NumLinha,0)))</f>
        <v>3</v>
      </c>
      <c r="G32" s="11">
        <f ca="1">IF(AND($C32&lt;=2,$C32&lt;&gt;0),0,IF($C32=3,OFFSET(G32,-CFF.NumLinha,0)+1,OFFSET(G32,-CFF.NumLinha,0)))</f>
        <v>0</v>
      </c>
      <c r="H32" s="11">
        <f ca="1">IF(AND($C32&lt;=3,$C32&lt;&gt;0),0,IF($C32=4,OFFSET(H32,-CFF.NumLinha,0)+1,OFFSET(H32,-CFF.NumLinha,0)))</f>
        <v>0</v>
      </c>
      <c r="I32" s="11">
        <f ca="1">MATCH(0,OFFSET($D32,1,$C32,ROW($A$303)-ROW($A32)),0)</f>
        <v>3</v>
      </c>
      <c r="J32" s="11">
        <f ca="1">MATCH(OFFSET($D32,0,$C32)+1,OFFSET($D32,1,$C32,ROW($A$303)-ROW($A32)),0)</f>
        <v>15</v>
      </c>
      <c r="K32" s="156">
        <f ca="1">ROUND(INDEX(PO!T$12:T$603,MATCH($A32,PO!$V$12:$V$603,0)),2)+10^-12</f>
        <v>9.9999999999999998E-13</v>
      </c>
      <c r="L32" s="344"/>
      <c r="M32" s="338"/>
      <c r="N32" s="336"/>
      <c r="O32" s="171" t="s">
        <v>20</v>
      </c>
      <c r="P32" s="166">
        <f t="shared" ref="P32:W32" ca="1" si="57">IF($B32,ROUND(P31*$N30,2),ROUND(SUMIF(OFFSET($B32,1,0,$D32),TRUE,OFFSET(P32,1,0,$D32))/SUMIF(OFFSET($B32,1,0,$D32),TRUE,OFFSET($K32,1,0,$D32))*$N30,2))</f>
        <v>0</v>
      </c>
      <c r="Q32" s="144">
        <f t="shared" ca="1" si="57"/>
        <v>0</v>
      </c>
      <c r="R32" s="144">
        <f t="shared" ca="1" si="57"/>
        <v>0</v>
      </c>
      <c r="S32" s="144">
        <f t="shared" ca="1" si="57"/>
        <v>0</v>
      </c>
      <c r="T32" s="144">
        <f t="shared" ca="1" si="57"/>
        <v>0</v>
      </c>
      <c r="U32" s="144">
        <f t="shared" ca="1" si="57"/>
        <v>0</v>
      </c>
      <c r="V32" s="144">
        <f t="shared" ca="1" si="57"/>
        <v>0</v>
      </c>
      <c r="W32" s="174">
        <f t="shared" ca="1" si="57"/>
        <v>0</v>
      </c>
      <c r="X32" s="163"/>
      <c r="AC32" s="144">
        <f t="shared" ref="AC32" ca="1" si="58">IF($B32,ROUND(AC31*$N30,2),ROUND(SUMIF(OFFSET($B32,1,0,$D32),TRUE,OFFSET(AC32,1,0,$D32))/SUMIF(OFFSET($B32,1,0,$D32),TRUE,OFFSET($K32,1,0,$D32))*$N30,2))</f>
        <v>0</v>
      </c>
    </row>
    <row r="33" spans="1:29" customFormat="1" ht="14.25" customHeight="1" x14ac:dyDescent="0.25">
      <c r="A33" s="1"/>
      <c r="B33" s="1"/>
      <c r="C33" s="1"/>
      <c r="D33" s="1"/>
      <c r="E33" s="1"/>
      <c r="F33" s="1"/>
      <c r="G33" s="1"/>
      <c r="H33" s="1"/>
      <c r="I33" s="1"/>
      <c r="J33" s="1"/>
      <c r="K33" s="1"/>
      <c r="L33" s="343" t="str">
        <f ca="1">INDEX(PO!K$12:K$603,MATCH($A35,PO!$V$12:$V$603,0))</f>
        <v>3.</v>
      </c>
      <c r="M33" s="337" t="str">
        <f ca="1">INDEX(PO!N$12:N$603,MATCH($A35,PO!$V$12:$V$603,0))</f>
        <v>FUNDAÇÕES</v>
      </c>
      <c r="N33" s="335">
        <f ca="1">IF(ROUND(K35,2)=0,K35,ROUND(K35,2))</f>
        <v>9.9999999999999998E-13</v>
      </c>
      <c r="O33" s="187" t="s">
        <v>143</v>
      </c>
      <c r="P33" s="192"/>
      <c r="Q33" s="193"/>
      <c r="R33" s="193"/>
      <c r="S33" s="193">
        <v>0.5</v>
      </c>
      <c r="T33" s="193">
        <v>0.5</v>
      </c>
      <c r="U33" s="193"/>
      <c r="V33" s="193"/>
      <c r="W33" s="194"/>
      <c r="X33" s="163"/>
      <c r="AC33" s="188">
        <f ca="1">IF($B35,0,AC34-IF(ISNUMBER(AB34),AB34,0))</f>
        <v>0</v>
      </c>
    </row>
    <row r="34" spans="1:29" customFormat="1" ht="13.8" x14ac:dyDescent="0.25">
      <c r="A34" s="11"/>
      <c r="B34" s="11"/>
      <c r="C34" s="11"/>
      <c r="D34" s="11"/>
      <c r="E34" s="11"/>
      <c r="F34" s="11"/>
      <c r="G34" s="11"/>
      <c r="H34" s="11"/>
      <c r="I34" s="11"/>
      <c r="J34" s="11"/>
      <c r="K34" s="11"/>
      <c r="L34" s="344"/>
      <c r="M34" s="338"/>
      <c r="N34" s="336"/>
      <c r="O34" s="145" t="s">
        <v>145</v>
      </c>
      <c r="P34" s="165">
        <f ca="1">MIN(IF($B35,P33+IF(ISNUMBER(O34),O34,0),P35/$N33),1)</f>
        <v>0</v>
      </c>
      <c r="Q34" s="143">
        <f t="shared" ref="Q34" ca="1" si="59">MIN(IF($B35,Q33+IF(ISNUMBER(P34),P34,0),Q35/$N33),1)</f>
        <v>0</v>
      </c>
      <c r="R34" s="143">
        <f t="shared" ref="R34" ca="1" si="60">MIN(IF($B35,R33+IF(ISNUMBER(Q34),Q34,0),R35/$N33),1)</f>
        <v>0</v>
      </c>
      <c r="S34" s="143">
        <f t="shared" ref="S34" ca="1" si="61">MIN(IF($B35,S33+IF(ISNUMBER(R34),R34,0),S35/$N33),1)</f>
        <v>0</v>
      </c>
      <c r="T34" s="143">
        <f t="shared" ref="T34" ca="1" si="62">MIN(IF($B35,T33+IF(ISNUMBER(S34),S34,0),T35/$N33),1)</f>
        <v>0</v>
      </c>
      <c r="U34" s="143">
        <f t="shared" ref="U34" ca="1" si="63">MIN(IF($B35,U33+IF(ISNUMBER(T34),T34,0),U35/$N33),1)</f>
        <v>0</v>
      </c>
      <c r="V34" s="143">
        <f t="shared" ref="V34" ca="1" si="64">MIN(IF($B35,V33+IF(ISNUMBER(U34),U34,0),V35/$N33),1)</f>
        <v>0</v>
      </c>
      <c r="W34" s="143">
        <f t="shared" ref="W34" ca="1" si="65">MIN(IF($B35,W33+IF(ISNUMBER(V34),V34,0),W35/$N33),1)</f>
        <v>0</v>
      </c>
      <c r="X34" s="163"/>
      <c r="AC34" s="143">
        <f ca="1">MIN(IF($B35,AC33+IF(ISNUMBER(AB34),AB34,0),AC35/$N33),1)</f>
        <v>0</v>
      </c>
    </row>
    <row r="35" spans="1:29" customFormat="1" ht="13.8" x14ac:dyDescent="0.25">
      <c r="A35" s="11">
        <f ca="1">OFFSET(A35,-CFF.NumLinha,0)+1</f>
        <v>6</v>
      </c>
      <c r="B35" s="11" t="b">
        <f ca="1">$C35&gt;=OFFSET($C35,CFF.NumLinha,0)</f>
        <v>0</v>
      </c>
      <c r="C35" s="11">
        <f ca="1">INDEX(PO!A$12:A$603,MATCH($A35,PO!$V$12:$V$603,0))</f>
        <v>1</v>
      </c>
      <c r="D35" s="11">
        <f ca="1">IF(ISERROR(J35),I35,SMALL(I35:J35,1))-1</f>
        <v>17</v>
      </c>
      <c r="E35" s="11">
        <f ca="1">IF($C35=1,OFFSET(E35,-CFF.NumLinha,0)+1,OFFSET(E35,-CFF.NumLinha,0))</f>
        <v>3</v>
      </c>
      <c r="F35" s="11">
        <f ca="1">IF($C35=1,0,IF($C35=2,OFFSET(F35,-CFF.NumLinha,0)+1,OFFSET(F35,-CFF.NumLinha,0)))</f>
        <v>0</v>
      </c>
      <c r="G35" s="11">
        <f ca="1">IF(AND($C35&lt;=2,$C35&lt;&gt;0),0,IF($C35=3,OFFSET(G35,-CFF.NumLinha,0)+1,OFFSET(G35,-CFF.NumLinha,0)))</f>
        <v>0</v>
      </c>
      <c r="H35" s="11">
        <f ca="1">IF(AND($C35&lt;=3,$C35&lt;&gt;0),0,IF($C35=4,OFFSET(H35,-CFF.NumLinha,0)+1,OFFSET(H35,-CFF.NumLinha,0)))</f>
        <v>0</v>
      </c>
      <c r="I35" s="11">
        <f ca="1">MATCH(0,OFFSET($D35,1,$C35,ROW($A$303)-ROW($A35)),0)</f>
        <v>268</v>
      </c>
      <c r="J35" s="11">
        <f ca="1">MATCH(OFFSET($D35,0,$C35)+1,OFFSET($D35,1,$C35,ROW($A$303)-ROW($A35)),0)</f>
        <v>18</v>
      </c>
      <c r="K35" s="156">
        <f ca="1">ROUND(INDEX(PO!T$12:T$603,MATCH($A35,PO!$V$12:$V$603,0)),2)+10^-12</f>
        <v>9.9999999999999998E-13</v>
      </c>
      <c r="L35" s="344"/>
      <c r="M35" s="338"/>
      <c r="N35" s="336"/>
      <c r="O35" s="171" t="s">
        <v>20</v>
      </c>
      <c r="P35" s="166">
        <f ca="1">IF($B35,ROUND(P34*$N33,2),ROUND(SUMIF(OFFSET($B35,1,0,$D35),TRUE,OFFSET(P35,1,0,$D35))/SUMIF(OFFSET($B35,1,0,$D35),TRUE,OFFSET($K35,1,0,$D35))*$N33,2))</f>
        <v>0</v>
      </c>
      <c r="Q35" s="144">
        <f t="shared" ref="Q35:W35" ca="1" si="66">IF($B35,ROUND(Q34*$N33,2),ROUND(SUMIF(OFFSET($B35,1,0,$D35),TRUE,OFFSET(Q35,1,0,$D35))/SUMIF(OFFSET($B35,1,0,$D35),TRUE,OFFSET($K35,1,0,$D35))*$N33,2))</f>
        <v>0</v>
      </c>
      <c r="R35" s="144">
        <f t="shared" ca="1" si="66"/>
        <v>0</v>
      </c>
      <c r="S35" s="144">
        <f t="shared" ca="1" si="66"/>
        <v>0</v>
      </c>
      <c r="T35" s="144">
        <f t="shared" ca="1" si="66"/>
        <v>0</v>
      </c>
      <c r="U35" s="144">
        <f t="shared" ca="1" si="66"/>
        <v>0</v>
      </c>
      <c r="V35" s="144">
        <f t="shared" ca="1" si="66"/>
        <v>0</v>
      </c>
      <c r="W35" s="174">
        <f t="shared" ca="1" si="66"/>
        <v>0</v>
      </c>
      <c r="X35" s="163"/>
      <c r="AC35" s="144">
        <f ca="1">IF($B35,ROUND(AC34*$N33,2),ROUND(SUMIF(OFFSET($B35,1,0,$D35),TRUE,OFFSET(AC35,1,0,$D35))/SUMIF(OFFSET($B35,1,0,$D35),TRUE,OFFSET($K35,1,0,$D35))*$N33,2))</f>
        <v>0</v>
      </c>
    </row>
    <row r="36" spans="1:29" customFormat="1" ht="14.25" customHeight="1" x14ac:dyDescent="0.25">
      <c r="A36" s="1"/>
      <c r="B36" s="1"/>
      <c r="C36" s="1"/>
      <c r="D36" s="1"/>
      <c r="E36" s="1"/>
      <c r="F36" s="1"/>
      <c r="G36" s="1"/>
      <c r="H36" s="1"/>
      <c r="I36" s="1"/>
      <c r="J36" s="1"/>
      <c r="K36" s="1"/>
      <c r="L36" s="343" t="str">
        <f ca="1">INDEX(PO!K$12:K$603,MATCH($A38,PO!$V$12:$V$603,0))</f>
        <v>3.1.</v>
      </c>
      <c r="M36" s="337" t="str">
        <f ca="1">INDEX(PO!N$12:N$603,MATCH($A38,PO!$V$12:$V$603,0))</f>
        <v>CONCRETO ARMADO PARA SAPATAS</v>
      </c>
      <c r="N36" s="335">
        <f t="shared" ref="N36" ca="1" si="67">IF(ROUND(K38,2)=0,K38,ROUND(K38,2))</f>
        <v>9.9999999999999998E-13</v>
      </c>
      <c r="O36" s="187" t="s">
        <v>143</v>
      </c>
      <c r="P36" s="192"/>
      <c r="Q36" s="193"/>
      <c r="R36" s="193"/>
      <c r="S36" s="193">
        <v>1</v>
      </c>
      <c r="T36" s="193"/>
      <c r="U36" s="193"/>
      <c r="V36" s="193"/>
      <c r="W36" s="194"/>
      <c r="X36" s="163"/>
      <c r="AC36" s="188">
        <f t="shared" ref="AC36" ca="1" si="68">IF($B38,0,AC37-IF(ISNUMBER(AB37),AB37,0))</f>
        <v>0</v>
      </c>
    </row>
    <row r="37" spans="1:29" customFormat="1" ht="13.8" x14ac:dyDescent="0.25">
      <c r="A37" s="11"/>
      <c r="B37" s="11"/>
      <c r="C37" s="11"/>
      <c r="D37" s="11"/>
      <c r="E37" s="11"/>
      <c r="F37" s="11"/>
      <c r="G37" s="11"/>
      <c r="H37" s="11"/>
      <c r="I37" s="11"/>
      <c r="J37" s="11"/>
      <c r="K37" s="11"/>
      <c r="L37" s="344"/>
      <c r="M37" s="338"/>
      <c r="N37" s="336"/>
      <c r="O37" s="145" t="s">
        <v>145</v>
      </c>
      <c r="P37" s="165">
        <f t="shared" ref="P37" ca="1" si="69">MIN(IF($B38,P36+IF(ISNUMBER(O37),O37,0),P38/$N36),1)</f>
        <v>0</v>
      </c>
      <c r="Q37" s="143">
        <f t="shared" ref="Q37" ca="1" si="70">MIN(IF($B38,Q36+IF(ISNUMBER(P37),P37,0),Q38/$N36),1)</f>
        <v>0</v>
      </c>
      <c r="R37" s="143">
        <f t="shared" ref="R37" ca="1" si="71">MIN(IF($B38,R36+IF(ISNUMBER(Q37),Q37,0),R38/$N36),1)</f>
        <v>0</v>
      </c>
      <c r="S37" s="143">
        <f t="shared" ref="S37" ca="1" si="72">MIN(IF($B38,S36+IF(ISNUMBER(R37),R37,0),S38/$N36),1)</f>
        <v>1</v>
      </c>
      <c r="T37" s="143">
        <f t="shared" ref="T37" ca="1" si="73">MIN(IF($B38,T36+IF(ISNUMBER(S37),S37,0),T38/$N36),1)</f>
        <v>1</v>
      </c>
      <c r="U37" s="143">
        <f t="shared" ref="U37" ca="1" si="74">MIN(IF($B38,U36+IF(ISNUMBER(T37),T37,0),U38/$N36),1)</f>
        <v>1</v>
      </c>
      <c r="V37" s="143">
        <f t="shared" ref="V37" ca="1" si="75">MIN(IF($B38,V36+IF(ISNUMBER(U37),U37,0),V38/$N36),1)</f>
        <v>1</v>
      </c>
      <c r="W37" s="143">
        <f t="shared" ref="W37" ca="1" si="76">MIN(IF($B38,W36+IF(ISNUMBER(V37),V37,0),W38/$N36),1)</f>
        <v>1</v>
      </c>
      <c r="X37" s="163"/>
      <c r="AC37" s="143">
        <f t="shared" ref="AC37" ca="1" si="77">MIN(IF($B38,AC36+IF(ISNUMBER(AB37),AB37,0),AC38/$N36),1)</f>
        <v>0</v>
      </c>
    </row>
    <row r="38" spans="1:29" customFormat="1" ht="13.8" x14ac:dyDescent="0.25">
      <c r="A38" s="11">
        <f ca="1">OFFSET(A38,-CFF.NumLinha,0)+1</f>
        <v>7</v>
      </c>
      <c r="B38" s="11" t="b">
        <f ca="1">$C38&gt;=OFFSET($C38,CFF.NumLinha,0)</f>
        <v>1</v>
      </c>
      <c r="C38" s="11">
        <f ca="1">INDEX(PO!A$12:A$603,MATCH($A38,PO!$V$12:$V$603,0))</f>
        <v>2</v>
      </c>
      <c r="D38" s="11">
        <f t="shared" ref="D38" ca="1" si="78">IF(ISERROR(J38),I38,SMALL(I38:J38,1))-1</f>
        <v>2</v>
      </c>
      <c r="E38" s="11">
        <f ca="1">IF($C38=1,OFFSET(E38,-CFF.NumLinha,0)+1,OFFSET(E38,-CFF.NumLinha,0))</f>
        <v>3</v>
      </c>
      <c r="F38" s="11">
        <f ca="1">IF($C38=1,0,IF($C38=2,OFFSET(F38,-CFF.NumLinha,0)+1,OFFSET(F38,-CFF.NumLinha,0)))</f>
        <v>1</v>
      </c>
      <c r="G38" s="11">
        <f ca="1">IF(AND($C38&lt;=2,$C38&lt;&gt;0),0,IF($C38=3,OFFSET(G38,-CFF.NumLinha,0)+1,OFFSET(G38,-CFF.NumLinha,0)))</f>
        <v>0</v>
      </c>
      <c r="H38" s="11">
        <f ca="1">IF(AND($C38&lt;=3,$C38&lt;&gt;0),0,IF($C38=4,OFFSET(H38,-CFF.NumLinha,0)+1,OFFSET(H38,-CFF.NumLinha,0)))</f>
        <v>0</v>
      </c>
      <c r="I38" s="11">
        <f ca="1">MATCH(0,OFFSET($D38,1,$C38,ROW($A$303)-ROW($A38)),0)</f>
        <v>15</v>
      </c>
      <c r="J38" s="11">
        <f ca="1">MATCH(OFFSET($D38,0,$C38)+1,OFFSET($D38,1,$C38,ROW($A$303)-ROW($A38)),0)</f>
        <v>3</v>
      </c>
      <c r="K38" s="156">
        <f ca="1">ROUND(INDEX(PO!T$12:T$603,MATCH($A38,PO!$V$12:$V$603,0)),2)+10^-12</f>
        <v>9.9999999999999998E-13</v>
      </c>
      <c r="L38" s="344"/>
      <c r="M38" s="338"/>
      <c r="N38" s="336"/>
      <c r="O38" s="171" t="s">
        <v>20</v>
      </c>
      <c r="P38" s="166">
        <f t="shared" ref="P38:W38" ca="1" si="79">IF($B38,ROUND(P37*$N36,2),ROUND(SUMIF(OFFSET($B38,1,0,$D38),TRUE,OFFSET(P38,1,0,$D38))/SUMIF(OFFSET($B38,1,0,$D38),TRUE,OFFSET($K38,1,0,$D38))*$N36,2))</f>
        <v>0</v>
      </c>
      <c r="Q38" s="144">
        <f t="shared" ca="1" si="79"/>
        <v>0</v>
      </c>
      <c r="R38" s="144">
        <f t="shared" ca="1" si="79"/>
        <v>0</v>
      </c>
      <c r="S38" s="144">
        <f t="shared" ca="1" si="79"/>
        <v>0</v>
      </c>
      <c r="T38" s="144">
        <f t="shared" ca="1" si="79"/>
        <v>0</v>
      </c>
      <c r="U38" s="144">
        <f t="shared" ca="1" si="79"/>
        <v>0</v>
      </c>
      <c r="V38" s="144">
        <f t="shared" ca="1" si="79"/>
        <v>0</v>
      </c>
      <c r="W38" s="174">
        <f t="shared" ca="1" si="79"/>
        <v>0</v>
      </c>
      <c r="X38" s="163"/>
      <c r="AC38" s="144">
        <f t="shared" ref="AC38" ca="1" si="80">IF($B38,ROUND(AC37*$N36,2),ROUND(SUMIF(OFFSET($B38,1,0,$D38),TRUE,OFFSET(AC38,1,0,$D38))/SUMIF(OFFSET($B38,1,0,$D38),TRUE,OFFSET($K38,1,0,$D38))*$N36,2))</f>
        <v>0</v>
      </c>
    </row>
    <row r="39" spans="1:29" customFormat="1" ht="14.25" customHeight="1" x14ac:dyDescent="0.25">
      <c r="A39" s="1"/>
      <c r="B39" s="1"/>
      <c r="C39" s="1"/>
      <c r="D39" s="1"/>
      <c r="E39" s="1"/>
      <c r="F39" s="1"/>
      <c r="G39" s="1"/>
      <c r="H39" s="1"/>
      <c r="I39" s="1"/>
      <c r="J39" s="1"/>
      <c r="K39" s="1"/>
      <c r="L39" s="343" t="str">
        <f ca="1">INDEX(PO!K$12:K$603,MATCH($A41,PO!$V$12:$V$603,0))</f>
        <v>3.2.</v>
      </c>
      <c r="M39" s="337" t="str">
        <f ca="1">INDEX(PO!N$12:N$603,MATCH($A41,PO!$V$12:$V$603,0))</f>
        <v>CONCRETO ARMADO VIGAS BALDRAME</v>
      </c>
      <c r="N39" s="335">
        <f t="shared" ref="N39" ca="1" si="81">IF(ROUND(K41,2)=0,K41,ROUND(K41,2))</f>
        <v>9.9999999999999998E-13</v>
      </c>
      <c r="O39" s="187" t="s">
        <v>143</v>
      </c>
      <c r="P39" s="192"/>
      <c r="Q39" s="193">
        <v>0.5</v>
      </c>
      <c r="R39" s="193">
        <v>0.5</v>
      </c>
      <c r="S39" s="193"/>
      <c r="T39" s="193"/>
      <c r="U39" s="193"/>
      <c r="V39" s="193"/>
      <c r="W39" s="194"/>
      <c r="X39" s="163"/>
      <c r="AC39" s="188">
        <f t="shared" ref="AC39" ca="1" si="82">IF($B41,0,AC40-IF(ISNUMBER(AB40),AB40,0))</f>
        <v>0</v>
      </c>
    </row>
    <row r="40" spans="1:29" customFormat="1" ht="13.8" x14ac:dyDescent="0.25">
      <c r="A40" s="11"/>
      <c r="B40" s="11"/>
      <c r="C40" s="11"/>
      <c r="D40" s="11"/>
      <c r="E40" s="11"/>
      <c r="F40" s="11"/>
      <c r="G40" s="11"/>
      <c r="H40" s="11"/>
      <c r="I40" s="11"/>
      <c r="J40" s="11"/>
      <c r="K40" s="11"/>
      <c r="L40" s="344"/>
      <c r="M40" s="338"/>
      <c r="N40" s="336"/>
      <c r="O40" s="145" t="s">
        <v>145</v>
      </c>
      <c r="P40" s="165">
        <f t="shared" ref="P40" ca="1" si="83">MIN(IF($B41,P39+IF(ISNUMBER(O40),O40,0),P41/$N39),1)</f>
        <v>0</v>
      </c>
      <c r="Q40" s="143">
        <f t="shared" ref="Q40" ca="1" si="84">MIN(IF($B41,Q39+IF(ISNUMBER(P40),P40,0),Q41/$N39),1)</f>
        <v>0.5</v>
      </c>
      <c r="R40" s="143">
        <f t="shared" ref="R40" ca="1" si="85">MIN(IF($B41,R39+IF(ISNUMBER(Q40),Q40,0),R41/$N39),1)</f>
        <v>1</v>
      </c>
      <c r="S40" s="143">
        <f t="shared" ref="S40" ca="1" si="86">MIN(IF($B41,S39+IF(ISNUMBER(R40),R40,0),S41/$N39),1)</f>
        <v>1</v>
      </c>
      <c r="T40" s="143">
        <f t="shared" ref="T40" ca="1" si="87">MIN(IF($B41,T39+IF(ISNUMBER(S40),S40,0),T41/$N39),1)</f>
        <v>1</v>
      </c>
      <c r="U40" s="143">
        <f t="shared" ref="U40" ca="1" si="88">MIN(IF($B41,U39+IF(ISNUMBER(T40),T40,0),U41/$N39),1)</f>
        <v>1</v>
      </c>
      <c r="V40" s="143">
        <f t="shared" ref="V40" ca="1" si="89">MIN(IF($B41,V39+IF(ISNUMBER(U40),U40,0),V41/$N39),1)</f>
        <v>1</v>
      </c>
      <c r="W40" s="143">
        <f t="shared" ref="W40" ca="1" si="90">MIN(IF($B41,W39+IF(ISNUMBER(V40),V40,0),W41/$N39),1)</f>
        <v>1</v>
      </c>
      <c r="X40" s="163"/>
      <c r="AC40" s="143">
        <f t="shared" ref="AC40" ca="1" si="91">MIN(IF($B41,AC39+IF(ISNUMBER(AB40),AB40,0),AC41/$N39),1)</f>
        <v>0</v>
      </c>
    </row>
    <row r="41" spans="1:29" customFormat="1" ht="13.8" x14ac:dyDescent="0.25">
      <c r="A41" s="11">
        <f ca="1">OFFSET(A41,-CFF.NumLinha,0)+1</f>
        <v>8</v>
      </c>
      <c r="B41" s="11" t="b">
        <f ca="1">$C41&gt;=OFFSET($C41,CFF.NumLinha,0)</f>
        <v>1</v>
      </c>
      <c r="C41" s="11">
        <f ca="1">INDEX(PO!A$12:A$603,MATCH($A41,PO!$V$12:$V$603,0))</f>
        <v>2</v>
      </c>
      <c r="D41" s="11">
        <f t="shared" ref="D41" ca="1" si="92">IF(ISERROR(J41),I41,SMALL(I41:J41,1))-1</f>
        <v>2</v>
      </c>
      <c r="E41" s="11">
        <f ca="1">IF($C41=1,OFFSET(E41,-CFF.NumLinha,0)+1,OFFSET(E41,-CFF.NumLinha,0))</f>
        <v>3</v>
      </c>
      <c r="F41" s="11">
        <f ca="1">IF($C41=1,0,IF($C41=2,OFFSET(F41,-CFF.NumLinha,0)+1,OFFSET(F41,-CFF.NumLinha,0)))</f>
        <v>2</v>
      </c>
      <c r="G41" s="11">
        <f ca="1">IF(AND($C41&lt;=2,$C41&lt;&gt;0),0,IF($C41=3,OFFSET(G41,-CFF.NumLinha,0)+1,OFFSET(G41,-CFF.NumLinha,0)))</f>
        <v>0</v>
      </c>
      <c r="H41" s="11">
        <f ca="1">IF(AND($C41&lt;=3,$C41&lt;&gt;0),0,IF($C41=4,OFFSET(H41,-CFF.NumLinha,0)+1,OFFSET(H41,-CFF.NumLinha,0)))</f>
        <v>0</v>
      </c>
      <c r="I41" s="11">
        <f ca="1">MATCH(0,OFFSET($D41,1,$C41,ROW($A$303)-ROW($A41)),0)</f>
        <v>12</v>
      </c>
      <c r="J41" s="11">
        <f ca="1">MATCH(OFFSET($D41,0,$C41)+1,OFFSET($D41,1,$C41,ROW($A$303)-ROW($A41)),0)</f>
        <v>3</v>
      </c>
      <c r="K41" s="156">
        <f ca="1">ROUND(INDEX(PO!T$12:T$603,MATCH($A41,PO!$V$12:$V$603,0)),2)+10^-12</f>
        <v>9.9999999999999998E-13</v>
      </c>
      <c r="L41" s="344"/>
      <c r="M41" s="338"/>
      <c r="N41" s="336"/>
      <c r="O41" s="171" t="s">
        <v>20</v>
      </c>
      <c r="P41" s="166">
        <f t="shared" ref="P41:W41" ca="1" si="93">IF($B41,ROUND(P40*$N39,2),ROUND(SUMIF(OFFSET($B41,1,0,$D41),TRUE,OFFSET(P41,1,0,$D41))/SUMIF(OFFSET($B41,1,0,$D41),TRUE,OFFSET($K41,1,0,$D41))*$N39,2))</f>
        <v>0</v>
      </c>
      <c r="Q41" s="144">
        <f t="shared" ca="1" si="93"/>
        <v>0</v>
      </c>
      <c r="R41" s="144">
        <f t="shared" ca="1" si="93"/>
        <v>0</v>
      </c>
      <c r="S41" s="144">
        <f t="shared" ca="1" si="93"/>
        <v>0</v>
      </c>
      <c r="T41" s="144">
        <f t="shared" ca="1" si="93"/>
        <v>0</v>
      </c>
      <c r="U41" s="144">
        <f t="shared" ca="1" si="93"/>
        <v>0</v>
      </c>
      <c r="V41" s="144">
        <f t="shared" ca="1" si="93"/>
        <v>0</v>
      </c>
      <c r="W41" s="174">
        <f t="shared" ca="1" si="93"/>
        <v>0</v>
      </c>
      <c r="X41" s="163"/>
      <c r="AC41" s="144">
        <f t="shared" ref="AC41" ca="1" si="94">IF($B41,ROUND(AC40*$N39,2),ROUND(SUMIF(OFFSET($B41,1,0,$D41),TRUE,OFFSET(AC41,1,0,$D41))/SUMIF(OFFSET($B41,1,0,$D41),TRUE,OFFSET($K41,1,0,$D41))*$N39,2))</f>
        <v>0</v>
      </c>
    </row>
    <row r="42" spans="1:29" customFormat="1" ht="14.25" customHeight="1" x14ac:dyDescent="0.25">
      <c r="A42" s="1"/>
      <c r="B42" s="1"/>
      <c r="C42" s="1"/>
      <c r="D42" s="1"/>
      <c r="E42" s="1"/>
      <c r="F42" s="1"/>
      <c r="G42" s="1"/>
      <c r="H42" s="1"/>
      <c r="I42" s="1"/>
      <c r="J42" s="1"/>
      <c r="K42" s="1"/>
      <c r="L42" s="343" t="str">
        <f ca="1">INDEX(PO!K$12:K$603,MATCH($A44,PO!$V$12:$V$603,0))</f>
        <v>3.3.</v>
      </c>
      <c r="M42" s="337" t="str">
        <f ca="1">INDEX(PO!N$12:N$603,MATCH($A44,PO!$V$12:$V$603,0))</f>
        <v>FUNDAÇÃO CASTELO D'ÁGUA</v>
      </c>
      <c r="N42" s="335">
        <f t="shared" ref="N42" ca="1" si="95">IF(ROUND(K44,2)=0,K44,ROUND(K44,2))</f>
        <v>9.9999999999999998E-13</v>
      </c>
      <c r="O42" s="187" t="s">
        <v>143</v>
      </c>
      <c r="P42" s="192"/>
      <c r="Q42" s="193">
        <v>0.1</v>
      </c>
      <c r="R42" s="193">
        <v>0.2</v>
      </c>
      <c r="S42" s="193">
        <v>0.5</v>
      </c>
      <c r="T42" s="193">
        <v>0.2</v>
      </c>
      <c r="U42" s="193"/>
      <c r="V42" s="193"/>
      <c r="W42" s="194"/>
      <c r="X42" s="163"/>
      <c r="AC42" s="188">
        <f t="shared" ref="AC42" ca="1" si="96">IF($B44,0,AC43-IF(ISNUMBER(AB43),AB43,0))</f>
        <v>0</v>
      </c>
    </row>
    <row r="43" spans="1:29" customFormat="1" ht="13.8" x14ac:dyDescent="0.25">
      <c r="A43" s="11"/>
      <c r="B43" s="11"/>
      <c r="C43" s="11"/>
      <c r="D43" s="11"/>
      <c r="E43" s="11"/>
      <c r="F43" s="11"/>
      <c r="G43" s="11"/>
      <c r="H43" s="11"/>
      <c r="I43" s="11"/>
      <c r="J43" s="11"/>
      <c r="K43" s="11"/>
      <c r="L43" s="344"/>
      <c r="M43" s="338"/>
      <c r="N43" s="336"/>
      <c r="O43" s="145" t="s">
        <v>145</v>
      </c>
      <c r="P43" s="165">
        <f t="shared" ref="P43" ca="1" si="97">MIN(IF($B44,P42+IF(ISNUMBER(O43),O43,0),P44/$N42),1)</f>
        <v>0</v>
      </c>
      <c r="Q43" s="143">
        <f t="shared" ref="Q43" ca="1" si="98">MIN(IF($B44,Q42+IF(ISNUMBER(P43),P43,0),Q44/$N42),1)</f>
        <v>0.1</v>
      </c>
      <c r="R43" s="143">
        <f t="shared" ref="R43" ca="1" si="99">MIN(IF($B44,R42+IF(ISNUMBER(Q43),Q43,0),R44/$N42),1)</f>
        <v>0.30000000000000004</v>
      </c>
      <c r="S43" s="143">
        <f t="shared" ref="S43" ca="1" si="100">MIN(IF($B44,S42+IF(ISNUMBER(R43),R43,0),S44/$N42),1)</f>
        <v>0.8</v>
      </c>
      <c r="T43" s="143">
        <f t="shared" ref="T43" ca="1" si="101">MIN(IF($B44,T42+IF(ISNUMBER(S43),S43,0),T44/$N42),1)</f>
        <v>1</v>
      </c>
      <c r="U43" s="143">
        <f t="shared" ref="U43" ca="1" si="102">MIN(IF($B44,U42+IF(ISNUMBER(T43),T43,0),U44/$N42),1)</f>
        <v>1</v>
      </c>
      <c r="V43" s="143">
        <f t="shared" ref="V43" ca="1" si="103">MIN(IF($B44,V42+IF(ISNUMBER(U43),U43,0),V44/$N42),1)</f>
        <v>1</v>
      </c>
      <c r="W43" s="143">
        <f t="shared" ref="W43" ca="1" si="104">MIN(IF($B44,W42+IF(ISNUMBER(V43),V43,0),W44/$N42),1)</f>
        <v>1</v>
      </c>
      <c r="X43" s="163"/>
      <c r="AC43" s="143">
        <f t="shared" ref="AC43" ca="1" si="105">MIN(IF($B44,AC42+IF(ISNUMBER(AB43),AB43,0),AC44/$N42),1)</f>
        <v>0</v>
      </c>
    </row>
    <row r="44" spans="1:29" customFormat="1" ht="13.8" x14ac:dyDescent="0.25">
      <c r="A44" s="11">
        <f ca="1">OFFSET(A44,-CFF.NumLinha,0)+1</f>
        <v>9</v>
      </c>
      <c r="B44" s="11" t="b">
        <f ca="1">$C44&gt;=OFFSET($C44,CFF.NumLinha,0)</f>
        <v>1</v>
      </c>
      <c r="C44" s="11">
        <f ca="1">INDEX(PO!A$12:A$603,MATCH($A44,PO!$V$12:$V$603,0))</f>
        <v>2</v>
      </c>
      <c r="D44" s="11">
        <f t="shared" ref="D44" ca="1" si="106">IF(ISERROR(J44),I44,SMALL(I44:J44,1))-1</f>
        <v>2</v>
      </c>
      <c r="E44" s="11">
        <f ca="1">IF($C44=1,OFFSET(E44,-CFF.NumLinha,0)+1,OFFSET(E44,-CFF.NumLinha,0))</f>
        <v>3</v>
      </c>
      <c r="F44" s="11">
        <f ca="1">IF($C44=1,0,IF($C44=2,OFFSET(F44,-CFF.NumLinha,0)+1,OFFSET(F44,-CFF.NumLinha,0)))</f>
        <v>3</v>
      </c>
      <c r="G44" s="11">
        <f ca="1">IF(AND($C44&lt;=2,$C44&lt;&gt;0),0,IF($C44=3,OFFSET(G44,-CFF.NumLinha,0)+1,OFFSET(G44,-CFF.NumLinha,0)))</f>
        <v>0</v>
      </c>
      <c r="H44" s="11">
        <f ca="1">IF(AND($C44&lt;=3,$C44&lt;&gt;0),0,IF($C44=4,OFFSET(H44,-CFF.NumLinha,0)+1,OFFSET(H44,-CFF.NumLinha,0)))</f>
        <v>0</v>
      </c>
      <c r="I44" s="11">
        <f ca="1">MATCH(0,OFFSET($D44,1,$C44,ROW($A$303)-ROW($A44)),0)</f>
        <v>9</v>
      </c>
      <c r="J44" s="11">
        <f ca="1">MATCH(OFFSET($D44,0,$C44)+1,OFFSET($D44,1,$C44,ROW($A$303)-ROW($A44)),0)</f>
        <v>3</v>
      </c>
      <c r="K44" s="156">
        <f ca="1">ROUND(INDEX(PO!T$12:T$603,MATCH($A44,PO!$V$12:$V$603,0)),2)+10^-12</f>
        <v>9.9999999999999998E-13</v>
      </c>
      <c r="L44" s="344"/>
      <c r="M44" s="338"/>
      <c r="N44" s="336"/>
      <c r="O44" s="171" t="s">
        <v>20</v>
      </c>
      <c r="P44" s="166">
        <f t="shared" ref="P44:W44" ca="1" si="107">IF($B44,ROUND(P43*$N42,2),ROUND(SUMIF(OFFSET($B44,1,0,$D44),TRUE,OFFSET(P44,1,0,$D44))/SUMIF(OFFSET($B44,1,0,$D44),TRUE,OFFSET($K44,1,0,$D44))*$N42,2))</f>
        <v>0</v>
      </c>
      <c r="Q44" s="144">
        <f t="shared" ca="1" si="107"/>
        <v>0</v>
      </c>
      <c r="R44" s="144">
        <f t="shared" ca="1" si="107"/>
        <v>0</v>
      </c>
      <c r="S44" s="144">
        <f t="shared" ca="1" si="107"/>
        <v>0</v>
      </c>
      <c r="T44" s="144">
        <f t="shared" ca="1" si="107"/>
        <v>0</v>
      </c>
      <c r="U44" s="144">
        <f t="shared" ca="1" si="107"/>
        <v>0</v>
      </c>
      <c r="V44" s="144">
        <f t="shared" ca="1" si="107"/>
        <v>0</v>
      </c>
      <c r="W44" s="174">
        <f t="shared" ca="1" si="107"/>
        <v>0</v>
      </c>
      <c r="X44" s="163"/>
      <c r="AC44" s="144">
        <f t="shared" ref="AC44" ca="1" si="108">IF($B44,ROUND(AC43*$N42,2),ROUND(SUMIF(OFFSET($B44,1,0,$D44),TRUE,OFFSET(AC44,1,0,$D44))/SUMIF(OFFSET($B44,1,0,$D44),TRUE,OFFSET($K44,1,0,$D44))*$N42,2))</f>
        <v>0</v>
      </c>
    </row>
    <row r="45" spans="1:29" customFormat="1" ht="14.25" customHeight="1" x14ac:dyDescent="0.25">
      <c r="A45" s="1"/>
      <c r="B45" s="1"/>
      <c r="C45" s="1"/>
      <c r="D45" s="1"/>
      <c r="E45" s="1"/>
      <c r="F45" s="1"/>
      <c r="G45" s="1"/>
      <c r="H45" s="1"/>
      <c r="I45" s="1"/>
      <c r="J45" s="1"/>
      <c r="K45" s="1"/>
      <c r="L45" s="343" t="str">
        <f ca="1">INDEX(PO!K$12:K$603,MATCH($A47,PO!$V$12:$V$603,0))</f>
        <v>3.4.</v>
      </c>
      <c r="M45" s="337" t="str">
        <f ca="1">INDEX(PO!N$12:N$603,MATCH($A47,PO!$V$12:$V$603,0))</f>
        <v>ABRIGO DO GÁS - BLOCOS</v>
      </c>
      <c r="N45" s="335">
        <f t="shared" ref="N45" ca="1" si="109">IF(ROUND(K47,2)=0,K47,ROUND(K47,2))</f>
        <v>9.9999999999999998E-13</v>
      </c>
      <c r="O45" s="187" t="s">
        <v>143</v>
      </c>
      <c r="P45" s="192"/>
      <c r="Q45" s="193">
        <v>0.2</v>
      </c>
      <c r="R45" s="193">
        <v>0.5</v>
      </c>
      <c r="S45" s="193">
        <v>0.3</v>
      </c>
      <c r="T45" s="193"/>
      <c r="U45" s="193"/>
      <c r="V45" s="193"/>
      <c r="W45" s="194"/>
      <c r="X45" s="163"/>
      <c r="AC45" s="188">
        <f t="shared" ref="AC45" ca="1" si="110">IF($B47,0,AC46-IF(ISNUMBER(AB46),AB46,0))</f>
        <v>0</v>
      </c>
    </row>
    <row r="46" spans="1:29" customFormat="1" ht="13.8" x14ac:dyDescent="0.25">
      <c r="A46" s="11"/>
      <c r="B46" s="11"/>
      <c r="C46" s="11"/>
      <c r="D46" s="11"/>
      <c r="E46" s="11"/>
      <c r="F46" s="11"/>
      <c r="G46" s="11"/>
      <c r="H46" s="11"/>
      <c r="I46" s="11"/>
      <c r="J46" s="11"/>
      <c r="K46" s="11"/>
      <c r="L46" s="344"/>
      <c r="M46" s="338"/>
      <c r="N46" s="336"/>
      <c r="O46" s="145" t="s">
        <v>145</v>
      </c>
      <c r="P46" s="165">
        <f t="shared" ref="P46" ca="1" si="111">MIN(IF($B47,P45+IF(ISNUMBER(O46),O46,0),P47/$N45),1)</f>
        <v>0</v>
      </c>
      <c r="Q46" s="143">
        <f t="shared" ref="Q46" ca="1" si="112">MIN(IF($B47,Q45+IF(ISNUMBER(P46),P46,0),Q47/$N45),1)</f>
        <v>0.2</v>
      </c>
      <c r="R46" s="143">
        <f t="shared" ref="R46" ca="1" si="113">MIN(IF($B47,R45+IF(ISNUMBER(Q46),Q46,0),R47/$N45),1)</f>
        <v>0.7</v>
      </c>
      <c r="S46" s="143">
        <f t="shared" ref="S46" ca="1" si="114">MIN(IF($B47,S45+IF(ISNUMBER(R46),R46,0),S47/$N45),1)</f>
        <v>1</v>
      </c>
      <c r="T46" s="143">
        <f t="shared" ref="T46" ca="1" si="115">MIN(IF($B47,T45+IF(ISNUMBER(S46),S46,0),T47/$N45),1)</f>
        <v>1</v>
      </c>
      <c r="U46" s="143">
        <f t="shared" ref="U46" ca="1" si="116">MIN(IF($B47,U45+IF(ISNUMBER(T46),T46,0),U47/$N45),1)</f>
        <v>1</v>
      </c>
      <c r="V46" s="143">
        <f t="shared" ref="V46" ca="1" si="117">MIN(IF($B47,V45+IF(ISNUMBER(U46),U46,0),V47/$N45),1)</f>
        <v>1</v>
      </c>
      <c r="W46" s="143">
        <f t="shared" ref="W46" ca="1" si="118">MIN(IF($B47,W45+IF(ISNUMBER(V46),V46,0),W47/$N45),1)</f>
        <v>1</v>
      </c>
      <c r="X46" s="163"/>
      <c r="AC46" s="143">
        <f t="shared" ref="AC46" ca="1" si="119">MIN(IF($B47,AC45+IF(ISNUMBER(AB46),AB46,0),AC47/$N45),1)</f>
        <v>0</v>
      </c>
    </row>
    <row r="47" spans="1:29" customFormat="1" ht="13.8" x14ac:dyDescent="0.25">
      <c r="A47" s="11">
        <f ca="1">OFFSET(A47,-CFF.NumLinha,0)+1</f>
        <v>10</v>
      </c>
      <c r="B47" s="11" t="b">
        <f ca="1">$C47&gt;=OFFSET($C47,CFF.NumLinha,0)</f>
        <v>1</v>
      </c>
      <c r="C47" s="11">
        <f ca="1">INDEX(PO!A$12:A$603,MATCH($A47,PO!$V$12:$V$603,0))</f>
        <v>2</v>
      </c>
      <c r="D47" s="11">
        <f t="shared" ref="D47" ca="1" si="120">IF(ISERROR(J47),I47,SMALL(I47:J47,1))-1</f>
        <v>2</v>
      </c>
      <c r="E47" s="11">
        <f ca="1">IF($C47=1,OFFSET(E47,-CFF.NumLinha,0)+1,OFFSET(E47,-CFF.NumLinha,0))</f>
        <v>3</v>
      </c>
      <c r="F47" s="11">
        <f ca="1">IF($C47=1,0,IF($C47=2,OFFSET(F47,-CFF.NumLinha,0)+1,OFFSET(F47,-CFF.NumLinha,0)))</f>
        <v>4</v>
      </c>
      <c r="G47" s="11">
        <f ca="1">IF(AND($C47&lt;=2,$C47&lt;&gt;0),0,IF($C47=3,OFFSET(G47,-CFF.NumLinha,0)+1,OFFSET(G47,-CFF.NumLinha,0)))</f>
        <v>0</v>
      </c>
      <c r="H47" s="11">
        <f ca="1">IF(AND($C47&lt;=3,$C47&lt;&gt;0),0,IF($C47=4,OFFSET(H47,-CFF.NumLinha,0)+1,OFFSET(H47,-CFF.NumLinha,0)))</f>
        <v>0</v>
      </c>
      <c r="I47" s="11">
        <f ca="1">MATCH(0,OFFSET($D47,1,$C47,ROW($A$303)-ROW($A47)),0)</f>
        <v>6</v>
      </c>
      <c r="J47" s="11">
        <f ca="1">MATCH(OFFSET($D47,0,$C47)+1,OFFSET($D47,1,$C47,ROW($A$303)-ROW($A47)),0)</f>
        <v>3</v>
      </c>
      <c r="K47" s="156">
        <f ca="1">ROUND(INDEX(PO!T$12:T$603,MATCH($A47,PO!$V$12:$V$603,0)),2)+10^-12</f>
        <v>9.9999999999999998E-13</v>
      </c>
      <c r="L47" s="344"/>
      <c r="M47" s="338"/>
      <c r="N47" s="336"/>
      <c r="O47" s="171" t="s">
        <v>20</v>
      </c>
      <c r="P47" s="166">
        <f t="shared" ref="P47:W47" ca="1" si="121">IF($B47,ROUND(P46*$N45,2),ROUND(SUMIF(OFFSET($B47,1,0,$D47),TRUE,OFFSET(P47,1,0,$D47))/SUMIF(OFFSET($B47,1,0,$D47),TRUE,OFFSET($K47,1,0,$D47))*$N45,2))</f>
        <v>0</v>
      </c>
      <c r="Q47" s="144">
        <f t="shared" ca="1" si="121"/>
        <v>0</v>
      </c>
      <c r="R47" s="144">
        <f t="shared" ca="1" si="121"/>
        <v>0</v>
      </c>
      <c r="S47" s="144">
        <f t="shared" ca="1" si="121"/>
        <v>0</v>
      </c>
      <c r="T47" s="144">
        <f t="shared" ca="1" si="121"/>
        <v>0</v>
      </c>
      <c r="U47" s="144">
        <f t="shared" ca="1" si="121"/>
        <v>0</v>
      </c>
      <c r="V47" s="144">
        <f t="shared" ca="1" si="121"/>
        <v>0</v>
      </c>
      <c r="W47" s="174">
        <f t="shared" ca="1" si="121"/>
        <v>0</v>
      </c>
      <c r="X47" s="163"/>
      <c r="AC47" s="144">
        <f t="shared" ref="AC47" ca="1" si="122">IF($B47,ROUND(AC46*$N45,2),ROUND(SUMIF(OFFSET($B47,1,0,$D47),TRUE,OFFSET(AC47,1,0,$D47))/SUMIF(OFFSET($B47,1,0,$D47),TRUE,OFFSET($K47,1,0,$D47))*$N45,2))</f>
        <v>0</v>
      </c>
    </row>
    <row r="48" spans="1:29" customFormat="1" ht="14.25" customHeight="1" x14ac:dyDescent="0.25">
      <c r="A48" s="1"/>
      <c r="B48" s="1"/>
      <c r="C48" s="1"/>
      <c r="D48" s="1"/>
      <c r="E48" s="1"/>
      <c r="F48" s="1"/>
      <c r="G48" s="1"/>
      <c r="H48" s="1"/>
      <c r="I48" s="1"/>
      <c r="J48" s="1"/>
      <c r="K48" s="1"/>
      <c r="L48" s="343" t="str">
        <f ca="1">INDEX(PO!K$12:K$603,MATCH($A50,PO!$V$12:$V$603,0))</f>
        <v>3.5.</v>
      </c>
      <c r="M48" s="337" t="str">
        <f ca="1">INDEX(PO!N$12:N$603,MATCH($A50,PO!$V$12:$V$603,0))</f>
        <v>MURETA ABRIGO DE GÁS VIGAS BALDRAME</v>
      </c>
      <c r="N48" s="335">
        <f t="shared" ref="N48" ca="1" si="123">IF(ROUND(K50,2)=0,K50,ROUND(K50,2))</f>
        <v>9.9999999999999998E-13</v>
      </c>
      <c r="O48" s="187" t="s">
        <v>143</v>
      </c>
      <c r="P48" s="192"/>
      <c r="Q48" s="193"/>
      <c r="R48" s="193"/>
      <c r="S48" s="193"/>
      <c r="T48" s="193"/>
      <c r="U48" s="193">
        <v>0.5</v>
      </c>
      <c r="V48" s="193">
        <v>0.45</v>
      </c>
      <c r="W48" s="194">
        <v>0.05</v>
      </c>
      <c r="X48" s="163"/>
      <c r="AC48" s="188">
        <f t="shared" ref="AC48" ca="1" si="124">IF($B50,0,AC49-IF(ISNUMBER(AB49),AB49,0))</f>
        <v>0</v>
      </c>
    </row>
    <row r="49" spans="1:29" customFormat="1" ht="13.8" x14ac:dyDescent="0.25">
      <c r="A49" s="11"/>
      <c r="B49" s="11"/>
      <c r="C49" s="11"/>
      <c r="D49" s="11"/>
      <c r="E49" s="11"/>
      <c r="F49" s="11"/>
      <c r="G49" s="11"/>
      <c r="H49" s="11"/>
      <c r="I49" s="11"/>
      <c r="J49" s="11"/>
      <c r="K49" s="11"/>
      <c r="L49" s="344"/>
      <c r="M49" s="338"/>
      <c r="N49" s="336"/>
      <c r="O49" s="145" t="s">
        <v>145</v>
      </c>
      <c r="P49" s="165">
        <f t="shared" ref="P49" ca="1" si="125">MIN(IF($B50,P48+IF(ISNUMBER(O49),O49,0),P50/$N48),1)</f>
        <v>0</v>
      </c>
      <c r="Q49" s="143">
        <f t="shared" ref="Q49" ca="1" si="126">MIN(IF($B50,Q48+IF(ISNUMBER(P49),P49,0),Q50/$N48),1)</f>
        <v>0</v>
      </c>
      <c r="R49" s="143">
        <f t="shared" ref="R49" ca="1" si="127">MIN(IF($B50,R48+IF(ISNUMBER(Q49),Q49,0),R50/$N48),1)</f>
        <v>0</v>
      </c>
      <c r="S49" s="143">
        <f t="shared" ref="S49" ca="1" si="128">MIN(IF($B50,S48+IF(ISNUMBER(R49),R49,0),S50/$N48),1)</f>
        <v>0</v>
      </c>
      <c r="T49" s="143">
        <f t="shared" ref="T49" ca="1" si="129">MIN(IF($B50,T48+IF(ISNUMBER(S49),S49,0),T50/$N48),1)</f>
        <v>0</v>
      </c>
      <c r="U49" s="143">
        <f t="shared" ref="U49" ca="1" si="130">MIN(IF($B50,U48+IF(ISNUMBER(T49),T49,0),U50/$N48),1)</f>
        <v>0.5</v>
      </c>
      <c r="V49" s="143">
        <f t="shared" ref="V49" ca="1" si="131">MIN(IF($B50,V48+IF(ISNUMBER(U49),U49,0),V50/$N48),1)</f>
        <v>0.95</v>
      </c>
      <c r="W49" s="143">
        <f t="shared" ref="W49" ca="1" si="132">MIN(IF($B50,W48+IF(ISNUMBER(V49),V49,0),W50/$N48),1)</f>
        <v>1</v>
      </c>
      <c r="X49" s="163"/>
      <c r="AC49" s="143">
        <f t="shared" ref="AC49" ca="1" si="133">MIN(IF($B50,AC48+IF(ISNUMBER(AB49),AB49,0),AC50/$N48),1)</f>
        <v>0</v>
      </c>
    </row>
    <row r="50" spans="1:29" customFormat="1" ht="13.8" x14ac:dyDescent="0.25">
      <c r="A50" s="11">
        <f ca="1">OFFSET(A50,-CFF.NumLinha,0)+1</f>
        <v>11</v>
      </c>
      <c r="B50" s="11" t="b">
        <f ca="1">$C50&gt;=OFFSET($C50,CFF.NumLinha,0)</f>
        <v>1</v>
      </c>
      <c r="C50" s="11">
        <f ca="1">INDEX(PO!A$12:A$603,MATCH($A50,PO!$V$12:$V$603,0))</f>
        <v>2</v>
      </c>
      <c r="D50" s="11">
        <f t="shared" ref="D50" ca="1" si="134">IF(ISERROR(J50),I50,SMALL(I50:J50,1))-1</f>
        <v>2</v>
      </c>
      <c r="E50" s="11">
        <f ca="1">IF($C50=1,OFFSET(E50,-CFF.NumLinha,0)+1,OFFSET(E50,-CFF.NumLinha,0))</f>
        <v>3</v>
      </c>
      <c r="F50" s="11">
        <f ca="1">IF($C50=1,0,IF($C50=2,OFFSET(F50,-CFF.NumLinha,0)+1,OFFSET(F50,-CFF.NumLinha,0)))</f>
        <v>5</v>
      </c>
      <c r="G50" s="11">
        <f ca="1">IF(AND($C50&lt;=2,$C50&lt;&gt;0),0,IF($C50=3,OFFSET(G50,-CFF.NumLinha,0)+1,OFFSET(G50,-CFF.NumLinha,0)))</f>
        <v>0</v>
      </c>
      <c r="H50" s="11">
        <f ca="1">IF(AND($C50&lt;=3,$C50&lt;&gt;0),0,IF($C50=4,OFFSET(H50,-CFF.NumLinha,0)+1,OFFSET(H50,-CFF.NumLinha,0)))</f>
        <v>0</v>
      </c>
      <c r="I50" s="11">
        <f ca="1">MATCH(0,OFFSET($D50,1,$C50,ROW($A$303)-ROW($A50)),0)</f>
        <v>3</v>
      </c>
      <c r="J50" s="11">
        <f ca="1">MATCH(OFFSET($D50,0,$C50)+1,OFFSET($D50,1,$C50,ROW($A$303)-ROW($A50)),0)</f>
        <v>21</v>
      </c>
      <c r="K50" s="156">
        <f ca="1">ROUND(INDEX(PO!T$12:T$603,MATCH($A50,PO!$V$12:$V$603,0)),2)+10^-12</f>
        <v>9.9999999999999998E-13</v>
      </c>
      <c r="L50" s="344"/>
      <c r="M50" s="338"/>
      <c r="N50" s="336"/>
      <c r="O50" s="171" t="s">
        <v>20</v>
      </c>
      <c r="P50" s="166">
        <f t="shared" ref="P50:W50" ca="1" si="135">IF($B50,ROUND(P49*$N48,2),ROUND(SUMIF(OFFSET($B50,1,0,$D50),TRUE,OFFSET(P50,1,0,$D50))/SUMIF(OFFSET($B50,1,0,$D50),TRUE,OFFSET($K50,1,0,$D50))*$N48,2))</f>
        <v>0</v>
      </c>
      <c r="Q50" s="144">
        <f t="shared" ca="1" si="135"/>
        <v>0</v>
      </c>
      <c r="R50" s="144">
        <f t="shared" ca="1" si="135"/>
        <v>0</v>
      </c>
      <c r="S50" s="144">
        <f t="shared" ca="1" si="135"/>
        <v>0</v>
      </c>
      <c r="T50" s="144">
        <f t="shared" ca="1" si="135"/>
        <v>0</v>
      </c>
      <c r="U50" s="144">
        <f t="shared" ca="1" si="135"/>
        <v>0</v>
      </c>
      <c r="V50" s="144">
        <f t="shared" ca="1" si="135"/>
        <v>0</v>
      </c>
      <c r="W50" s="174">
        <f t="shared" ca="1" si="135"/>
        <v>0</v>
      </c>
      <c r="X50" s="163"/>
      <c r="AC50" s="144">
        <f t="shared" ref="AC50" ca="1" si="136">IF($B50,ROUND(AC49*$N48,2),ROUND(SUMIF(OFFSET($B50,1,0,$D50),TRUE,OFFSET(AC50,1,0,$D50))/SUMIF(OFFSET($B50,1,0,$D50),TRUE,OFFSET($K50,1,0,$D50))*$N48,2))</f>
        <v>0</v>
      </c>
    </row>
    <row r="51" spans="1:29" customFormat="1" ht="14.25" customHeight="1" x14ac:dyDescent="0.25">
      <c r="A51" s="1"/>
      <c r="B51" s="1"/>
      <c r="C51" s="1"/>
      <c r="D51" s="1"/>
      <c r="E51" s="1"/>
      <c r="F51" s="1"/>
      <c r="G51" s="1"/>
      <c r="H51" s="1"/>
      <c r="I51" s="1"/>
      <c r="J51" s="1"/>
      <c r="K51" s="1"/>
      <c r="L51" s="343" t="str">
        <f ca="1">INDEX(PO!K$12:K$603,MATCH($A53,PO!$V$12:$V$603,0))</f>
        <v>4.</v>
      </c>
      <c r="M51" s="337" t="str">
        <f ca="1">INDEX(PO!N$12:N$603,MATCH($A53,PO!$V$12:$V$603,0))</f>
        <v>SUPERESTRUTURA</v>
      </c>
      <c r="N51" s="335">
        <f t="shared" ref="N51" ca="1" si="137">IF(ROUND(K53,2)=0,K53,ROUND(K53,2))</f>
        <v>9.9999999999999998E-13</v>
      </c>
      <c r="O51" s="187" t="s">
        <v>143</v>
      </c>
      <c r="P51" s="192"/>
      <c r="Q51" s="193">
        <v>0.1</v>
      </c>
      <c r="R51" s="193">
        <v>0.25</v>
      </c>
      <c r="S51" s="193">
        <v>0.25</v>
      </c>
      <c r="T51" s="193">
        <v>0.3</v>
      </c>
      <c r="U51" s="193">
        <v>0.1</v>
      </c>
      <c r="V51" s="193"/>
      <c r="W51" s="194"/>
      <c r="X51" s="163"/>
      <c r="AC51" s="188">
        <f t="shared" ref="AC51" ca="1" si="138">IF($B53,0,AC52-IF(ISNUMBER(AB52),AB52,0))</f>
        <v>0</v>
      </c>
    </row>
    <row r="52" spans="1:29" customFormat="1" ht="13.8" x14ac:dyDescent="0.25">
      <c r="A52" s="11"/>
      <c r="B52" s="11"/>
      <c r="C52" s="11"/>
      <c r="D52" s="11"/>
      <c r="E52" s="11"/>
      <c r="F52" s="11"/>
      <c r="G52" s="11"/>
      <c r="H52" s="11"/>
      <c r="I52" s="11"/>
      <c r="J52" s="11"/>
      <c r="K52" s="11"/>
      <c r="L52" s="344"/>
      <c r="M52" s="338"/>
      <c r="N52" s="336"/>
      <c r="O52" s="145" t="s">
        <v>145</v>
      </c>
      <c r="P52" s="165">
        <f t="shared" ref="P52" ca="1" si="139">MIN(IF($B53,P51+IF(ISNUMBER(O52),O52,0),P53/$N51),1)</f>
        <v>0</v>
      </c>
      <c r="Q52" s="143">
        <f t="shared" ref="Q52" ca="1" si="140">MIN(IF($B53,Q51+IF(ISNUMBER(P52),P52,0),Q53/$N51),1)</f>
        <v>0</v>
      </c>
      <c r="R52" s="143">
        <f t="shared" ref="R52" ca="1" si="141">MIN(IF($B53,R51+IF(ISNUMBER(Q52),Q52,0),R53/$N51),1)</f>
        <v>0</v>
      </c>
      <c r="S52" s="143">
        <f t="shared" ref="S52" ca="1" si="142">MIN(IF($B53,S51+IF(ISNUMBER(R52),R52,0),S53/$N51),1)</f>
        <v>0</v>
      </c>
      <c r="T52" s="143">
        <f t="shared" ref="T52" ca="1" si="143">MIN(IF($B53,T51+IF(ISNUMBER(S52),S52,0),T53/$N51),1)</f>
        <v>0</v>
      </c>
      <c r="U52" s="143">
        <f t="shared" ref="U52" ca="1" si="144">MIN(IF($B53,U51+IF(ISNUMBER(T52),T52,0),U53/$N51),1)</f>
        <v>0</v>
      </c>
      <c r="V52" s="143">
        <f t="shared" ref="V52" ca="1" si="145">MIN(IF($B53,V51+IF(ISNUMBER(U52),U52,0),V53/$N51),1)</f>
        <v>0</v>
      </c>
      <c r="W52" s="143">
        <f t="shared" ref="W52" ca="1" si="146">MIN(IF($B53,W51+IF(ISNUMBER(V52),V52,0),W53/$N51),1)</f>
        <v>0</v>
      </c>
      <c r="X52" s="163"/>
      <c r="AC52" s="143">
        <f t="shared" ref="AC52" ca="1" si="147">MIN(IF($B53,AC51+IF(ISNUMBER(AB52),AB52,0),AC53/$N51),1)</f>
        <v>0</v>
      </c>
    </row>
    <row r="53" spans="1:29" customFormat="1" ht="13.8" x14ac:dyDescent="0.25">
      <c r="A53" s="11">
        <f ca="1">OFFSET(A53,-CFF.NumLinha,0)+1</f>
        <v>12</v>
      </c>
      <c r="B53" s="11" t="b">
        <f ca="1">$C53&gt;=OFFSET($C53,CFF.NumLinha,0)</f>
        <v>0</v>
      </c>
      <c r="C53" s="11">
        <f ca="1">INDEX(PO!A$12:A$603,MATCH($A53,PO!$V$12:$V$603,0))</f>
        <v>1</v>
      </c>
      <c r="D53" s="11">
        <f t="shared" ref="D53" ca="1" si="148">IF(ISERROR(J53),I53,SMALL(I53:J53,1))-1</f>
        <v>23</v>
      </c>
      <c r="E53" s="11">
        <f ca="1">IF($C53=1,OFFSET(E53,-CFF.NumLinha,0)+1,OFFSET(E53,-CFF.NumLinha,0))</f>
        <v>4</v>
      </c>
      <c r="F53" s="11">
        <f ca="1">IF($C53=1,0,IF($C53=2,OFFSET(F53,-CFF.NumLinha,0)+1,OFFSET(F53,-CFF.NumLinha,0)))</f>
        <v>0</v>
      </c>
      <c r="G53" s="11">
        <f ca="1">IF(AND($C53&lt;=2,$C53&lt;&gt;0),0,IF($C53=3,OFFSET(G53,-CFF.NumLinha,0)+1,OFFSET(G53,-CFF.NumLinha,0)))</f>
        <v>0</v>
      </c>
      <c r="H53" s="11">
        <f ca="1">IF(AND($C53&lt;=3,$C53&lt;&gt;0),0,IF($C53=4,OFFSET(H53,-CFF.NumLinha,0)+1,OFFSET(H53,-CFF.NumLinha,0)))</f>
        <v>0</v>
      </c>
      <c r="I53" s="11">
        <f ca="1">MATCH(0,OFFSET($D53,1,$C53,ROW($A$303)-ROW($A53)),0)</f>
        <v>250</v>
      </c>
      <c r="J53" s="11">
        <f ca="1">MATCH(OFFSET($D53,0,$C53)+1,OFFSET($D53,1,$C53,ROW($A$303)-ROW($A53)),0)</f>
        <v>24</v>
      </c>
      <c r="K53" s="156">
        <f ca="1">ROUND(INDEX(PO!T$12:T$603,MATCH($A53,PO!$V$12:$V$603,0)),2)+10^-12</f>
        <v>9.9999999999999998E-13</v>
      </c>
      <c r="L53" s="344"/>
      <c r="M53" s="338"/>
      <c r="N53" s="336"/>
      <c r="O53" s="171" t="s">
        <v>20</v>
      </c>
      <c r="P53" s="166">
        <f t="shared" ref="P53:W53" ca="1" si="149">IF($B53,ROUND(P52*$N51,2),ROUND(SUMIF(OFFSET($B53,1,0,$D53),TRUE,OFFSET(P53,1,0,$D53))/SUMIF(OFFSET($B53,1,0,$D53),TRUE,OFFSET($K53,1,0,$D53))*$N51,2))</f>
        <v>0</v>
      </c>
      <c r="Q53" s="144">
        <f t="shared" ca="1" si="149"/>
        <v>0</v>
      </c>
      <c r="R53" s="144">
        <f t="shared" ca="1" si="149"/>
        <v>0</v>
      </c>
      <c r="S53" s="144">
        <f t="shared" ca="1" si="149"/>
        <v>0</v>
      </c>
      <c r="T53" s="144">
        <f t="shared" ca="1" si="149"/>
        <v>0</v>
      </c>
      <c r="U53" s="144">
        <f t="shared" ca="1" si="149"/>
        <v>0</v>
      </c>
      <c r="V53" s="144">
        <f t="shared" ca="1" si="149"/>
        <v>0</v>
      </c>
      <c r="W53" s="174">
        <f t="shared" ca="1" si="149"/>
        <v>0</v>
      </c>
      <c r="X53" s="163"/>
      <c r="AC53" s="144">
        <f t="shared" ref="AC53" ca="1" si="150">IF($B53,ROUND(AC52*$N51,2),ROUND(SUMIF(OFFSET($B53,1,0,$D53),TRUE,OFFSET(AC53,1,0,$D53))/SUMIF(OFFSET($B53,1,0,$D53),TRUE,OFFSET($K53,1,0,$D53))*$N51,2))</f>
        <v>0</v>
      </c>
    </row>
    <row r="54" spans="1:29" customFormat="1" ht="14.25" customHeight="1" x14ac:dyDescent="0.25">
      <c r="A54" s="1"/>
      <c r="B54" s="1"/>
      <c r="C54" s="1"/>
      <c r="D54" s="1"/>
      <c r="E54" s="1"/>
      <c r="F54" s="1"/>
      <c r="G54" s="1"/>
      <c r="H54" s="1"/>
      <c r="I54" s="1"/>
      <c r="J54" s="1"/>
      <c r="K54" s="1"/>
      <c r="L54" s="343" t="str">
        <f ca="1">INDEX(PO!K$12:K$603,MATCH($A56,PO!$V$12:$V$603,0))</f>
        <v>4.1.</v>
      </c>
      <c r="M54" s="337" t="str">
        <f ca="1">INDEX(PO!N$12:N$603,MATCH($A56,PO!$V$12:$V$603,0))</f>
        <v>CONCRETO ARMADO - PILARES</v>
      </c>
      <c r="N54" s="335">
        <f t="shared" ref="N54" ca="1" si="151">IF(ROUND(K56,2)=0,K56,ROUND(K56,2))</f>
        <v>9.9999999999999998E-13</v>
      </c>
      <c r="O54" s="187" t="s">
        <v>143</v>
      </c>
      <c r="P54" s="192"/>
      <c r="Q54" s="193">
        <v>0.1</v>
      </c>
      <c r="R54" s="193">
        <v>0.1</v>
      </c>
      <c r="S54" s="193"/>
      <c r="T54" s="193">
        <v>0.8</v>
      </c>
      <c r="U54" s="193"/>
      <c r="V54" s="193"/>
      <c r="W54" s="194"/>
      <c r="X54" s="163"/>
      <c r="AC54" s="188">
        <f t="shared" ref="AC54" ca="1" si="152">IF($B56,0,AC55-IF(ISNUMBER(AB55),AB55,0))</f>
        <v>0</v>
      </c>
    </row>
    <row r="55" spans="1:29" customFormat="1" ht="13.8" x14ac:dyDescent="0.25">
      <c r="A55" s="11"/>
      <c r="B55" s="11"/>
      <c r="C55" s="11"/>
      <c r="D55" s="11"/>
      <c r="E55" s="11"/>
      <c r="F55" s="11"/>
      <c r="G55" s="11"/>
      <c r="H55" s="11"/>
      <c r="I55" s="11"/>
      <c r="J55" s="11"/>
      <c r="K55" s="11"/>
      <c r="L55" s="344"/>
      <c r="M55" s="338"/>
      <c r="N55" s="336"/>
      <c r="O55" s="145" t="s">
        <v>145</v>
      </c>
      <c r="P55" s="165">
        <f t="shared" ref="P55" ca="1" si="153">MIN(IF($B56,P54+IF(ISNUMBER(O55),O55,0),P56/$N54),1)</f>
        <v>0</v>
      </c>
      <c r="Q55" s="143">
        <f t="shared" ref="Q55" ca="1" si="154">MIN(IF($B56,Q54+IF(ISNUMBER(P55),P55,0),Q56/$N54),1)</f>
        <v>0.1</v>
      </c>
      <c r="R55" s="143">
        <f t="shared" ref="R55" ca="1" si="155">MIN(IF($B56,R54+IF(ISNUMBER(Q55),Q55,0),R56/$N54),1)</f>
        <v>0.2</v>
      </c>
      <c r="S55" s="143">
        <f t="shared" ref="S55" ca="1" si="156">MIN(IF($B56,S54+IF(ISNUMBER(R55),R55,0),S56/$N54),1)</f>
        <v>0.2</v>
      </c>
      <c r="T55" s="143">
        <f t="shared" ref="T55" ca="1" si="157">MIN(IF($B56,T54+IF(ISNUMBER(S55),S55,0),T56/$N54),1)</f>
        <v>1</v>
      </c>
      <c r="U55" s="143">
        <f t="shared" ref="U55" ca="1" si="158">MIN(IF($B56,U54+IF(ISNUMBER(T55),T55,0),U56/$N54),1)</f>
        <v>1</v>
      </c>
      <c r="V55" s="143">
        <f t="shared" ref="V55" ca="1" si="159">MIN(IF($B56,V54+IF(ISNUMBER(U55),U55,0),V56/$N54),1)</f>
        <v>1</v>
      </c>
      <c r="W55" s="143">
        <f t="shared" ref="W55" ca="1" si="160">MIN(IF($B56,W54+IF(ISNUMBER(V55),V55,0),W56/$N54),1)</f>
        <v>1</v>
      </c>
      <c r="X55" s="163"/>
      <c r="AC55" s="143">
        <f t="shared" ref="AC55" ca="1" si="161">MIN(IF($B56,AC54+IF(ISNUMBER(AB55),AB55,0),AC56/$N54),1)</f>
        <v>0</v>
      </c>
    </row>
    <row r="56" spans="1:29" customFormat="1" ht="13.8" x14ac:dyDescent="0.25">
      <c r="A56" s="11">
        <f ca="1">OFFSET(A56,-CFF.NumLinha,0)+1</f>
        <v>13</v>
      </c>
      <c r="B56" s="11" t="b">
        <f ca="1">$C56&gt;=OFFSET($C56,CFF.NumLinha,0)</f>
        <v>1</v>
      </c>
      <c r="C56" s="11">
        <f ca="1">INDEX(PO!A$12:A$603,MATCH($A56,PO!$V$12:$V$603,0))</f>
        <v>2</v>
      </c>
      <c r="D56" s="11">
        <f t="shared" ref="D56" ca="1" si="162">IF(ISERROR(J56),I56,SMALL(I56:J56,1))-1</f>
        <v>2</v>
      </c>
      <c r="E56" s="11">
        <f ca="1">IF($C56=1,OFFSET(E56,-CFF.NumLinha,0)+1,OFFSET(E56,-CFF.NumLinha,0))</f>
        <v>4</v>
      </c>
      <c r="F56" s="11">
        <f ca="1">IF($C56=1,0,IF($C56=2,OFFSET(F56,-CFF.NumLinha,0)+1,OFFSET(F56,-CFF.NumLinha,0)))</f>
        <v>1</v>
      </c>
      <c r="G56" s="11">
        <f ca="1">IF(AND($C56&lt;=2,$C56&lt;&gt;0),0,IF($C56=3,OFFSET(G56,-CFF.NumLinha,0)+1,OFFSET(G56,-CFF.NumLinha,0)))</f>
        <v>0</v>
      </c>
      <c r="H56" s="11">
        <f ca="1">IF(AND($C56&lt;=3,$C56&lt;&gt;0),0,IF($C56=4,OFFSET(H56,-CFF.NumLinha,0)+1,OFFSET(H56,-CFF.NumLinha,0)))</f>
        <v>0</v>
      </c>
      <c r="I56" s="11">
        <f ca="1">MATCH(0,OFFSET($D56,1,$C56,ROW($A$303)-ROW($A56)),0)</f>
        <v>21</v>
      </c>
      <c r="J56" s="11">
        <f ca="1">MATCH(OFFSET($D56,0,$C56)+1,OFFSET($D56,1,$C56,ROW($A$303)-ROW($A56)),0)</f>
        <v>3</v>
      </c>
      <c r="K56" s="156">
        <f ca="1">ROUND(INDEX(PO!T$12:T$603,MATCH($A56,PO!$V$12:$V$603,0)),2)+10^-12</f>
        <v>9.9999999999999998E-13</v>
      </c>
      <c r="L56" s="344"/>
      <c r="M56" s="338"/>
      <c r="N56" s="336"/>
      <c r="O56" s="171" t="s">
        <v>20</v>
      </c>
      <c r="P56" s="166">
        <f t="shared" ref="P56:W56" ca="1" si="163">IF($B56,ROUND(P55*$N54,2),ROUND(SUMIF(OFFSET($B56,1,0,$D56),TRUE,OFFSET(P56,1,0,$D56))/SUMIF(OFFSET($B56,1,0,$D56),TRUE,OFFSET($K56,1,0,$D56))*$N54,2))</f>
        <v>0</v>
      </c>
      <c r="Q56" s="144">
        <f t="shared" ca="1" si="163"/>
        <v>0</v>
      </c>
      <c r="R56" s="144">
        <f t="shared" ca="1" si="163"/>
        <v>0</v>
      </c>
      <c r="S56" s="144">
        <f t="shared" ca="1" si="163"/>
        <v>0</v>
      </c>
      <c r="T56" s="144">
        <f t="shared" ca="1" si="163"/>
        <v>0</v>
      </c>
      <c r="U56" s="144">
        <f t="shared" ca="1" si="163"/>
        <v>0</v>
      </c>
      <c r="V56" s="144">
        <f t="shared" ca="1" si="163"/>
        <v>0</v>
      </c>
      <c r="W56" s="174">
        <f t="shared" ca="1" si="163"/>
        <v>0</v>
      </c>
      <c r="X56" s="163"/>
      <c r="AC56" s="144">
        <f t="shared" ref="AC56" ca="1" si="164">IF($B56,ROUND(AC55*$N54,2),ROUND(SUMIF(OFFSET($B56,1,0,$D56),TRUE,OFFSET(AC56,1,0,$D56))/SUMIF(OFFSET($B56,1,0,$D56),TRUE,OFFSET($K56,1,0,$D56))*$N54,2))</f>
        <v>0</v>
      </c>
    </row>
    <row r="57" spans="1:29" customFormat="1" ht="14.25" customHeight="1" x14ac:dyDescent="0.25">
      <c r="A57" s="1"/>
      <c r="B57" s="1"/>
      <c r="C57" s="1"/>
      <c r="D57" s="1"/>
      <c r="E57" s="1"/>
      <c r="F57" s="1"/>
      <c r="G57" s="1"/>
      <c r="H57" s="1"/>
      <c r="I57" s="1"/>
      <c r="J57" s="1"/>
      <c r="K57" s="1"/>
      <c r="L57" s="343" t="str">
        <f ca="1">INDEX(PO!K$12:K$603,MATCH($A59,PO!$V$12:$V$603,0))</f>
        <v>4.2.</v>
      </c>
      <c r="M57" s="337" t="str">
        <f ca="1">INDEX(PO!N$12:N$603,MATCH($A59,PO!$V$12:$V$603,0))</f>
        <v xml:space="preserve">CONCRETO ARMADO - VIGAS  </v>
      </c>
      <c r="N57" s="335">
        <f t="shared" ref="N57" ca="1" si="165">IF(ROUND(K59,2)=0,K59,ROUND(K59,2))</f>
        <v>9.9999999999999998E-13</v>
      </c>
      <c r="O57" s="187" t="s">
        <v>143</v>
      </c>
      <c r="P57" s="192"/>
      <c r="Q57" s="193">
        <v>0.1</v>
      </c>
      <c r="R57" s="193">
        <v>0.1</v>
      </c>
      <c r="S57" s="193">
        <v>0.25</v>
      </c>
      <c r="T57" s="193">
        <v>0.2</v>
      </c>
      <c r="U57" s="193">
        <v>0.3</v>
      </c>
      <c r="V57" s="193">
        <v>0.05</v>
      </c>
      <c r="W57" s="194"/>
      <c r="X57" s="163"/>
      <c r="AC57" s="188">
        <f t="shared" ref="AC57" ca="1" si="166">IF($B59,0,AC58-IF(ISNUMBER(AB58),AB58,0))</f>
        <v>0</v>
      </c>
    </row>
    <row r="58" spans="1:29" customFormat="1" ht="13.8" x14ac:dyDescent="0.25">
      <c r="A58" s="11"/>
      <c r="B58" s="11"/>
      <c r="C58" s="11"/>
      <c r="D58" s="11"/>
      <c r="E58" s="11"/>
      <c r="F58" s="11"/>
      <c r="G58" s="11"/>
      <c r="H58" s="11"/>
      <c r="I58" s="11"/>
      <c r="J58" s="11"/>
      <c r="K58" s="11"/>
      <c r="L58" s="344"/>
      <c r="M58" s="338"/>
      <c r="N58" s="336"/>
      <c r="O58" s="145" t="s">
        <v>145</v>
      </c>
      <c r="P58" s="165">
        <f t="shared" ref="P58" ca="1" si="167">MIN(IF($B59,P57+IF(ISNUMBER(O58),O58,0),P59/$N57),1)</f>
        <v>0</v>
      </c>
      <c r="Q58" s="143">
        <f t="shared" ref="Q58" ca="1" si="168">MIN(IF($B59,Q57+IF(ISNUMBER(P58),P58,0),Q59/$N57),1)</f>
        <v>0.1</v>
      </c>
      <c r="R58" s="143">
        <f t="shared" ref="R58" ca="1" si="169">MIN(IF($B59,R57+IF(ISNUMBER(Q58),Q58,0),R59/$N57),1)</f>
        <v>0.2</v>
      </c>
      <c r="S58" s="143">
        <f t="shared" ref="S58" ca="1" si="170">MIN(IF($B59,S57+IF(ISNUMBER(R58),R58,0),S59/$N57),1)</f>
        <v>0.45</v>
      </c>
      <c r="T58" s="143">
        <f t="shared" ref="T58" ca="1" si="171">MIN(IF($B59,T57+IF(ISNUMBER(S58),S58,0),T59/$N57),1)</f>
        <v>0.65</v>
      </c>
      <c r="U58" s="143">
        <f t="shared" ref="U58" ca="1" si="172">MIN(IF($B59,U57+IF(ISNUMBER(T58),T58,0),U59/$N57),1)</f>
        <v>0.95</v>
      </c>
      <c r="V58" s="143">
        <f t="shared" ref="V58" ca="1" si="173">MIN(IF($B59,V57+IF(ISNUMBER(U58),U58,0),V59/$N57),1)</f>
        <v>1</v>
      </c>
      <c r="W58" s="143">
        <f t="shared" ref="W58" ca="1" si="174">MIN(IF($B59,W57+IF(ISNUMBER(V58),V58,0),W59/$N57),1)</f>
        <v>1</v>
      </c>
      <c r="X58" s="163"/>
      <c r="AC58" s="143">
        <f t="shared" ref="AC58" ca="1" si="175">MIN(IF($B59,AC57+IF(ISNUMBER(AB58),AB58,0),AC59/$N57),1)</f>
        <v>0</v>
      </c>
    </row>
    <row r="59" spans="1:29" customFormat="1" ht="13.8" x14ac:dyDescent="0.25">
      <c r="A59" s="11">
        <f ca="1">OFFSET(A59,-CFF.NumLinha,0)+1</f>
        <v>14</v>
      </c>
      <c r="B59" s="11" t="b">
        <f ca="1">$C59&gt;=OFFSET($C59,CFF.NumLinha,0)</f>
        <v>1</v>
      </c>
      <c r="C59" s="11">
        <f ca="1">INDEX(PO!A$12:A$603,MATCH($A59,PO!$V$12:$V$603,0))</f>
        <v>2</v>
      </c>
      <c r="D59" s="11">
        <f t="shared" ref="D59" ca="1" si="176">IF(ISERROR(J59),I59,SMALL(I59:J59,1))-1</f>
        <v>2</v>
      </c>
      <c r="E59" s="11">
        <f ca="1">IF($C59=1,OFFSET(E59,-CFF.NumLinha,0)+1,OFFSET(E59,-CFF.NumLinha,0))</f>
        <v>4</v>
      </c>
      <c r="F59" s="11">
        <f ca="1">IF($C59=1,0,IF($C59=2,OFFSET(F59,-CFF.NumLinha,0)+1,OFFSET(F59,-CFF.NumLinha,0)))</f>
        <v>2</v>
      </c>
      <c r="G59" s="11">
        <f ca="1">IF(AND($C59&lt;=2,$C59&lt;&gt;0),0,IF($C59=3,OFFSET(G59,-CFF.NumLinha,0)+1,OFFSET(G59,-CFF.NumLinha,0)))</f>
        <v>0</v>
      </c>
      <c r="H59" s="11">
        <f ca="1">IF(AND($C59&lt;=3,$C59&lt;&gt;0),0,IF($C59=4,OFFSET(H59,-CFF.NumLinha,0)+1,OFFSET(H59,-CFF.NumLinha,0)))</f>
        <v>0</v>
      </c>
      <c r="I59" s="11">
        <f ca="1">MATCH(0,OFFSET($D59,1,$C59,ROW($A$303)-ROW($A59)),0)</f>
        <v>18</v>
      </c>
      <c r="J59" s="11">
        <f ca="1">MATCH(OFFSET($D59,0,$C59)+1,OFFSET($D59,1,$C59,ROW($A$303)-ROW($A59)),0)</f>
        <v>3</v>
      </c>
      <c r="K59" s="156">
        <f ca="1">ROUND(INDEX(PO!T$12:T$603,MATCH($A59,PO!$V$12:$V$603,0)),2)+10^-12</f>
        <v>9.9999999999999998E-13</v>
      </c>
      <c r="L59" s="344"/>
      <c r="M59" s="338"/>
      <c r="N59" s="336"/>
      <c r="O59" s="171" t="s">
        <v>20</v>
      </c>
      <c r="P59" s="166">
        <f t="shared" ref="P59:W59" ca="1" si="177">IF($B59,ROUND(P58*$N57,2),ROUND(SUMIF(OFFSET($B59,1,0,$D59),TRUE,OFFSET(P59,1,0,$D59))/SUMIF(OFFSET($B59,1,0,$D59),TRUE,OFFSET($K59,1,0,$D59))*$N57,2))</f>
        <v>0</v>
      </c>
      <c r="Q59" s="144">
        <f t="shared" ca="1" si="177"/>
        <v>0</v>
      </c>
      <c r="R59" s="144">
        <f t="shared" ca="1" si="177"/>
        <v>0</v>
      </c>
      <c r="S59" s="144">
        <f t="shared" ca="1" si="177"/>
        <v>0</v>
      </c>
      <c r="T59" s="144">
        <f t="shared" ca="1" si="177"/>
        <v>0</v>
      </c>
      <c r="U59" s="144">
        <f t="shared" ca="1" si="177"/>
        <v>0</v>
      </c>
      <c r="V59" s="144">
        <f t="shared" ca="1" si="177"/>
        <v>0</v>
      </c>
      <c r="W59" s="174">
        <f t="shared" ca="1" si="177"/>
        <v>0</v>
      </c>
      <c r="X59" s="163"/>
      <c r="AC59" s="144">
        <f t="shared" ref="AC59" ca="1" si="178">IF($B59,ROUND(AC58*$N57,2),ROUND(SUMIF(OFFSET($B59,1,0,$D59),TRUE,OFFSET(AC59,1,0,$D59))/SUMIF(OFFSET($B59,1,0,$D59),TRUE,OFFSET($K59,1,0,$D59))*$N57,2))</f>
        <v>0</v>
      </c>
    </row>
    <row r="60" spans="1:29" customFormat="1" ht="14.25" customHeight="1" x14ac:dyDescent="0.25">
      <c r="A60" s="1"/>
      <c r="B60" s="1"/>
      <c r="C60" s="1"/>
      <c r="D60" s="1"/>
      <c r="E60" s="1"/>
      <c r="F60" s="1"/>
      <c r="G60" s="1"/>
      <c r="H60" s="1"/>
      <c r="I60" s="1"/>
      <c r="J60" s="1"/>
      <c r="K60" s="1"/>
      <c r="L60" s="343" t="str">
        <f ca="1">INDEX(PO!K$12:K$603,MATCH($A62,PO!$V$12:$V$603,0))</f>
        <v>4.3.</v>
      </c>
      <c r="M60" s="337" t="str">
        <f ca="1">INDEX(PO!N$12:N$603,MATCH($A62,PO!$V$12:$V$603,0))</f>
        <v>CONCRETO ARMADO PARA VERGAS</v>
      </c>
      <c r="N60" s="335">
        <f t="shared" ref="N60" ca="1" si="179">IF(ROUND(K62,2)=0,K62,ROUND(K62,2))</f>
        <v>9.9999999999999998E-13</v>
      </c>
      <c r="O60" s="187" t="s">
        <v>143</v>
      </c>
      <c r="P60" s="192"/>
      <c r="Q60" s="193"/>
      <c r="R60" s="193">
        <v>0.1</v>
      </c>
      <c r="S60" s="193"/>
      <c r="T60" s="193"/>
      <c r="U60" s="193"/>
      <c r="V60" s="193">
        <v>0.5</v>
      </c>
      <c r="W60" s="194">
        <v>0.4</v>
      </c>
      <c r="X60" s="163"/>
      <c r="AC60" s="188">
        <f t="shared" ref="AC60" ca="1" si="180">IF($B62,0,AC61-IF(ISNUMBER(AB61),AB61,0))</f>
        <v>0</v>
      </c>
    </row>
    <row r="61" spans="1:29" customFormat="1" ht="13.8" x14ac:dyDescent="0.25">
      <c r="A61" s="11"/>
      <c r="B61" s="11"/>
      <c r="C61" s="11"/>
      <c r="D61" s="11"/>
      <c r="E61" s="11"/>
      <c r="F61" s="11"/>
      <c r="G61" s="11"/>
      <c r="H61" s="11"/>
      <c r="I61" s="11"/>
      <c r="J61" s="11"/>
      <c r="K61" s="11"/>
      <c r="L61" s="344"/>
      <c r="M61" s="338"/>
      <c r="N61" s="336"/>
      <c r="O61" s="145" t="s">
        <v>145</v>
      </c>
      <c r="P61" s="165">
        <f t="shared" ref="P61" ca="1" si="181">MIN(IF($B62,P60+IF(ISNUMBER(O61),O61,0),P62/$N60),1)</f>
        <v>0</v>
      </c>
      <c r="Q61" s="143">
        <f t="shared" ref="Q61" ca="1" si="182">MIN(IF($B62,Q60+IF(ISNUMBER(P61),P61,0),Q62/$N60),1)</f>
        <v>0</v>
      </c>
      <c r="R61" s="143">
        <f t="shared" ref="R61" ca="1" si="183">MIN(IF($B62,R60+IF(ISNUMBER(Q61),Q61,0),R62/$N60),1)</f>
        <v>0.1</v>
      </c>
      <c r="S61" s="143">
        <f t="shared" ref="S61" ca="1" si="184">MIN(IF($B62,S60+IF(ISNUMBER(R61),R61,0),S62/$N60),1)</f>
        <v>0.1</v>
      </c>
      <c r="T61" s="143">
        <f t="shared" ref="T61" ca="1" si="185">MIN(IF($B62,T60+IF(ISNUMBER(S61),S61,0),T62/$N60),1)</f>
        <v>0.1</v>
      </c>
      <c r="U61" s="143">
        <f t="shared" ref="U61" ca="1" si="186">MIN(IF($B62,U60+IF(ISNUMBER(T61),T61,0),U62/$N60),1)</f>
        <v>0.1</v>
      </c>
      <c r="V61" s="143">
        <f t="shared" ref="V61" ca="1" si="187">MIN(IF($B62,V60+IF(ISNUMBER(U61),U61,0),V62/$N60),1)</f>
        <v>0.6</v>
      </c>
      <c r="W61" s="143">
        <f t="shared" ref="W61" ca="1" si="188">MIN(IF($B62,W60+IF(ISNUMBER(V61),V61,0),W62/$N60),1)</f>
        <v>1</v>
      </c>
      <c r="X61" s="163"/>
      <c r="AC61" s="143">
        <f t="shared" ref="AC61" ca="1" si="189">MIN(IF($B62,AC60+IF(ISNUMBER(AB61),AB61,0),AC62/$N60),1)</f>
        <v>0</v>
      </c>
    </row>
    <row r="62" spans="1:29" customFormat="1" ht="13.8" x14ac:dyDescent="0.25">
      <c r="A62" s="11">
        <f ca="1">OFFSET(A62,-CFF.NumLinha,0)+1</f>
        <v>15</v>
      </c>
      <c r="B62" s="11" t="b">
        <f ca="1">$C62&gt;=OFFSET($C62,CFF.NumLinha,0)</f>
        <v>1</v>
      </c>
      <c r="C62" s="11">
        <f ca="1">INDEX(PO!A$12:A$603,MATCH($A62,PO!$V$12:$V$603,0))</f>
        <v>2</v>
      </c>
      <c r="D62" s="11">
        <f t="shared" ref="D62" ca="1" si="190">IF(ISERROR(J62),I62,SMALL(I62:J62,1))-1</f>
        <v>2</v>
      </c>
      <c r="E62" s="11">
        <f ca="1">IF($C62=1,OFFSET(E62,-CFF.NumLinha,0)+1,OFFSET(E62,-CFF.NumLinha,0))</f>
        <v>4</v>
      </c>
      <c r="F62" s="11">
        <f ca="1">IF($C62=1,0,IF($C62=2,OFFSET(F62,-CFF.NumLinha,0)+1,OFFSET(F62,-CFF.NumLinha,0)))</f>
        <v>3</v>
      </c>
      <c r="G62" s="11">
        <f ca="1">IF(AND($C62&lt;=2,$C62&lt;&gt;0),0,IF($C62=3,OFFSET(G62,-CFF.NumLinha,0)+1,OFFSET(G62,-CFF.NumLinha,0)))</f>
        <v>0</v>
      </c>
      <c r="H62" s="11">
        <f ca="1">IF(AND($C62&lt;=3,$C62&lt;&gt;0),0,IF($C62=4,OFFSET(H62,-CFF.NumLinha,0)+1,OFFSET(H62,-CFF.NumLinha,0)))</f>
        <v>0</v>
      </c>
      <c r="I62" s="11">
        <f ca="1">MATCH(0,OFFSET($D62,1,$C62,ROW($A$303)-ROW($A62)),0)</f>
        <v>15</v>
      </c>
      <c r="J62" s="11">
        <f ca="1">MATCH(OFFSET($D62,0,$C62)+1,OFFSET($D62,1,$C62,ROW($A$303)-ROW($A62)),0)</f>
        <v>3</v>
      </c>
      <c r="K62" s="156">
        <f ca="1">ROUND(INDEX(PO!T$12:T$603,MATCH($A62,PO!$V$12:$V$603,0)),2)+10^-12</f>
        <v>9.9999999999999998E-13</v>
      </c>
      <c r="L62" s="344"/>
      <c r="M62" s="338"/>
      <c r="N62" s="336"/>
      <c r="O62" s="171" t="s">
        <v>20</v>
      </c>
      <c r="P62" s="166">
        <f t="shared" ref="P62:W62" ca="1" si="191">IF($B62,ROUND(P61*$N60,2),ROUND(SUMIF(OFFSET($B62,1,0,$D62),TRUE,OFFSET(P62,1,0,$D62))/SUMIF(OFFSET($B62,1,0,$D62),TRUE,OFFSET($K62,1,0,$D62))*$N60,2))</f>
        <v>0</v>
      </c>
      <c r="Q62" s="144">
        <f t="shared" ca="1" si="191"/>
        <v>0</v>
      </c>
      <c r="R62" s="144">
        <f t="shared" ca="1" si="191"/>
        <v>0</v>
      </c>
      <c r="S62" s="144">
        <f t="shared" ca="1" si="191"/>
        <v>0</v>
      </c>
      <c r="T62" s="144">
        <f t="shared" ca="1" si="191"/>
        <v>0</v>
      </c>
      <c r="U62" s="144">
        <f t="shared" ca="1" si="191"/>
        <v>0</v>
      </c>
      <c r="V62" s="144">
        <f t="shared" ca="1" si="191"/>
        <v>0</v>
      </c>
      <c r="W62" s="174">
        <f t="shared" ca="1" si="191"/>
        <v>0</v>
      </c>
      <c r="X62" s="163"/>
      <c r="AC62" s="144">
        <f t="shared" ref="AC62" ca="1" si="192">IF($B62,ROUND(AC61*$N60,2),ROUND(SUMIF(OFFSET($B62,1,0,$D62),TRUE,OFFSET(AC62,1,0,$D62))/SUMIF(OFFSET($B62,1,0,$D62),TRUE,OFFSET($K62,1,0,$D62))*$N60,2))</f>
        <v>0</v>
      </c>
    </row>
    <row r="63" spans="1:29" customFormat="1" ht="14.25" customHeight="1" x14ac:dyDescent="0.25">
      <c r="A63" s="1"/>
      <c r="B63" s="1"/>
      <c r="C63" s="1"/>
      <c r="D63" s="1"/>
      <c r="E63" s="1"/>
      <c r="F63" s="1"/>
      <c r="G63" s="1"/>
      <c r="H63" s="1"/>
      <c r="I63" s="1"/>
      <c r="J63" s="1"/>
      <c r="K63" s="1"/>
      <c r="L63" s="343" t="str">
        <f ca="1">INDEX(PO!K$12:K$603,MATCH($A65,PO!$V$12:$V$603,0))</f>
        <v>4.4.</v>
      </c>
      <c r="M63" s="337" t="str">
        <f ca="1">INDEX(PO!N$12:N$603,MATCH($A65,PO!$V$12:$V$603,0))</f>
        <v>CONCRETO ARMADO - MURETA - PILARES</v>
      </c>
      <c r="N63" s="335">
        <f t="shared" ref="N63" ca="1" si="193">IF(ROUND(K65,2)=0,K65,ROUND(K65,2))</f>
        <v>9.9999999999999998E-13</v>
      </c>
      <c r="O63" s="187" t="s">
        <v>143</v>
      </c>
      <c r="P63" s="192"/>
      <c r="Q63" s="193">
        <v>0.3</v>
      </c>
      <c r="R63" s="193">
        <v>0.1</v>
      </c>
      <c r="S63" s="193">
        <v>0.3</v>
      </c>
      <c r="T63" s="193">
        <v>0.3</v>
      </c>
      <c r="U63" s="193"/>
      <c r="V63" s="193"/>
      <c r="W63" s="194"/>
      <c r="X63" s="163"/>
      <c r="AC63" s="188">
        <f t="shared" ref="AC63" ca="1" si="194">IF($B65,0,AC64-IF(ISNUMBER(AB64),AB64,0))</f>
        <v>0</v>
      </c>
    </row>
    <row r="64" spans="1:29" customFormat="1" ht="13.8" x14ac:dyDescent="0.25">
      <c r="A64" s="11"/>
      <c r="B64" s="11"/>
      <c r="C64" s="11"/>
      <c r="D64" s="11"/>
      <c r="E64" s="11"/>
      <c r="F64" s="11"/>
      <c r="G64" s="11"/>
      <c r="H64" s="11"/>
      <c r="I64" s="11"/>
      <c r="J64" s="11"/>
      <c r="K64" s="11"/>
      <c r="L64" s="344"/>
      <c r="M64" s="338"/>
      <c r="N64" s="336"/>
      <c r="O64" s="145" t="s">
        <v>145</v>
      </c>
      <c r="P64" s="165">
        <f t="shared" ref="P64" ca="1" si="195">MIN(IF($B65,P63+IF(ISNUMBER(O64),O64,0),P65/$N63),1)</f>
        <v>0</v>
      </c>
      <c r="Q64" s="143">
        <f t="shared" ref="Q64" ca="1" si="196">MIN(IF($B65,Q63+IF(ISNUMBER(P64),P64,0),Q65/$N63),1)</f>
        <v>0.3</v>
      </c>
      <c r="R64" s="143">
        <f t="shared" ref="R64" ca="1" si="197">MIN(IF($B65,R63+IF(ISNUMBER(Q64),Q64,0),R65/$N63),1)</f>
        <v>0.4</v>
      </c>
      <c r="S64" s="143">
        <f t="shared" ref="S64" ca="1" si="198">MIN(IF($B65,S63+IF(ISNUMBER(R64),R64,0),S65/$N63),1)</f>
        <v>0.7</v>
      </c>
      <c r="T64" s="143">
        <f t="shared" ref="T64" ca="1" si="199">MIN(IF($B65,T63+IF(ISNUMBER(S64),S64,0),T65/$N63),1)</f>
        <v>1</v>
      </c>
      <c r="U64" s="143">
        <f t="shared" ref="U64" ca="1" si="200">MIN(IF($B65,U63+IF(ISNUMBER(T64),T64,0),U65/$N63),1)</f>
        <v>1</v>
      </c>
      <c r="V64" s="143">
        <f t="shared" ref="V64" ca="1" si="201">MIN(IF($B65,V63+IF(ISNUMBER(U64),U64,0),V65/$N63),1)</f>
        <v>1</v>
      </c>
      <c r="W64" s="143">
        <f t="shared" ref="W64" ca="1" si="202">MIN(IF($B65,W63+IF(ISNUMBER(V64),V64,0),W65/$N63),1)</f>
        <v>1</v>
      </c>
      <c r="X64" s="163"/>
      <c r="AC64" s="143">
        <f t="shared" ref="AC64" ca="1" si="203">MIN(IF($B65,AC63+IF(ISNUMBER(AB64),AB64,0),AC65/$N63),1)</f>
        <v>0</v>
      </c>
    </row>
    <row r="65" spans="1:29" customFormat="1" ht="13.8" x14ac:dyDescent="0.25">
      <c r="A65" s="11">
        <f ca="1">OFFSET(A65,-CFF.NumLinha,0)+1</f>
        <v>16</v>
      </c>
      <c r="B65" s="11" t="b">
        <f ca="1">$C65&gt;=OFFSET($C65,CFF.NumLinha,0)</f>
        <v>1</v>
      </c>
      <c r="C65" s="11">
        <f ca="1">INDEX(PO!A$12:A$603,MATCH($A65,PO!$V$12:$V$603,0))</f>
        <v>2</v>
      </c>
      <c r="D65" s="11">
        <f t="shared" ref="D65" ca="1" si="204">IF(ISERROR(J65),I65,SMALL(I65:J65,1))-1</f>
        <v>2</v>
      </c>
      <c r="E65" s="11">
        <f ca="1">IF($C65=1,OFFSET(E65,-CFF.NumLinha,0)+1,OFFSET(E65,-CFF.NumLinha,0))</f>
        <v>4</v>
      </c>
      <c r="F65" s="11">
        <f ca="1">IF($C65=1,0,IF($C65=2,OFFSET(F65,-CFF.NumLinha,0)+1,OFFSET(F65,-CFF.NumLinha,0)))</f>
        <v>4</v>
      </c>
      <c r="G65" s="11">
        <f ca="1">IF(AND($C65&lt;=2,$C65&lt;&gt;0),0,IF($C65=3,OFFSET(G65,-CFF.NumLinha,0)+1,OFFSET(G65,-CFF.NumLinha,0)))</f>
        <v>0</v>
      </c>
      <c r="H65" s="11">
        <f ca="1">IF(AND($C65&lt;=3,$C65&lt;&gt;0),0,IF($C65=4,OFFSET(H65,-CFF.NumLinha,0)+1,OFFSET(H65,-CFF.NumLinha,0)))</f>
        <v>0</v>
      </c>
      <c r="I65" s="11">
        <f ca="1">MATCH(0,OFFSET($D65,1,$C65,ROW($A$303)-ROW($A65)),0)</f>
        <v>12</v>
      </c>
      <c r="J65" s="11">
        <f ca="1">MATCH(OFFSET($D65,0,$C65)+1,OFFSET($D65,1,$C65,ROW($A$303)-ROW($A65)),0)</f>
        <v>3</v>
      </c>
      <c r="K65" s="156">
        <f ca="1">ROUND(INDEX(PO!T$12:T$603,MATCH($A65,PO!$V$12:$V$603,0)),2)+10^-12</f>
        <v>9.9999999999999998E-13</v>
      </c>
      <c r="L65" s="344"/>
      <c r="M65" s="338"/>
      <c r="N65" s="336"/>
      <c r="O65" s="171" t="s">
        <v>20</v>
      </c>
      <c r="P65" s="166">
        <f t="shared" ref="P65:W65" ca="1" si="205">IF($B65,ROUND(P64*$N63,2),ROUND(SUMIF(OFFSET($B65,1,0,$D65),TRUE,OFFSET(P65,1,0,$D65))/SUMIF(OFFSET($B65,1,0,$D65),TRUE,OFFSET($K65,1,0,$D65))*$N63,2))</f>
        <v>0</v>
      </c>
      <c r="Q65" s="144">
        <f t="shared" ca="1" si="205"/>
        <v>0</v>
      </c>
      <c r="R65" s="144">
        <f t="shared" ca="1" si="205"/>
        <v>0</v>
      </c>
      <c r="S65" s="144">
        <f t="shared" ca="1" si="205"/>
        <v>0</v>
      </c>
      <c r="T65" s="144">
        <f t="shared" ca="1" si="205"/>
        <v>0</v>
      </c>
      <c r="U65" s="144">
        <f t="shared" ca="1" si="205"/>
        <v>0</v>
      </c>
      <c r="V65" s="144">
        <f t="shared" ca="1" si="205"/>
        <v>0</v>
      </c>
      <c r="W65" s="174">
        <f t="shared" ca="1" si="205"/>
        <v>0</v>
      </c>
      <c r="X65" s="163"/>
      <c r="AC65" s="144">
        <f t="shared" ref="AC65" ca="1" si="206">IF($B65,ROUND(AC64*$N63,2),ROUND(SUMIF(OFFSET($B65,1,0,$D65),TRUE,OFFSET(AC65,1,0,$D65))/SUMIF(OFFSET($B65,1,0,$D65),TRUE,OFFSET($K65,1,0,$D65))*$N63,2))</f>
        <v>0</v>
      </c>
    </row>
    <row r="66" spans="1:29" customFormat="1" ht="14.25" customHeight="1" x14ac:dyDescent="0.25">
      <c r="A66" s="1"/>
      <c r="B66" s="1"/>
      <c r="C66" s="1"/>
      <c r="D66" s="1"/>
      <c r="E66" s="1"/>
      <c r="F66" s="1"/>
      <c r="G66" s="1"/>
      <c r="H66" s="1"/>
      <c r="I66" s="1"/>
      <c r="J66" s="1"/>
      <c r="K66" s="1"/>
      <c r="L66" s="343" t="str">
        <f ca="1">INDEX(PO!K$12:K$603,MATCH($A68,PO!$V$12:$V$603,0))</f>
        <v>4.5.</v>
      </c>
      <c r="M66" s="337" t="str">
        <f ca="1">INDEX(PO!N$12:N$603,MATCH($A68,PO!$V$12:$V$603,0))</f>
        <v>CONCRETO ARMADO - CASA DE GÁS - PILARES VIGAS E LAGES</v>
      </c>
      <c r="N66" s="335">
        <f t="shared" ref="N66" ca="1" si="207">IF(ROUND(K68,2)=0,K68,ROUND(K68,2))</f>
        <v>9.9999999999999998E-13</v>
      </c>
      <c r="O66" s="187" t="s">
        <v>143</v>
      </c>
      <c r="P66" s="192"/>
      <c r="Q66" s="193">
        <v>0.3</v>
      </c>
      <c r="R66" s="193">
        <v>0.25</v>
      </c>
      <c r="S66" s="193"/>
      <c r="T66" s="193"/>
      <c r="U66" s="193"/>
      <c r="V66" s="193"/>
      <c r="W66" s="194">
        <v>0.45</v>
      </c>
      <c r="X66" s="163"/>
      <c r="AC66" s="188">
        <f t="shared" ref="AC66" ca="1" si="208">IF($B68,0,AC67-IF(ISNUMBER(AB67),AB67,0))</f>
        <v>0</v>
      </c>
    </row>
    <row r="67" spans="1:29" customFormat="1" ht="13.8" x14ac:dyDescent="0.25">
      <c r="A67" s="11"/>
      <c r="B67" s="11"/>
      <c r="C67" s="11"/>
      <c r="D67" s="11"/>
      <c r="E67" s="11"/>
      <c r="F67" s="11"/>
      <c r="G67" s="11"/>
      <c r="H67" s="11"/>
      <c r="I67" s="11"/>
      <c r="J67" s="11"/>
      <c r="K67" s="11"/>
      <c r="L67" s="344"/>
      <c r="M67" s="338"/>
      <c r="N67" s="336"/>
      <c r="O67" s="145" t="s">
        <v>145</v>
      </c>
      <c r="P67" s="165">
        <f t="shared" ref="P67" ca="1" si="209">MIN(IF($B68,P66+IF(ISNUMBER(O67),O67,0),P68/$N66),1)</f>
        <v>0</v>
      </c>
      <c r="Q67" s="143">
        <f t="shared" ref="Q67" ca="1" si="210">MIN(IF($B68,Q66+IF(ISNUMBER(P67),P67,0),Q68/$N66),1)</f>
        <v>0.3</v>
      </c>
      <c r="R67" s="143">
        <f t="shared" ref="R67" ca="1" si="211">MIN(IF($B68,R66+IF(ISNUMBER(Q67),Q67,0),R68/$N66),1)</f>
        <v>0.55000000000000004</v>
      </c>
      <c r="S67" s="143">
        <f t="shared" ref="S67" ca="1" si="212">MIN(IF($B68,S66+IF(ISNUMBER(R67),R67,0),S68/$N66),1)</f>
        <v>0.55000000000000004</v>
      </c>
      <c r="T67" s="143">
        <f t="shared" ref="T67" ca="1" si="213">MIN(IF($B68,T66+IF(ISNUMBER(S67),S67,0),T68/$N66),1)</f>
        <v>0.55000000000000004</v>
      </c>
      <c r="U67" s="143">
        <f t="shared" ref="U67" ca="1" si="214">MIN(IF($B68,U66+IF(ISNUMBER(T67),T67,0),U68/$N66),1)</f>
        <v>0.55000000000000004</v>
      </c>
      <c r="V67" s="143">
        <f t="shared" ref="V67" ca="1" si="215">MIN(IF($B68,V66+IF(ISNUMBER(U67),U67,0),V68/$N66),1)</f>
        <v>0.55000000000000004</v>
      </c>
      <c r="W67" s="143">
        <f t="shared" ref="W67" ca="1" si="216">MIN(IF($B68,W66+IF(ISNUMBER(V67),V67,0),W68/$N66),1)</f>
        <v>1</v>
      </c>
      <c r="X67" s="163"/>
      <c r="AC67" s="143">
        <f t="shared" ref="AC67" ca="1" si="217">MIN(IF($B68,AC66+IF(ISNUMBER(AB67),AB67,0),AC68/$N66),1)</f>
        <v>0</v>
      </c>
    </row>
    <row r="68" spans="1:29" customFormat="1" ht="13.8" x14ac:dyDescent="0.25">
      <c r="A68" s="11">
        <f ca="1">OFFSET(A68,-CFF.NumLinha,0)+1</f>
        <v>17</v>
      </c>
      <c r="B68" s="11" t="b">
        <f ca="1">$C68&gt;=OFFSET($C68,CFF.NumLinha,0)</f>
        <v>1</v>
      </c>
      <c r="C68" s="11">
        <f ca="1">INDEX(PO!A$12:A$603,MATCH($A68,PO!$V$12:$V$603,0))</f>
        <v>2</v>
      </c>
      <c r="D68" s="11">
        <f t="shared" ref="D68" ca="1" si="218">IF(ISERROR(J68),I68,SMALL(I68:J68,1))-1</f>
        <v>2</v>
      </c>
      <c r="E68" s="11">
        <f ca="1">IF($C68=1,OFFSET(E68,-CFF.NumLinha,0)+1,OFFSET(E68,-CFF.NumLinha,0))</f>
        <v>4</v>
      </c>
      <c r="F68" s="11">
        <f ca="1">IF($C68=1,0,IF($C68=2,OFFSET(F68,-CFF.NumLinha,0)+1,OFFSET(F68,-CFF.NumLinha,0)))</f>
        <v>5</v>
      </c>
      <c r="G68" s="11">
        <f ca="1">IF(AND($C68&lt;=2,$C68&lt;&gt;0),0,IF($C68=3,OFFSET(G68,-CFF.NumLinha,0)+1,OFFSET(G68,-CFF.NumLinha,0)))</f>
        <v>0</v>
      </c>
      <c r="H68" s="11">
        <f ca="1">IF(AND($C68&lt;=3,$C68&lt;&gt;0),0,IF($C68=4,OFFSET(H68,-CFF.NumLinha,0)+1,OFFSET(H68,-CFF.NumLinha,0)))</f>
        <v>0</v>
      </c>
      <c r="I68" s="11">
        <f ca="1">MATCH(0,OFFSET($D68,1,$C68,ROW($A$303)-ROW($A68)),0)</f>
        <v>9</v>
      </c>
      <c r="J68" s="11">
        <f ca="1">MATCH(OFFSET($D68,0,$C68)+1,OFFSET($D68,1,$C68,ROW($A$303)-ROW($A68)),0)</f>
        <v>3</v>
      </c>
      <c r="K68" s="156">
        <f ca="1">ROUND(INDEX(PO!T$12:T$603,MATCH($A68,PO!$V$12:$V$603,0)),2)+10^-12</f>
        <v>9.9999999999999998E-13</v>
      </c>
      <c r="L68" s="344"/>
      <c r="M68" s="338"/>
      <c r="N68" s="336"/>
      <c r="O68" s="171" t="s">
        <v>20</v>
      </c>
      <c r="P68" s="166">
        <f t="shared" ref="P68:W68" ca="1" si="219">IF($B68,ROUND(P67*$N66,2),ROUND(SUMIF(OFFSET($B68,1,0,$D68),TRUE,OFFSET(P68,1,0,$D68))/SUMIF(OFFSET($B68,1,0,$D68),TRUE,OFFSET($K68,1,0,$D68))*$N66,2))</f>
        <v>0</v>
      </c>
      <c r="Q68" s="144">
        <f t="shared" ca="1" si="219"/>
        <v>0</v>
      </c>
      <c r="R68" s="144">
        <f t="shared" ca="1" si="219"/>
        <v>0</v>
      </c>
      <c r="S68" s="144">
        <f t="shared" ca="1" si="219"/>
        <v>0</v>
      </c>
      <c r="T68" s="144">
        <f t="shared" ca="1" si="219"/>
        <v>0</v>
      </c>
      <c r="U68" s="144">
        <f t="shared" ca="1" si="219"/>
        <v>0</v>
      </c>
      <c r="V68" s="144">
        <f t="shared" ca="1" si="219"/>
        <v>0</v>
      </c>
      <c r="W68" s="174">
        <f t="shared" ca="1" si="219"/>
        <v>0</v>
      </c>
      <c r="X68" s="163"/>
      <c r="AC68" s="144">
        <f t="shared" ref="AC68" ca="1" si="220">IF($B68,ROUND(AC67*$N66,2),ROUND(SUMIF(OFFSET($B68,1,0,$D68),TRUE,OFFSET(AC68,1,0,$D68))/SUMIF(OFFSET($B68,1,0,$D68),TRUE,OFFSET($K68,1,0,$D68))*$N66,2))</f>
        <v>0</v>
      </c>
    </row>
    <row r="69" spans="1:29" customFormat="1" ht="14.25" customHeight="1" x14ac:dyDescent="0.25">
      <c r="A69" s="1"/>
      <c r="B69" s="1"/>
      <c r="C69" s="1"/>
      <c r="D69" s="1"/>
      <c r="E69" s="1"/>
      <c r="F69" s="1"/>
      <c r="G69" s="1"/>
      <c r="H69" s="1"/>
      <c r="I69" s="1"/>
      <c r="J69" s="1"/>
      <c r="K69" s="1"/>
      <c r="L69" s="343" t="str">
        <f ca="1">INDEX(PO!K$12:K$603,MATCH($A71,PO!$V$12:$V$603,0))</f>
        <v>4.6.</v>
      </c>
      <c r="M69" s="337" t="str">
        <f ca="1">INDEX(PO!N$12:N$603,MATCH($A71,PO!$V$12:$V$603,0))</f>
        <v>ESTRUTURA METÁLICA</v>
      </c>
      <c r="N69" s="335">
        <f t="shared" ref="N69" ca="1" si="221">IF(ROUND(K71,2)=0,K71,ROUND(K71,2))</f>
        <v>9.9999999999999998E-13</v>
      </c>
      <c r="O69" s="187" t="s">
        <v>143</v>
      </c>
      <c r="P69" s="192"/>
      <c r="Q69" s="193">
        <v>0.05</v>
      </c>
      <c r="R69" s="193">
        <v>0.15</v>
      </c>
      <c r="S69" s="193">
        <v>0.15</v>
      </c>
      <c r="T69" s="193">
        <v>0.15</v>
      </c>
      <c r="U69" s="193">
        <v>0.3</v>
      </c>
      <c r="V69" s="193">
        <v>0.2</v>
      </c>
      <c r="W69" s="194"/>
      <c r="X69" s="163"/>
      <c r="AC69" s="188">
        <f t="shared" ref="AC69" ca="1" si="222">IF($B71,0,AC70-IF(ISNUMBER(AB70),AB70,0))</f>
        <v>0</v>
      </c>
    </row>
    <row r="70" spans="1:29" customFormat="1" ht="13.8" x14ac:dyDescent="0.25">
      <c r="A70" s="11"/>
      <c r="B70" s="11"/>
      <c r="C70" s="11"/>
      <c r="D70" s="11"/>
      <c r="E70" s="11"/>
      <c r="F70" s="11"/>
      <c r="G70" s="11"/>
      <c r="H70" s="11"/>
      <c r="I70" s="11"/>
      <c r="J70" s="11"/>
      <c r="K70" s="11"/>
      <c r="L70" s="344"/>
      <c r="M70" s="338"/>
      <c r="N70" s="336"/>
      <c r="O70" s="145" t="s">
        <v>145</v>
      </c>
      <c r="P70" s="165">
        <f t="shared" ref="P70" ca="1" si="223">MIN(IF($B71,P69+IF(ISNUMBER(O70),O70,0),P71/$N69),1)</f>
        <v>0</v>
      </c>
      <c r="Q70" s="143">
        <f t="shared" ref="Q70" ca="1" si="224">MIN(IF($B71,Q69+IF(ISNUMBER(P70),P70,0),Q71/$N69),1)</f>
        <v>0.05</v>
      </c>
      <c r="R70" s="143">
        <f t="shared" ref="R70" ca="1" si="225">MIN(IF($B71,R69+IF(ISNUMBER(Q70),Q70,0),R71/$N69),1)</f>
        <v>0.2</v>
      </c>
      <c r="S70" s="143">
        <f t="shared" ref="S70" ca="1" si="226">MIN(IF($B71,S69+IF(ISNUMBER(R70),R70,0),S71/$N69),1)</f>
        <v>0.35</v>
      </c>
      <c r="T70" s="143">
        <f t="shared" ref="T70" ca="1" si="227">MIN(IF($B71,T69+IF(ISNUMBER(S70),S70,0),T71/$N69),1)</f>
        <v>0.5</v>
      </c>
      <c r="U70" s="143">
        <f t="shared" ref="U70" ca="1" si="228">MIN(IF($B71,U69+IF(ISNUMBER(T70),T70,0),U71/$N69),1)</f>
        <v>0.8</v>
      </c>
      <c r="V70" s="143">
        <f t="shared" ref="V70" ca="1" si="229">MIN(IF($B71,V69+IF(ISNUMBER(U70),U70,0),V71/$N69),1)</f>
        <v>1</v>
      </c>
      <c r="W70" s="143">
        <f t="shared" ref="W70" ca="1" si="230">MIN(IF($B71,W69+IF(ISNUMBER(V70),V70,0),W71/$N69),1)</f>
        <v>1</v>
      </c>
      <c r="X70" s="163"/>
      <c r="AC70" s="143">
        <f t="shared" ref="AC70" ca="1" si="231">MIN(IF($B71,AC69+IF(ISNUMBER(AB70),AB70,0),AC71/$N69),1)</f>
        <v>0</v>
      </c>
    </row>
    <row r="71" spans="1:29" customFormat="1" ht="13.8" x14ac:dyDescent="0.25">
      <c r="A71" s="11">
        <f ca="1">OFFSET(A71,-CFF.NumLinha,0)+1</f>
        <v>18</v>
      </c>
      <c r="B71" s="11" t="b">
        <f ca="1">$C71&gt;=OFFSET($C71,CFF.NumLinha,0)</f>
        <v>1</v>
      </c>
      <c r="C71" s="11">
        <f ca="1">INDEX(PO!A$12:A$603,MATCH($A71,PO!$V$12:$V$603,0))</f>
        <v>2</v>
      </c>
      <c r="D71" s="11">
        <f t="shared" ref="D71" ca="1" si="232">IF(ISERROR(J71),I71,SMALL(I71:J71,1))-1</f>
        <v>2</v>
      </c>
      <c r="E71" s="11">
        <f ca="1">IF($C71=1,OFFSET(E71,-CFF.NumLinha,0)+1,OFFSET(E71,-CFF.NumLinha,0))</f>
        <v>4</v>
      </c>
      <c r="F71" s="11">
        <f ca="1">IF($C71=1,0,IF($C71=2,OFFSET(F71,-CFF.NumLinha,0)+1,OFFSET(F71,-CFF.NumLinha,0)))</f>
        <v>6</v>
      </c>
      <c r="G71" s="11">
        <f ca="1">IF(AND($C71&lt;=2,$C71&lt;&gt;0),0,IF($C71=3,OFFSET(G71,-CFF.NumLinha,0)+1,OFFSET(G71,-CFF.NumLinha,0)))</f>
        <v>0</v>
      </c>
      <c r="H71" s="11">
        <f ca="1">IF(AND($C71&lt;=3,$C71&lt;&gt;0),0,IF($C71=4,OFFSET(H71,-CFF.NumLinha,0)+1,OFFSET(H71,-CFF.NumLinha,0)))</f>
        <v>0</v>
      </c>
      <c r="I71" s="11">
        <f ca="1">MATCH(0,OFFSET($D71,1,$C71,ROW($A$303)-ROW($A71)),0)</f>
        <v>6</v>
      </c>
      <c r="J71" s="11">
        <f ca="1">MATCH(OFFSET($D71,0,$C71)+1,OFFSET($D71,1,$C71,ROW($A$303)-ROW($A71)),0)</f>
        <v>3</v>
      </c>
      <c r="K71" s="156">
        <f ca="1">ROUND(INDEX(PO!T$12:T$603,MATCH($A71,PO!$V$12:$V$603,0)),2)+10^-12</f>
        <v>9.9999999999999998E-13</v>
      </c>
      <c r="L71" s="344"/>
      <c r="M71" s="338"/>
      <c r="N71" s="336"/>
      <c r="O71" s="171" t="s">
        <v>20</v>
      </c>
      <c r="P71" s="166">
        <f t="shared" ref="P71:W71" ca="1" si="233">IF($B71,ROUND(P70*$N69,2),ROUND(SUMIF(OFFSET($B71,1,0,$D71),TRUE,OFFSET(P71,1,0,$D71))/SUMIF(OFFSET($B71,1,0,$D71),TRUE,OFFSET($K71,1,0,$D71))*$N69,2))</f>
        <v>0</v>
      </c>
      <c r="Q71" s="144">
        <f t="shared" ca="1" si="233"/>
        <v>0</v>
      </c>
      <c r="R71" s="144">
        <f t="shared" ca="1" si="233"/>
        <v>0</v>
      </c>
      <c r="S71" s="144">
        <f t="shared" ca="1" si="233"/>
        <v>0</v>
      </c>
      <c r="T71" s="144">
        <f t="shared" ca="1" si="233"/>
        <v>0</v>
      </c>
      <c r="U71" s="144">
        <f t="shared" ca="1" si="233"/>
        <v>0</v>
      </c>
      <c r="V71" s="144">
        <f t="shared" ca="1" si="233"/>
        <v>0</v>
      </c>
      <c r="W71" s="174">
        <f t="shared" ca="1" si="233"/>
        <v>0</v>
      </c>
      <c r="X71" s="163"/>
      <c r="AC71" s="144">
        <f t="shared" ref="AC71" ca="1" si="234">IF($B71,ROUND(AC70*$N69,2),ROUND(SUMIF(OFFSET($B71,1,0,$D71),TRUE,OFFSET(AC71,1,0,$D71))/SUMIF(OFFSET($B71,1,0,$D71),TRUE,OFFSET($K71,1,0,$D71))*$N69,2))</f>
        <v>0</v>
      </c>
    </row>
    <row r="72" spans="1:29" customFormat="1" ht="14.25" customHeight="1" x14ac:dyDescent="0.25">
      <c r="A72" s="1"/>
      <c r="B72" s="1"/>
      <c r="C72" s="1"/>
      <c r="D72" s="1"/>
      <c r="E72" s="1"/>
      <c r="F72" s="1"/>
      <c r="G72" s="1"/>
      <c r="H72" s="1"/>
      <c r="I72" s="1"/>
      <c r="J72" s="1"/>
      <c r="K72" s="1"/>
      <c r="L72" s="343" t="str">
        <f ca="1">INDEX(PO!K$12:K$603,MATCH($A74,PO!$V$12:$V$603,0))</f>
        <v>4.7.</v>
      </c>
      <c r="M72" s="337" t="str">
        <f ca="1">INDEX(PO!N$12:N$603,MATCH($A74,PO!$V$12:$V$603,0))</f>
        <v>PISO DE CONCRETO</v>
      </c>
      <c r="N72" s="335">
        <f t="shared" ref="N72" ca="1" si="235">IF(ROUND(K74,2)=0,K74,ROUND(K74,2))</f>
        <v>9.9999999999999998E-13</v>
      </c>
      <c r="O72" s="187" t="s">
        <v>143</v>
      </c>
      <c r="P72" s="192"/>
      <c r="Q72" s="193"/>
      <c r="R72" s="193">
        <v>0.2</v>
      </c>
      <c r="S72" s="193">
        <v>0.2</v>
      </c>
      <c r="T72" s="193">
        <v>0.2</v>
      </c>
      <c r="U72" s="193">
        <v>0.4</v>
      </c>
      <c r="V72" s="193"/>
      <c r="W72" s="194"/>
      <c r="X72" s="163"/>
      <c r="AC72" s="188">
        <f t="shared" ref="AC72" ca="1" si="236">IF($B74,0,AC73-IF(ISNUMBER(AB73),AB73,0))</f>
        <v>0</v>
      </c>
    </row>
    <row r="73" spans="1:29" customFormat="1" ht="13.8" x14ac:dyDescent="0.25">
      <c r="A73" s="11"/>
      <c r="B73" s="11"/>
      <c r="C73" s="11"/>
      <c r="D73" s="11"/>
      <c r="E73" s="11"/>
      <c r="F73" s="11"/>
      <c r="G73" s="11"/>
      <c r="H73" s="11"/>
      <c r="I73" s="11"/>
      <c r="J73" s="11"/>
      <c r="K73" s="11"/>
      <c r="L73" s="344"/>
      <c r="M73" s="338"/>
      <c r="N73" s="336"/>
      <c r="O73" s="145" t="s">
        <v>145</v>
      </c>
      <c r="P73" s="165">
        <f t="shared" ref="P73" ca="1" si="237">MIN(IF($B74,P72+IF(ISNUMBER(O73),O73,0),P74/$N72),1)</f>
        <v>0</v>
      </c>
      <c r="Q73" s="143">
        <f t="shared" ref="Q73" ca="1" si="238">MIN(IF($B74,Q72+IF(ISNUMBER(P73),P73,0),Q74/$N72),1)</f>
        <v>0</v>
      </c>
      <c r="R73" s="143">
        <f t="shared" ref="R73" ca="1" si="239">MIN(IF($B74,R72+IF(ISNUMBER(Q73),Q73,0),R74/$N72),1)</f>
        <v>0.2</v>
      </c>
      <c r="S73" s="143">
        <f t="shared" ref="S73" ca="1" si="240">MIN(IF($B74,S72+IF(ISNUMBER(R73),R73,0),S74/$N72),1)</f>
        <v>0.4</v>
      </c>
      <c r="T73" s="143">
        <f t="shared" ref="T73" ca="1" si="241">MIN(IF($B74,T72+IF(ISNUMBER(S73),S73,0),T74/$N72),1)</f>
        <v>0.60000000000000009</v>
      </c>
      <c r="U73" s="143">
        <f t="shared" ref="U73" ca="1" si="242">MIN(IF($B74,U72+IF(ISNUMBER(T73),T73,0),U74/$N72),1)</f>
        <v>1</v>
      </c>
      <c r="V73" s="143">
        <f t="shared" ref="V73" ca="1" si="243">MIN(IF($B74,V72+IF(ISNUMBER(U73),U73,0),V74/$N72),1)</f>
        <v>1</v>
      </c>
      <c r="W73" s="143">
        <f t="shared" ref="W73" ca="1" si="244">MIN(IF($B74,W72+IF(ISNUMBER(V73),V73,0),W74/$N72),1)</f>
        <v>1</v>
      </c>
      <c r="X73" s="163"/>
      <c r="AC73" s="143">
        <f t="shared" ref="AC73" ca="1" si="245">MIN(IF($B74,AC72+IF(ISNUMBER(AB73),AB73,0),AC74/$N72),1)</f>
        <v>0</v>
      </c>
    </row>
    <row r="74" spans="1:29" customFormat="1" ht="13.8" x14ac:dyDescent="0.25">
      <c r="A74" s="11">
        <f ca="1">OFFSET(A74,-CFF.NumLinha,0)+1</f>
        <v>19</v>
      </c>
      <c r="B74" s="11" t="b">
        <f ca="1">$C74&gt;=OFFSET($C74,CFF.NumLinha,0)</f>
        <v>1</v>
      </c>
      <c r="C74" s="11">
        <f ca="1">INDEX(PO!A$12:A$603,MATCH($A74,PO!$V$12:$V$603,0))</f>
        <v>2</v>
      </c>
      <c r="D74" s="11">
        <f t="shared" ref="D74" ca="1" si="246">IF(ISERROR(J74),I74,SMALL(I74:J74,1))-1</f>
        <v>2</v>
      </c>
      <c r="E74" s="11">
        <f ca="1">IF($C74=1,OFFSET(E74,-CFF.NumLinha,0)+1,OFFSET(E74,-CFF.NumLinha,0))</f>
        <v>4</v>
      </c>
      <c r="F74" s="11">
        <f ca="1">IF($C74=1,0,IF($C74=2,OFFSET(F74,-CFF.NumLinha,0)+1,OFFSET(F74,-CFF.NumLinha,0)))</f>
        <v>7</v>
      </c>
      <c r="G74" s="11">
        <f ca="1">IF(AND($C74&lt;=2,$C74&lt;&gt;0),0,IF($C74=3,OFFSET(G74,-CFF.NumLinha,0)+1,OFFSET(G74,-CFF.NumLinha,0)))</f>
        <v>0</v>
      </c>
      <c r="H74" s="11">
        <f ca="1">IF(AND($C74&lt;=3,$C74&lt;&gt;0),0,IF($C74=4,OFFSET(H74,-CFF.NumLinha,0)+1,OFFSET(H74,-CFF.NumLinha,0)))</f>
        <v>0</v>
      </c>
      <c r="I74" s="11">
        <f ca="1">MATCH(0,OFFSET($D74,1,$C74,ROW($A$303)-ROW($A74)),0)</f>
        <v>3</v>
      </c>
      <c r="J74" s="11">
        <f ca="1">MATCH(OFFSET($D74,0,$C74)+1,OFFSET($D74,1,$C74,ROW($A$303)-ROW($A74)),0)</f>
        <v>213</v>
      </c>
      <c r="K74" s="156">
        <f ca="1">ROUND(INDEX(PO!T$12:T$603,MATCH($A74,PO!$V$12:$V$603,0)),2)+10^-12</f>
        <v>9.9999999999999998E-13</v>
      </c>
      <c r="L74" s="344"/>
      <c r="M74" s="338"/>
      <c r="N74" s="336"/>
      <c r="O74" s="171" t="s">
        <v>20</v>
      </c>
      <c r="P74" s="166">
        <f t="shared" ref="P74:W74" ca="1" si="247">IF($B74,ROUND(P73*$N72,2),ROUND(SUMIF(OFFSET($B74,1,0,$D74),TRUE,OFFSET(P74,1,0,$D74))/SUMIF(OFFSET($B74,1,0,$D74),TRUE,OFFSET($K74,1,0,$D74))*$N72,2))</f>
        <v>0</v>
      </c>
      <c r="Q74" s="144">
        <f t="shared" ca="1" si="247"/>
        <v>0</v>
      </c>
      <c r="R74" s="144">
        <f t="shared" ca="1" si="247"/>
        <v>0</v>
      </c>
      <c r="S74" s="144">
        <f t="shared" ca="1" si="247"/>
        <v>0</v>
      </c>
      <c r="T74" s="144">
        <f t="shared" ca="1" si="247"/>
        <v>0</v>
      </c>
      <c r="U74" s="144">
        <f t="shared" ca="1" si="247"/>
        <v>0</v>
      </c>
      <c r="V74" s="144">
        <f t="shared" ca="1" si="247"/>
        <v>0</v>
      </c>
      <c r="W74" s="174">
        <f t="shared" ca="1" si="247"/>
        <v>0</v>
      </c>
      <c r="X74" s="163"/>
      <c r="AC74" s="144">
        <f t="shared" ref="AC74" ca="1" si="248">IF($B74,ROUND(AC73*$N72,2),ROUND(SUMIF(OFFSET($B74,1,0,$D74),TRUE,OFFSET(AC74,1,0,$D74))/SUMIF(OFFSET($B74,1,0,$D74),TRUE,OFFSET($K74,1,0,$D74))*$N72,2))</f>
        <v>0</v>
      </c>
    </row>
    <row r="75" spans="1:29" customFormat="1" ht="14.25" customHeight="1" x14ac:dyDescent="0.25">
      <c r="A75" s="1"/>
      <c r="B75" s="1"/>
      <c r="C75" s="1"/>
      <c r="D75" s="1"/>
      <c r="E75" s="1"/>
      <c r="F75" s="1"/>
      <c r="G75" s="1"/>
      <c r="H75" s="1"/>
      <c r="I75" s="1"/>
      <c r="J75" s="1"/>
      <c r="K75" s="1"/>
      <c r="L75" s="343" t="str">
        <f ca="1">INDEX(PO!K$12:K$603,MATCH($A77,PO!$V$12:$V$603,0))</f>
        <v>5.</v>
      </c>
      <c r="M75" s="337" t="str">
        <f ca="1">INDEX(PO!N$12:N$603,MATCH($A77,PO!$V$12:$V$603,0))</f>
        <v>SISTEMA DE VEDAÇÃO VERTICAL</v>
      </c>
      <c r="N75" s="335">
        <f t="shared" ref="N75" ca="1" si="249">IF(ROUND(K77,2)=0,K77,ROUND(K77,2))</f>
        <v>9.9999999999999998E-13</v>
      </c>
      <c r="O75" s="187" t="s">
        <v>143</v>
      </c>
      <c r="P75" s="192"/>
      <c r="Q75" s="193"/>
      <c r="R75" s="193">
        <v>0.1</v>
      </c>
      <c r="S75" s="193">
        <v>0.1</v>
      </c>
      <c r="T75" s="193">
        <v>0.1</v>
      </c>
      <c r="U75" s="193">
        <v>0.1</v>
      </c>
      <c r="V75" s="193">
        <v>0.6</v>
      </c>
      <c r="W75" s="194"/>
      <c r="X75" s="163"/>
      <c r="AC75" s="188">
        <f t="shared" ref="AC75" ca="1" si="250">IF($B77,0,AC76-IF(ISNUMBER(AB76),AB76,0))</f>
        <v>0</v>
      </c>
    </row>
    <row r="76" spans="1:29" customFormat="1" ht="13.8" x14ac:dyDescent="0.25">
      <c r="A76" s="11"/>
      <c r="B76" s="11"/>
      <c r="C76" s="11"/>
      <c r="D76" s="11"/>
      <c r="E76" s="11"/>
      <c r="F76" s="11"/>
      <c r="G76" s="11"/>
      <c r="H76" s="11"/>
      <c r="I76" s="11"/>
      <c r="J76" s="11"/>
      <c r="K76" s="11"/>
      <c r="L76" s="344"/>
      <c r="M76" s="338"/>
      <c r="N76" s="336"/>
      <c r="O76" s="145" t="s">
        <v>145</v>
      </c>
      <c r="P76" s="165">
        <f t="shared" ref="P76" ca="1" si="251">MIN(IF($B77,P75+IF(ISNUMBER(O76),O76,0),P77/$N75),1)</f>
        <v>0</v>
      </c>
      <c r="Q76" s="143">
        <f t="shared" ref="Q76" ca="1" si="252">MIN(IF($B77,Q75+IF(ISNUMBER(P76),P76,0),Q77/$N75),1)</f>
        <v>0</v>
      </c>
      <c r="R76" s="143">
        <f t="shared" ref="R76" ca="1" si="253">MIN(IF($B77,R75+IF(ISNUMBER(Q76),Q76,0),R77/$N75),1)</f>
        <v>0</v>
      </c>
      <c r="S76" s="143">
        <f t="shared" ref="S76" ca="1" si="254">MIN(IF($B77,S75+IF(ISNUMBER(R76),R76,0),S77/$N75),1)</f>
        <v>0</v>
      </c>
      <c r="T76" s="143">
        <f t="shared" ref="T76" ca="1" si="255">MIN(IF($B77,T75+IF(ISNUMBER(S76),S76,0),T77/$N75),1)</f>
        <v>0</v>
      </c>
      <c r="U76" s="143">
        <f t="shared" ref="U76" ca="1" si="256">MIN(IF($B77,U75+IF(ISNUMBER(T76),T76,0),U77/$N75),1)</f>
        <v>0</v>
      </c>
      <c r="V76" s="143">
        <f t="shared" ref="V76" ca="1" si="257">MIN(IF($B77,V75+IF(ISNUMBER(U76),U76,0),V77/$N75),1)</f>
        <v>0</v>
      </c>
      <c r="W76" s="143">
        <f t="shared" ref="W76" ca="1" si="258">MIN(IF($B77,W75+IF(ISNUMBER(V76),V76,0),W77/$N75),1)</f>
        <v>0</v>
      </c>
      <c r="X76" s="163"/>
      <c r="AC76" s="143">
        <f t="shared" ref="AC76" ca="1" si="259">MIN(IF($B77,AC75+IF(ISNUMBER(AB76),AB76,0),AC77/$N75),1)</f>
        <v>0</v>
      </c>
    </row>
    <row r="77" spans="1:29" customFormat="1" ht="13.8" x14ac:dyDescent="0.25">
      <c r="A77" s="11">
        <f ca="1">OFFSET(A77,-CFF.NumLinha,0)+1</f>
        <v>20</v>
      </c>
      <c r="B77" s="11" t="b">
        <f ca="1">$C77&gt;=OFFSET($C77,CFF.NumLinha,0)</f>
        <v>0</v>
      </c>
      <c r="C77" s="11">
        <f ca="1">INDEX(PO!A$12:A$603,MATCH($A77,PO!$V$12:$V$603,0))</f>
        <v>1</v>
      </c>
      <c r="D77" s="11">
        <f t="shared" ref="D77" ca="1" si="260">IF(ISERROR(J77),I77,SMALL(I77:J77,1))-1</f>
        <v>14</v>
      </c>
      <c r="E77" s="11">
        <f ca="1">IF($C77=1,OFFSET(E77,-CFF.NumLinha,0)+1,OFFSET(E77,-CFF.NumLinha,0))</f>
        <v>5</v>
      </c>
      <c r="F77" s="11">
        <f ca="1">IF($C77=1,0,IF($C77=2,OFFSET(F77,-CFF.NumLinha,0)+1,OFFSET(F77,-CFF.NumLinha,0)))</f>
        <v>0</v>
      </c>
      <c r="G77" s="11">
        <f ca="1">IF(AND($C77&lt;=2,$C77&lt;&gt;0),0,IF($C77=3,OFFSET(G77,-CFF.NumLinha,0)+1,OFFSET(G77,-CFF.NumLinha,0)))</f>
        <v>0</v>
      </c>
      <c r="H77" s="11">
        <f ca="1">IF(AND($C77&lt;=3,$C77&lt;&gt;0),0,IF($C77=4,OFFSET(H77,-CFF.NumLinha,0)+1,OFFSET(H77,-CFF.NumLinha,0)))</f>
        <v>0</v>
      </c>
      <c r="I77" s="11">
        <f ca="1">MATCH(0,OFFSET($D77,1,$C77,ROW($A$303)-ROW($A77)),0)</f>
        <v>226</v>
      </c>
      <c r="J77" s="11">
        <f ca="1">MATCH(OFFSET($D77,0,$C77)+1,OFFSET($D77,1,$C77,ROW($A$303)-ROW($A77)),0)</f>
        <v>15</v>
      </c>
      <c r="K77" s="156">
        <f ca="1">ROUND(INDEX(PO!T$12:T$603,MATCH($A77,PO!$V$12:$V$603,0)),2)+10^-12</f>
        <v>9.9999999999999998E-13</v>
      </c>
      <c r="L77" s="344"/>
      <c r="M77" s="338"/>
      <c r="N77" s="336"/>
      <c r="O77" s="171" t="s">
        <v>20</v>
      </c>
      <c r="P77" s="166">
        <f t="shared" ref="P77:W77" ca="1" si="261">IF($B77,ROUND(P76*$N75,2),ROUND(SUMIF(OFFSET($B77,1,0,$D77),TRUE,OFFSET(P77,1,0,$D77))/SUMIF(OFFSET($B77,1,0,$D77),TRUE,OFFSET($K77,1,0,$D77))*$N75,2))</f>
        <v>0</v>
      </c>
      <c r="Q77" s="144">
        <f t="shared" ca="1" si="261"/>
        <v>0</v>
      </c>
      <c r="R77" s="144">
        <f t="shared" ca="1" si="261"/>
        <v>0</v>
      </c>
      <c r="S77" s="144">
        <f t="shared" ca="1" si="261"/>
        <v>0</v>
      </c>
      <c r="T77" s="144">
        <f t="shared" ca="1" si="261"/>
        <v>0</v>
      </c>
      <c r="U77" s="144">
        <f t="shared" ca="1" si="261"/>
        <v>0</v>
      </c>
      <c r="V77" s="144">
        <f t="shared" ca="1" si="261"/>
        <v>0</v>
      </c>
      <c r="W77" s="174">
        <f t="shared" ca="1" si="261"/>
        <v>0</v>
      </c>
      <c r="X77" s="163"/>
      <c r="AC77" s="144">
        <f t="shared" ref="AC77" ca="1" si="262">IF($B77,ROUND(AC76*$N75,2),ROUND(SUMIF(OFFSET($B77,1,0,$D77),TRUE,OFFSET(AC77,1,0,$D77))/SUMIF(OFFSET($B77,1,0,$D77),TRUE,OFFSET($K77,1,0,$D77))*$N75,2))</f>
        <v>0</v>
      </c>
    </row>
    <row r="78" spans="1:29" customFormat="1" ht="14.25" customHeight="1" x14ac:dyDescent="0.25">
      <c r="A78" s="1"/>
      <c r="B78" s="1"/>
      <c r="C78" s="1"/>
      <c r="D78" s="1"/>
      <c r="E78" s="1"/>
      <c r="F78" s="1"/>
      <c r="G78" s="1"/>
      <c r="H78" s="1"/>
      <c r="I78" s="1"/>
      <c r="J78" s="1"/>
      <c r="K78" s="1"/>
      <c r="L78" s="343" t="str">
        <f ca="1">INDEX(PO!K$12:K$603,MATCH($A80,PO!$V$12:$V$603,0))</f>
        <v>5.1.</v>
      </c>
      <c r="M78" s="337" t="str">
        <f ca="1">INDEX(PO!N$12:N$603,MATCH($A80,PO!$V$12:$V$603,0))</f>
        <v>ELEMENTOS VAZADOS</v>
      </c>
      <c r="N78" s="335">
        <f t="shared" ref="N78" ca="1" si="263">IF(ROUND(K80,2)=0,K80,ROUND(K80,2))</f>
        <v>9.9999999999999998E-13</v>
      </c>
      <c r="O78" s="187" t="s">
        <v>143</v>
      </c>
      <c r="P78" s="192"/>
      <c r="Q78" s="193"/>
      <c r="R78" s="193"/>
      <c r="S78" s="193">
        <v>0.5</v>
      </c>
      <c r="T78" s="193"/>
      <c r="U78" s="193"/>
      <c r="V78" s="193"/>
      <c r="W78" s="194">
        <v>0.5</v>
      </c>
      <c r="X78" s="163"/>
      <c r="AC78" s="188">
        <f t="shared" ref="AC78" ca="1" si="264">IF($B80,0,AC79-IF(ISNUMBER(AB79),AB79,0))</f>
        <v>0</v>
      </c>
    </row>
    <row r="79" spans="1:29" customFormat="1" ht="13.8" x14ac:dyDescent="0.25">
      <c r="A79" s="11"/>
      <c r="B79" s="11"/>
      <c r="C79" s="11"/>
      <c r="D79" s="11"/>
      <c r="E79" s="11"/>
      <c r="F79" s="11"/>
      <c r="G79" s="11"/>
      <c r="H79" s="11"/>
      <c r="I79" s="11"/>
      <c r="J79" s="11"/>
      <c r="K79" s="11"/>
      <c r="L79" s="344"/>
      <c r="M79" s="338"/>
      <c r="N79" s="336"/>
      <c r="O79" s="145" t="s">
        <v>145</v>
      </c>
      <c r="P79" s="165">
        <f t="shared" ref="P79" ca="1" si="265">MIN(IF($B80,P78+IF(ISNUMBER(O79),O79,0),P80/$N78),1)</f>
        <v>0</v>
      </c>
      <c r="Q79" s="143">
        <f t="shared" ref="Q79" ca="1" si="266">MIN(IF($B80,Q78+IF(ISNUMBER(P79),P79,0),Q80/$N78),1)</f>
        <v>0</v>
      </c>
      <c r="R79" s="143">
        <f t="shared" ref="R79" ca="1" si="267">MIN(IF($B80,R78+IF(ISNUMBER(Q79),Q79,0),R80/$N78),1)</f>
        <v>0</v>
      </c>
      <c r="S79" s="143">
        <f t="shared" ref="S79" ca="1" si="268">MIN(IF($B80,S78+IF(ISNUMBER(R79),R79,0),S80/$N78),1)</f>
        <v>0.5</v>
      </c>
      <c r="T79" s="143">
        <f t="shared" ref="T79" ca="1" si="269">MIN(IF($B80,T78+IF(ISNUMBER(S79),S79,0),T80/$N78),1)</f>
        <v>0.5</v>
      </c>
      <c r="U79" s="143">
        <f t="shared" ref="U79" ca="1" si="270">MIN(IF($B80,U78+IF(ISNUMBER(T79),T79,0),U80/$N78),1)</f>
        <v>0.5</v>
      </c>
      <c r="V79" s="143">
        <f t="shared" ref="V79" ca="1" si="271">MIN(IF($B80,V78+IF(ISNUMBER(U79),U79,0),V80/$N78),1)</f>
        <v>0.5</v>
      </c>
      <c r="W79" s="143">
        <f t="shared" ref="W79" ca="1" si="272">MIN(IF($B80,W78+IF(ISNUMBER(V79),V79,0),W80/$N78),1)</f>
        <v>1</v>
      </c>
      <c r="X79" s="163"/>
      <c r="AC79" s="143">
        <f t="shared" ref="AC79" ca="1" si="273">MIN(IF($B80,AC78+IF(ISNUMBER(AB79),AB79,0),AC80/$N78),1)</f>
        <v>0</v>
      </c>
    </row>
    <row r="80" spans="1:29" customFormat="1" ht="13.8" x14ac:dyDescent="0.25">
      <c r="A80" s="11">
        <f ca="1">OFFSET(A80,-CFF.NumLinha,0)+1</f>
        <v>21</v>
      </c>
      <c r="B80" s="11" t="b">
        <f ca="1">$C80&gt;=OFFSET($C80,CFF.NumLinha,0)</f>
        <v>1</v>
      </c>
      <c r="C80" s="11">
        <f ca="1">INDEX(PO!A$12:A$603,MATCH($A80,PO!$V$12:$V$603,0))</f>
        <v>2</v>
      </c>
      <c r="D80" s="11">
        <f t="shared" ref="D80" ca="1" si="274">IF(ISERROR(J80),I80,SMALL(I80:J80,1))-1</f>
        <v>2</v>
      </c>
      <c r="E80" s="11">
        <f ca="1">IF($C80=1,OFFSET(E80,-CFF.NumLinha,0)+1,OFFSET(E80,-CFF.NumLinha,0))</f>
        <v>5</v>
      </c>
      <c r="F80" s="11">
        <f ca="1">IF($C80=1,0,IF($C80=2,OFFSET(F80,-CFF.NumLinha,0)+1,OFFSET(F80,-CFF.NumLinha,0)))</f>
        <v>1</v>
      </c>
      <c r="G80" s="11">
        <f ca="1">IF(AND($C80&lt;=2,$C80&lt;&gt;0),0,IF($C80=3,OFFSET(G80,-CFF.NumLinha,0)+1,OFFSET(G80,-CFF.NumLinha,0)))</f>
        <v>0</v>
      </c>
      <c r="H80" s="11">
        <f ca="1">IF(AND($C80&lt;=3,$C80&lt;&gt;0),0,IF($C80=4,OFFSET(H80,-CFF.NumLinha,0)+1,OFFSET(H80,-CFF.NumLinha,0)))</f>
        <v>0</v>
      </c>
      <c r="I80" s="11">
        <f ca="1">MATCH(0,OFFSET($D80,1,$C80,ROW($A$303)-ROW($A80)),0)</f>
        <v>12</v>
      </c>
      <c r="J80" s="11">
        <f ca="1">MATCH(OFFSET($D80,0,$C80)+1,OFFSET($D80,1,$C80,ROW($A$303)-ROW($A80)),0)</f>
        <v>3</v>
      </c>
      <c r="K80" s="156">
        <f ca="1">ROUND(INDEX(PO!T$12:T$603,MATCH($A80,PO!$V$12:$V$603,0)),2)+10^-12</f>
        <v>9.9999999999999998E-13</v>
      </c>
      <c r="L80" s="344"/>
      <c r="M80" s="338"/>
      <c r="N80" s="336"/>
      <c r="O80" s="171" t="s">
        <v>20</v>
      </c>
      <c r="P80" s="166">
        <f t="shared" ref="P80:W80" ca="1" si="275">IF($B80,ROUND(P79*$N78,2),ROUND(SUMIF(OFFSET($B80,1,0,$D80),TRUE,OFFSET(P80,1,0,$D80))/SUMIF(OFFSET($B80,1,0,$D80),TRUE,OFFSET($K80,1,0,$D80))*$N78,2))</f>
        <v>0</v>
      </c>
      <c r="Q80" s="144">
        <f t="shared" ca="1" si="275"/>
        <v>0</v>
      </c>
      <c r="R80" s="144">
        <f t="shared" ca="1" si="275"/>
        <v>0</v>
      </c>
      <c r="S80" s="144">
        <f t="shared" ca="1" si="275"/>
        <v>0</v>
      </c>
      <c r="T80" s="144">
        <f t="shared" ca="1" si="275"/>
        <v>0</v>
      </c>
      <c r="U80" s="144">
        <f t="shared" ca="1" si="275"/>
        <v>0</v>
      </c>
      <c r="V80" s="144">
        <f t="shared" ca="1" si="275"/>
        <v>0</v>
      </c>
      <c r="W80" s="174">
        <f t="shared" ca="1" si="275"/>
        <v>0</v>
      </c>
      <c r="X80" s="163"/>
      <c r="AC80" s="144">
        <f t="shared" ref="AC80" ca="1" si="276">IF($B80,ROUND(AC79*$N78,2),ROUND(SUMIF(OFFSET($B80,1,0,$D80),TRUE,OFFSET(AC80,1,0,$D80))/SUMIF(OFFSET($B80,1,0,$D80),TRUE,OFFSET($K80,1,0,$D80))*$N78,2))</f>
        <v>0</v>
      </c>
    </row>
    <row r="81" spans="1:29" customFormat="1" ht="14.25" customHeight="1" x14ac:dyDescent="0.25">
      <c r="A81" s="1"/>
      <c r="B81" s="1"/>
      <c r="C81" s="1"/>
      <c r="D81" s="1"/>
      <c r="E81" s="1"/>
      <c r="F81" s="1"/>
      <c r="G81" s="1"/>
      <c r="H81" s="1"/>
      <c r="I81" s="1"/>
      <c r="J81" s="1"/>
      <c r="K81" s="1"/>
      <c r="L81" s="343" t="str">
        <f ca="1">INDEX(PO!K$12:K$603,MATCH($A83,PO!$V$12:$V$603,0))</f>
        <v>5.2.</v>
      </c>
      <c r="M81" s="337" t="str">
        <f ca="1">INDEX(PO!N$12:N$603,MATCH($A83,PO!$V$12:$V$603,0))</f>
        <v xml:space="preserve">ALVENARIA DE VEDAÇÃO </v>
      </c>
      <c r="N81" s="335">
        <f t="shared" ref="N81" ca="1" si="277">IF(ROUND(K83,2)=0,K83,ROUND(K83,2))</f>
        <v>9.9999999999999998E-13</v>
      </c>
      <c r="O81" s="187" t="s">
        <v>143</v>
      </c>
      <c r="P81" s="192"/>
      <c r="Q81" s="193">
        <v>0.1</v>
      </c>
      <c r="R81" s="193">
        <v>0.1</v>
      </c>
      <c r="S81" s="193">
        <v>0.1</v>
      </c>
      <c r="T81" s="193">
        <v>0.1</v>
      </c>
      <c r="U81" s="193">
        <v>0.1</v>
      </c>
      <c r="V81" s="193">
        <v>0.4</v>
      </c>
      <c r="W81" s="194">
        <v>0.1</v>
      </c>
      <c r="X81" s="163"/>
      <c r="AC81" s="188">
        <f t="shared" ref="AC81" ca="1" si="278">IF($B83,0,AC82-IF(ISNUMBER(AB82),AB82,0))</f>
        <v>0</v>
      </c>
    </row>
    <row r="82" spans="1:29" customFormat="1" ht="13.8" x14ac:dyDescent="0.25">
      <c r="A82" s="11"/>
      <c r="B82" s="11"/>
      <c r="C82" s="11"/>
      <c r="D82" s="11"/>
      <c r="E82" s="11"/>
      <c r="F82" s="11"/>
      <c r="G82" s="11"/>
      <c r="H82" s="11"/>
      <c r="I82" s="11"/>
      <c r="J82" s="11"/>
      <c r="K82" s="11"/>
      <c r="L82" s="344"/>
      <c r="M82" s="338"/>
      <c r="N82" s="336"/>
      <c r="O82" s="145" t="s">
        <v>145</v>
      </c>
      <c r="P82" s="165">
        <f t="shared" ref="P82" ca="1" si="279">MIN(IF($B83,P81+IF(ISNUMBER(O82),O82,0),P83/$N81),1)</f>
        <v>0</v>
      </c>
      <c r="Q82" s="143">
        <f t="shared" ref="Q82" ca="1" si="280">MIN(IF($B83,Q81+IF(ISNUMBER(P82),P82,0),Q83/$N81),1)</f>
        <v>0.1</v>
      </c>
      <c r="R82" s="143">
        <f t="shared" ref="R82" ca="1" si="281">MIN(IF($B83,R81+IF(ISNUMBER(Q82),Q82,0),R83/$N81),1)</f>
        <v>0.2</v>
      </c>
      <c r="S82" s="143">
        <f t="shared" ref="S82" ca="1" si="282">MIN(IF($B83,S81+IF(ISNUMBER(R82),R82,0),S83/$N81),1)</f>
        <v>0.30000000000000004</v>
      </c>
      <c r="T82" s="143">
        <f t="shared" ref="T82" ca="1" si="283">MIN(IF($B83,T81+IF(ISNUMBER(S82),S82,0),T83/$N81),1)</f>
        <v>0.4</v>
      </c>
      <c r="U82" s="143">
        <f t="shared" ref="U82" ca="1" si="284">MIN(IF($B83,U81+IF(ISNUMBER(T82),T82,0),U83/$N81),1)</f>
        <v>0.5</v>
      </c>
      <c r="V82" s="143">
        <f t="shared" ref="V82" ca="1" si="285">MIN(IF($B83,V81+IF(ISNUMBER(U82),U82,0),V83/$N81),1)</f>
        <v>0.9</v>
      </c>
      <c r="W82" s="143">
        <f t="shared" ref="W82" ca="1" si="286">MIN(IF($B83,W81+IF(ISNUMBER(V82),V82,0),W83/$N81),1)</f>
        <v>1</v>
      </c>
      <c r="X82" s="163"/>
      <c r="AC82" s="143">
        <f t="shared" ref="AC82" ca="1" si="287">MIN(IF($B83,AC81+IF(ISNUMBER(AB82),AB82,0),AC83/$N81),1)</f>
        <v>0</v>
      </c>
    </row>
    <row r="83" spans="1:29" customFormat="1" ht="13.8" x14ac:dyDescent="0.25">
      <c r="A83" s="11">
        <f ca="1">OFFSET(A83,-CFF.NumLinha,0)+1</f>
        <v>22</v>
      </c>
      <c r="B83" s="11" t="b">
        <f ca="1">$C83&gt;=OFFSET($C83,CFF.NumLinha,0)</f>
        <v>1</v>
      </c>
      <c r="C83" s="11">
        <f ca="1">INDEX(PO!A$12:A$603,MATCH($A83,PO!$V$12:$V$603,0))</f>
        <v>2</v>
      </c>
      <c r="D83" s="11">
        <f t="shared" ref="D83" ca="1" si="288">IF(ISERROR(J83),I83,SMALL(I83:J83,1))-1</f>
        <v>2</v>
      </c>
      <c r="E83" s="11">
        <f ca="1">IF($C83=1,OFFSET(E83,-CFF.NumLinha,0)+1,OFFSET(E83,-CFF.NumLinha,0))</f>
        <v>5</v>
      </c>
      <c r="F83" s="11">
        <f ca="1">IF($C83=1,0,IF($C83=2,OFFSET(F83,-CFF.NumLinha,0)+1,OFFSET(F83,-CFF.NumLinha,0)))</f>
        <v>2</v>
      </c>
      <c r="G83" s="11">
        <f ca="1">IF(AND($C83&lt;=2,$C83&lt;&gt;0),0,IF($C83=3,OFFSET(G83,-CFF.NumLinha,0)+1,OFFSET(G83,-CFF.NumLinha,0)))</f>
        <v>0</v>
      </c>
      <c r="H83" s="11">
        <f ca="1">IF(AND($C83&lt;=3,$C83&lt;&gt;0),0,IF($C83=4,OFFSET(H83,-CFF.NumLinha,0)+1,OFFSET(H83,-CFF.NumLinha,0)))</f>
        <v>0</v>
      </c>
      <c r="I83" s="11">
        <f ca="1">MATCH(0,OFFSET($D83,1,$C83,ROW($A$303)-ROW($A83)),0)</f>
        <v>9</v>
      </c>
      <c r="J83" s="11">
        <f ca="1">MATCH(OFFSET($D83,0,$C83)+1,OFFSET($D83,1,$C83,ROW($A$303)-ROW($A83)),0)</f>
        <v>3</v>
      </c>
      <c r="K83" s="156">
        <f ca="1">ROUND(INDEX(PO!T$12:T$603,MATCH($A83,PO!$V$12:$V$603,0)),2)+10^-12</f>
        <v>9.9999999999999998E-13</v>
      </c>
      <c r="L83" s="344"/>
      <c r="M83" s="338"/>
      <c r="N83" s="336"/>
      <c r="O83" s="171" t="s">
        <v>20</v>
      </c>
      <c r="P83" s="166">
        <f t="shared" ref="P83:W83" ca="1" si="289">IF($B83,ROUND(P82*$N81,2),ROUND(SUMIF(OFFSET($B83,1,0,$D83),TRUE,OFFSET(P83,1,0,$D83))/SUMIF(OFFSET($B83,1,0,$D83),TRUE,OFFSET($K83,1,0,$D83))*$N81,2))</f>
        <v>0</v>
      </c>
      <c r="Q83" s="144">
        <f t="shared" ca="1" si="289"/>
        <v>0</v>
      </c>
      <c r="R83" s="144">
        <f t="shared" ca="1" si="289"/>
        <v>0</v>
      </c>
      <c r="S83" s="144">
        <f t="shared" ca="1" si="289"/>
        <v>0</v>
      </c>
      <c r="T83" s="144">
        <f t="shared" ca="1" si="289"/>
        <v>0</v>
      </c>
      <c r="U83" s="144">
        <f t="shared" ca="1" si="289"/>
        <v>0</v>
      </c>
      <c r="V83" s="144">
        <f t="shared" ca="1" si="289"/>
        <v>0</v>
      </c>
      <c r="W83" s="174">
        <f t="shared" ca="1" si="289"/>
        <v>0</v>
      </c>
      <c r="X83" s="163"/>
      <c r="AC83" s="144">
        <f t="shared" ref="AC83" ca="1" si="290">IF($B83,ROUND(AC82*$N81,2),ROUND(SUMIF(OFFSET($B83,1,0,$D83),TRUE,OFFSET(AC83,1,0,$D83))/SUMIF(OFFSET($B83,1,0,$D83),TRUE,OFFSET($K83,1,0,$D83))*$N81,2))</f>
        <v>0</v>
      </c>
    </row>
    <row r="84" spans="1:29" customFormat="1" ht="14.25" customHeight="1" x14ac:dyDescent="0.25">
      <c r="A84" s="1"/>
      <c r="B84" s="1"/>
      <c r="C84" s="1"/>
      <c r="D84" s="1"/>
      <c r="E84" s="1"/>
      <c r="F84" s="1"/>
      <c r="G84" s="1"/>
      <c r="H84" s="1"/>
      <c r="I84" s="1"/>
      <c r="J84" s="1"/>
      <c r="K84" s="1"/>
      <c r="L84" s="343" t="str">
        <f ca="1">INDEX(PO!K$12:K$603,MATCH($A86,PO!$V$12:$V$603,0))</f>
        <v>5.3.</v>
      </c>
      <c r="M84" s="337" t="str">
        <f ca="1">INDEX(PO!N$12:N$603,MATCH($A86,PO!$V$12:$V$603,0))</f>
        <v>ALVENARIA DA MURETA</v>
      </c>
      <c r="N84" s="335">
        <f t="shared" ref="N84" ca="1" si="291">IF(ROUND(K86,2)=0,K86,ROUND(K86,2))</f>
        <v>9.9999999999999998E-13</v>
      </c>
      <c r="O84" s="187" t="s">
        <v>143</v>
      </c>
      <c r="P84" s="192"/>
      <c r="Q84" s="193"/>
      <c r="R84" s="193"/>
      <c r="S84" s="193"/>
      <c r="T84" s="193"/>
      <c r="U84" s="193"/>
      <c r="V84" s="193">
        <v>0.5</v>
      </c>
      <c r="W84" s="194">
        <v>0.5</v>
      </c>
      <c r="X84" s="163"/>
      <c r="AC84" s="188">
        <f t="shared" ref="AC84" ca="1" si="292">IF($B86,0,AC85-IF(ISNUMBER(AB85),AB85,0))</f>
        <v>0</v>
      </c>
    </row>
    <row r="85" spans="1:29" customFormat="1" ht="13.8" x14ac:dyDescent="0.25">
      <c r="A85" s="11"/>
      <c r="B85" s="11"/>
      <c r="C85" s="11"/>
      <c r="D85" s="11"/>
      <c r="E85" s="11"/>
      <c r="F85" s="11"/>
      <c r="G85" s="11"/>
      <c r="H85" s="11"/>
      <c r="I85" s="11"/>
      <c r="J85" s="11"/>
      <c r="K85" s="11"/>
      <c r="L85" s="344"/>
      <c r="M85" s="338"/>
      <c r="N85" s="336"/>
      <c r="O85" s="145" t="s">
        <v>145</v>
      </c>
      <c r="P85" s="165">
        <f t="shared" ref="P85" ca="1" si="293">MIN(IF($B86,P84+IF(ISNUMBER(O85),O85,0),P86/$N84),1)</f>
        <v>0</v>
      </c>
      <c r="Q85" s="143">
        <f t="shared" ref="Q85" ca="1" si="294">MIN(IF($B86,Q84+IF(ISNUMBER(P85),P85,0),Q86/$N84),1)</f>
        <v>0</v>
      </c>
      <c r="R85" s="143">
        <f t="shared" ref="R85" ca="1" si="295">MIN(IF($B86,R84+IF(ISNUMBER(Q85),Q85,0),R86/$N84),1)</f>
        <v>0</v>
      </c>
      <c r="S85" s="143">
        <f t="shared" ref="S85" ca="1" si="296">MIN(IF($B86,S84+IF(ISNUMBER(R85),R85,0),S86/$N84),1)</f>
        <v>0</v>
      </c>
      <c r="T85" s="143">
        <f t="shared" ref="T85" ca="1" si="297">MIN(IF($B86,T84+IF(ISNUMBER(S85),S85,0),T86/$N84),1)</f>
        <v>0</v>
      </c>
      <c r="U85" s="143">
        <f t="shared" ref="U85" ca="1" si="298">MIN(IF($B86,U84+IF(ISNUMBER(T85),T85,0),U86/$N84),1)</f>
        <v>0</v>
      </c>
      <c r="V85" s="143">
        <f t="shared" ref="V85" ca="1" si="299">MIN(IF($B86,V84+IF(ISNUMBER(U85),U85,0),V86/$N84),1)</f>
        <v>0.5</v>
      </c>
      <c r="W85" s="143">
        <f t="shared" ref="W85" ca="1" si="300">MIN(IF($B86,W84+IF(ISNUMBER(V85),V85,0),W86/$N84),1)</f>
        <v>1</v>
      </c>
      <c r="X85" s="163"/>
      <c r="AC85" s="143">
        <f t="shared" ref="AC85" ca="1" si="301">MIN(IF($B86,AC84+IF(ISNUMBER(AB85),AB85,0),AC86/$N84),1)</f>
        <v>0</v>
      </c>
    </row>
    <row r="86" spans="1:29" customFormat="1" ht="13.8" x14ac:dyDescent="0.25">
      <c r="A86" s="11">
        <f ca="1">OFFSET(A86,-CFF.NumLinha,0)+1</f>
        <v>23</v>
      </c>
      <c r="B86" s="11" t="b">
        <f ca="1">$C86&gt;=OFFSET($C86,CFF.NumLinha,0)</f>
        <v>1</v>
      </c>
      <c r="C86" s="11">
        <f ca="1">INDEX(PO!A$12:A$603,MATCH($A86,PO!$V$12:$V$603,0))</f>
        <v>2</v>
      </c>
      <c r="D86" s="11">
        <f t="shared" ref="D86" ca="1" si="302">IF(ISERROR(J86),I86,SMALL(I86:J86,1))-1</f>
        <v>2</v>
      </c>
      <c r="E86" s="11">
        <f ca="1">IF($C86=1,OFFSET(E86,-CFF.NumLinha,0)+1,OFFSET(E86,-CFF.NumLinha,0))</f>
        <v>5</v>
      </c>
      <c r="F86" s="11">
        <f ca="1">IF($C86=1,0,IF($C86=2,OFFSET(F86,-CFF.NumLinha,0)+1,OFFSET(F86,-CFF.NumLinha,0)))</f>
        <v>3</v>
      </c>
      <c r="G86" s="11">
        <f ca="1">IF(AND($C86&lt;=2,$C86&lt;&gt;0),0,IF($C86=3,OFFSET(G86,-CFF.NumLinha,0)+1,OFFSET(G86,-CFF.NumLinha,0)))</f>
        <v>0</v>
      </c>
      <c r="H86" s="11">
        <f ca="1">IF(AND($C86&lt;=3,$C86&lt;&gt;0),0,IF($C86=4,OFFSET(H86,-CFF.NumLinha,0)+1,OFFSET(H86,-CFF.NumLinha,0)))</f>
        <v>0</v>
      </c>
      <c r="I86" s="11">
        <f ca="1">MATCH(0,OFFSET($D86,1,$C86,ROW($A$303)-ROW($A86)),0)</f>
        <v>6</v>
      </c>
      <c r="J86" s="11">
        <f ca="1">MATCH(OFFSET($D86,0,$C86)+1,OFFSET($D86,1,$C86,ROW($A$303)-ROW($A86)),0)</f>
        <v>3</v>
      </c>
      <c r="K86" s="156">
        <f ca="1">ROUND(INDEX(PO!T$12:T$603,MATCH($A86,PO!$V$12:$V$603,0)),2)+10^-12</f>
        <v>9.9999999999999998E-13</v>
      </c>
      <c r="L86" s="344"/>
      <c r="M86" s="338"/>
      <c r="N86" s="336"/>
      <c r="O86" s="171" t="s">
        <v>20</v>
      </c>
      <c r="P86" s="166">
        <f t="shared" ref="P86:W86" ca="1" si="303">IF($B86,ROUND(P85*$N84,2),ROUND(SUMIF(OFFSET($B86,1,0,$D86),TRUE,OFFSET(P86,1,0,$D86))/SUMIF(OFFSET($B86,1,0,$D86),TRUE,OFFSET($K86,1,0,$D86))*$N84,2))</f>
        <v>0</v>
      </c>
      <c r="Q86" s="144">
        <f t="shared" ca="1" si="303"/>
        <v>0</v>
      </c>
      <c r="R86" s="144">
        <f t="shared" ca="1" si="303"/>
        <v>0</v>
      </c>
      <c r="S86" s="144">
        <f t="shared" ca="1" si="303"/>
        <v>0</v>
      </c>
      <c r="T86" s="144">
        <f t="shared" ca="1" si="303"/>
        <v>0</v>
      </c>
      <c r="U86" s="144">
        <f t="shared" ca="1" si="303"/>
        <v>0</v>
      </c>
      <c r="V86" s="144">
        <f t="shared" ca="1" si="303"/>
        <v>0</v>
      </c>
      <c r="W86" s="174">
        <f t="shared" ca="1" si="303"/>
        <v>0</v>
      </c>
      <c r="X86" s="163"/>
      <c r="AC86" s="144">
        <f t="shared" ref="AC86" ca="1" si="304">IF($B86,ROUND(AC85*$N84,2),ROUND(SUMIF(OFFSET($B86,1,0,$D86),TRUE,OFFSET(AC86,1,0,$D86))/SUMIF(OFFSET($B86,1,0,$D86),TRUE,OFFSET($K86,1,0,$D86))*$N84,2))</f>
        <v>0</v>
      </c>
    </row>
    <row r="87" spans="1:29" customFormat="1" ht="14.25" customHeight="1" x14ac:dyDescent="0.25">
      <c r="A87" s="1"/>
      <c r="B87" s="1"/>
      <c r="C87" s="1"/>
      <c r="D87" s="1"/>
      <c r="E87" s="1"/>
      <c r="F87" s="1"/>
      <c r="G87" s="1"/>
      <c r="H87" s="1"/>
      <c r="I87" s="1"/>
      <c r="J87" s="1"/>
      <c r="K87" s="1"/>
      <c r="L87" s="343" t="str">
        <f ca="1">INDEX(PO!K$12:K$603,MATCH($A89,PO!$V$12:$V$603,0))</f>
        <v>5.4.</v>
      </c>
      <c r="M87" s="337" t="str">
        <f ca="1">INDEX(PO!N$12:N$603,MATCH($A89,PO!$V$12:$V$603,0))</f>
        <v>DIVISÓRIAS</v>
      </c>
      <c r="N87" s="335">
        <f t="shared" ref="N87" ca="1" si="305">IF(ROUND(K89,2)=0,K89,ROUND(K89,2))</f>
        <v>9.9999999999999998E-13</v>
      </c>
      <c r="O87" s="187" t="s">
        <v>143</v>
      </c>
      <c r="P87" s="192"/>
      <c r="Q87" s="193"/>
      <c r="R87" s="193"/>
      <c r="S87" s="193"/>
      <c r="T87" s="193"/>
      <c r="U87" s="193">
        <v>0.5</v>
      </c>
      <c r="V87" s="193">
        <v>0.5</v>
      </c>
      <c r="W87" s="194">
        <v>1</v>
      </c>
      <c r="X87" s="163"/>
      <c r="AC87" s="188">
        <f t="shared" ref="AC87" ca="1" si="306">IF($B89,0,AC88-IF(ISNUMBER(AB88),AB88,0))</f>
        <v>0</v>
      </c>
    </row>
    <row r="88" spans="1:29" customFormat="1" ht="13.8" x14ac:dyDescent="0.25">
      <c r="A88" s="11"/>
      <c r="B88" s="11"/>
      <c r="C88" s="11"/>
      <c r="D88" s="11"/>
      <c r="E88" s="11"/>
      <c r="F88" s="11"/>
      <c r="G88" s="11"/>
      <c r="H88" s="11"/>
      <c r="I88" s="11"/>
      <c r="J88" s="11"/>
      <c r="K88" s="11"/>
      <c r="L88" s="344"/>
      <c r="M88" s="338"/>
      <c r="N88" s="336"/>
      <c r="O88" s="145" t="s">
        <v>145</v>
      </c>
      <c r="P88" s="165">
        <f t="shared" ref="P88" ca="1" si="307">MIN(IF($B89,P87+IF(ISNUMBER(O88),O88,0),P89/$N87),1)</f>
        <v>0</v>
      </c>
      <c r="Q88" s="143">
        <f t="shared" ref="Q88" ca="1" si="308">MIN(IF($B89,Q87+IF(ISNUMBER(P88),P88,0),Q89/$N87),1)</f>
        <v>0</v>
      </c>
      <c r="R88" s="143">
        <f t="shared" ref="R88" ca="1" si="309">MIN(IF($B89,R87+IF(ISNUMBER(Q88),Q88,0),R89/$N87),1)</f>
        <v>0</v>
      </c>
      <c r="S88" s="143">
        <f t="shared" ref="S88" ca="1" si="310">MIN(IF($B89,S87+IF(ISNUMBER(R88),R88,0),S89/$N87),1)</f>
        <v>0</v>
      </c>
      <c r="T88" s="143">
        <f t="shared" ref="T88" ca="1" si="311">MIN(IF($B89,T87+IF(ISNUMBER(S88),S88,0),T89/$N87),1)</f>
        <v>0</v>
      </c>
      <c r="U88" s="143">
        <f t="shared" ref="U88" ca="1" si="312">MIN(IF($B89,U87+IF(ISNUMBER(T88),T88,0),U89/$N87),1)</f>
        <v>0.5</v>
      </c>
      <c r="V88" s="143">
        <f t="shared" ref="V88" ca="1" si="313">MIN(IF($B89,V87+IF(ISNUMBER(U88),U88,0),V89/$N87),1)</f>
        <v>1</v>
      </c>
      <c r="W88" s="143">
        <f t="shared" ref="W88" ca="1" si="314">MIN(IF($B89,W87+IF(ISNUMBER(V88),V88,0),W89/$N87),1)</f>
        <v>1</v>
      </c>
      <c r="X88" s="163"/>
      <c r="AC88" s="143">
        <f t="shared" ref="AC88" ca="1" si="315">MIN(IF($B89,AC87+IF(ISNUMBER(AB88),AB88,0),AC89/$N87),1)</f>
        <v>0</v>
      </c>
    </row>
    <row r="89" spans="1:29" customFormat="1" ht="13.8" x14ac:dyDescent="0.25">
      <c r="A89" s="11">
        <f ca="1">OFFSET(A89,-CFF.NumLinha,0)+1</f>
        <v>24</v>
      </c>
      <c r="B89" s="11" t="b">
        <f ca="1">$C89&gt;=OFFSET($C89,CFF.NumLinha,0)</f>
        <v>1</v>
      </c>
      <c r="C89" s="11">
        <f ca="1">INDEX(PO!A$12:A$603,MATCH($A89,PO!$V$12:$V$603,0))</f>
        <v>2</v>
      </c>
      <c r="D89" s="11">
        <f t="shared" ref="D89" ca="1" si="316">IF(ISERROR(J89),I89,SMALL(I89:J89,1))-1</f>
        <v>2</v>
      </c>
      <c r="E89" s="11">
        <f ca="1">IF($C89=1,OFFSET(E89,-CFF.NumLinha,0)+1,OFFSET(E89,-CFF.NumLinha,0))</f>
        <v>5</v>
      </c>
      <c r="F89" s="11">
        <f ca="1">IF($C89=1,0,IF($C89=2,OFFSET(F89,-CFF.NumLinha,0)+1,OFFSET(F89,-CFF.NumLinha,0)))</f>
        <v>4</v>
      </c>
      <c r="G89" s="11">
        <f ca="1">IF(AND($C89&lt;=2,$C89&lt;&gt;0),0,IF($C89=3,OFFSET(G89,-CFF.NumLinha,0)+1,OFFSET(G89,-CFF.NumLinha,0)))</f>
        <v>0</v>
      </c>
      <c r="H89" s="11">
        <f ca="1">IF(AND($C89&lt;=3,$C89&lt;&gt;0),0,IF($C89=4,OFFSET(H89,-CFF.NumLinha,0)+1,OFFSET(H89,-CFF.NumLinha,0)))</f>
        <v>0</v>
      </c>
      <c r="I89" s="11">
        <f ca="1">MATCH(0,OFFSET($D89,1,$C89,ROW($A$303)-ROW($A89)),0)</f>
        <v>3</v>
      </c>
      <c r="J89" s="11">
        <f ca="1">MATCH(OFFSET($D89,0,$C89)+1,OFFSET($D89,1,$C89,ROW($A$303)-ROW($A89)),0)</f>
        <v>18</v>
      </c>
      <c r="K89" s="156">
        <f ca="1">ROUND(INDEX(PO!T$12:T$603,MATCH($A89,PO!$V$12:$V$603,0)),2)+10^-12</f>
        <v>9.9999999999999998E-13</v>
      </c>
      <c r="L89" s="344"/>
      <c r="M89" s="338"/>
      <c r="N89" s="336"/>
      <c r="O89" s="171" t="s">
        <v>20</v>
      </c>
      <c r="P89" s="166">
        <f t="shared" ref="P89:W89" ca="1" si="317">IF($B89,ROUND(P88*$N87,2),ROUND(SUMIF(OFFSET($B89,1,0,$D89),TRUE,OFFSET(P89,1,0,$D89))/SUMIF(OFFSET($B89,1,0,$D89),TRUE,OFFSET($K89,1,0,$D89))*$N87,2))</f>
        <v>0</v>
      </c>
      <c r="Q89" s="144">
        <f t="shared" ca="1" si="317"/>
        <v>0</v>
      </c>
      <c r="R89" s="144">
        <f t="shared" ca="1" si="317"/>
        <v>0</v>
      </c>
      <c r="S89" s="144">
        <f t="shared" ca="1" si="317"/>
        <v>0</v>
      </c>
      <c r="T89" s="144">
        <f t="shared" ca="1" si="317"/>
        <v>0</v>
      </c>
      <c r="U89" s="144">
        <f t="shared" ca="1" si="317"/>
        <v>0</v>
      </c>
      <c r="V89" s="144">
        <f t="shared" ca="1" si="317"/>
        <v>0</v>
      </c>
      <c r="W89" s="174">
        <f t="shared" ca="1" si="317"/>
        <v>0</v>
      </c>
      <c r="X89" s="163"/>
      <c r="AC89" s="144">
        <f t="shared" ref="AC89" ca="1" si="318">IF($B89,ROUND(AC88*$N87,2),ROUND(SUMIF(OFFSET($B89,1,0,$D89),TRUE,OFFSET(AC89,1,0,$D89))/SUMIF(OFFSET($B89,1,0,$D89),TRUE,OFFSET($K89,1,0,$D89))*$N87,2))</f>
        <v>0</v>
      </c>
    </row>
    <row r="90" spans="1:29" customFormat="1" ht="14.25" customHeight="1" x14ac:dyDescent="0.25">
      <c r="A90" s="1"/>
      <c r="B90" s="1"/>
      <c r="C90" s="1"/>
      <c r="D90" s="1"/>
      <c r="E90" s="1"/>
      <c r="F90" s="1"/>
      <c r="G90" s="1"/>
      <c r="H90" s="1"/>
      <c r="I90" s="1"/>
      <c r="J90" s="1"/>
      <c r="K90" s="1"/>
      <c r="L90" s="343" t="str">
        <f ca="1">INDEX(PO!K$12:K$603,MATCH($A92,PO!$V$12:$V$603,0))</f>
        <v>6.</v>
      </c>
      <c r="M90" s="337" t="str">
        <f ca="1">INDEX(PO!N$12:N$603,MATCH($A92,PO!$V$12:$V$603,0))</f>
        <v>ESQUADRIAS</v>
      </c>
      <c r="N90" s="335">
        <f t="shared" ref="N90" ca="1" si="319">IF(ROUND(K92,2)=0,K92,ROUND(K92,2))</f>
        <v>9.9999999999999998E-13</v>
      </c>
      <c r="O90" s="187" t="s">
        <v>143</v>
      </c>
      <c r="P90" s="192">
        <f t="shared" ref="P90" ca="1" si="320">IF($B92,0,P91-IF(ISNUMBER(O91),O91,0))</f>
        <v>0</v>
      </c>
      <c r="Q90" s="193">
        <f t="shared" ref="Q90" ca="1" si="321">IF($B92,0,Q91-IF(ISNUMBER(P91),P91,0))</f>
        <v>0</v>
      </c>
      <c r="R90" s="193">
        <f t="shared" ref="R90" ca="1" si="322">IF($B92,0,R91-IF(ISNUMBER(Q91),Q91,0))</f>
        <v>0</v>
      </c>
      <c r="S90" s="193">
        <f t="shared" ref="S90" ca="1" si="323">IF($B92,0,S91-IF(ISNUMBER(R91),R91,0))</f>
        <v>0</v>
      </c>
      <c r="T90" s="193">
        <f t="shared" ref="T90" ca="1" si="324">IF($B92,0,T91-IF(ISNUMBER(S91),S91,0))</f>
        <v>0</v>
      </c>
      <c r="U90" s="193">
        <f t="shared" ref="U90" ca="1" si="325">IF($B92,0,U91-IF(ISNUMBER(T91),T91,0))</f>
        <v>0</v>
      </c>
      <c r="V90" s="193">
        <f t="shared" ref="V90" ca="1" si="326">IF($B92,0,V91-IF(ISNUMBER(U91),U91,0))</f>
        <v>0</v>
      </c>
      <c r="W90" s="194">
        <f t="shared" ref="W90" ca="1" si="327">IF($B92,0,W91-IF(ISNUMBER(V91),V91,0))</f>
        <v>0</v>
      </c>
      <c r="X90" s="163"/>
      <c r="AC90" s="188">
        <f t="shared" ref="AC90" ca="1" si="328">IF($B92,0,AC91-IF(ISNUMBER(AB91),AB91,0))</f>
        <v>0</v>
      </c>
    </row>
    <row r="91" spans="1:29" customFormat="1" ht="13.8" x14ac:dyDescent="0.25">
      <c r="A91" s="11"/>
      <c r="B91" s="11"/>
      <c r="C91" s="11"/>
      <c r="D91" s="11"/>
      <c r="E91" s="11"/>
      <c r="F91" s="11"/>
      <c r="G91" s="11"/>
      <c r="H91" s="11"/>
      <c r="I91" s="11"/>
      <c r="J91" s="11"/>
      <c r="K91" s="11"/>
      <c r="L91" s="344"/>
      <c r="M91" s="338"/>
      <c r="N91" s="336"/>
      <c r="O91" s="145" t="s">
        <v>145</v>
      </c>
      <c r="P91" s="165">
        <f t="shared" ref="P91" ca="1" si="329">MIN(IF($B92,P90+IF(ISNUMBER(O91),O91,0),P92/$N90),1)</f>
        <v>0</v>
      </c>
      <c r="Q91" s="143">
        <f t="shared" ref="Q91" ca="1" si="330">MIN(IF($B92,Q90+IF(ISNUMBER(P91),P91,0),Q92/$N90),1)</f>
        <v>0</v>
      </c>
      <c r="R91" s="143">
        <f t="shared" ref="R91" ca="1" si="331">MIN(IF($B92,R90+IF(ISNUMBER(Q91),Q91,0),R92/$N90),1)</f>
        <v>0</v>
      </c>
      <c r="S91" s="143">
        <f t="shared" ref="S91" ca="1" si="332">MIN(IF($B92,S90+IF(ISNUMBER(R91),R91,0),S92/$N90),1)</f>
        <v>0</v>
      </c>
      <c r="T91" s="143">
        <f t="shared" ref="T91" ca="1" si="333">MIN(IF($B92,T90+IF(ISNUMBER(S91),S91,0),T92/$N90),1)</f>
        <v>0</v>
      </c>
      <c r="U91" s="143">
        <f t="shared" ref="U91" ca="1" si="334">MIN(IF($B92,U90+IF(ISNUMBER(T91),T91,0),U92/$N90),1)</f>
        <v>0</v>
      </c>
      <c r="V91" s="143">
        <f t="shared" ref="V91" ca="1" si="335">MIN(IF($B92,V90+IF(ISNUMBER(U91),U91,0),V92/$N90),1)</f>
        <v>0</v>
      </c>
      <c r="W91" s="143">
        <f t="shared" ref="W91" ca="1" si="336">MIN(IF($B92,W90+IF(ISNUMBER(V91),V91,0),W92/$N90),1)</f>
        <v>0</v>
      </c>
      <c r="X91" s="163"/>
      <c r="AC91" s="143">
        <f t="shared" ref="AC91" ca="1" si="337">MIN(IF($B92,AC90+IF(ISNUMBER(AB91),AB91,0),AC92/$N90),1)</f>
        <v>0</v>
      </c>
    </row>
    <row r="92" spans="1:29" customFormat="1" ht="13.8" x14ac:dyDescent="0.25">
      <c r="A92" s="11">
        <f ca="1">OFFSET(A92,-CFF.NumLinha,0)+1</f>
        <v>25</v>
      </c>
      <c r="B92" s="11" t="b">
        <f ca="1">$C92&gt;=OFFSET($C92,CFF.NumLinha,0)</f>
        <v>0</v>
      </c>
      <c r="C92" s="11">
        <f ca="1">INDEX(PO!A$12:A$603,MATCH($A92,PO!$V$12:$V$603,0))</f>
        <v>1</v>
      </c>
      <c r="D92" s="11">
        <f t="shared" ref="D92:D123" ca="1" si="338">IF(ISERROR(J92),I92,SMALL(I92:J92,1))-1</f>
        <v>20</v>
      </c>
      <c r="E92" s="11">
        <f ca="1">IF($C92=1,OFFSET(E92,-CFF.NumLinha,0)+1,OFFSET(E92,-CFF.NumLinha,0))</f>
        <v>6</v>
      </c>
      <c r="F92" s="11">
        <f ca="1">IF($C92=1,0,IF($C92=2,OFFSET(F92,-CFF.NumLinha,0)+1,OFFSET(F92,-CFF.NumLinha,0)))</f>
        <v>0</v>
      </c>
      <c r="G92" s="11">
        <f ca="1">IF(AND($C92&lt;=2,$C92&lt;&gt;0),0,IF($C92=3,OFFSET(G92,-CFF.NumLinha,0)+1,OFFSET(G92,-CFF.NumLinha,0)))</f>
        <v>0</v>
      </c>
      <c r="H92" s="11">
        <f ca="1">IF(AND($C92&lt;=3,$C92&lt;&gt;0),0,IF($C92=4,OFFSET(H92,-CFF.NumLinha,0)+1,OFFSET(H92,-CFF.NumLinha,0)))</f>
        <v>0</v>
      </c>
      <c r="I92" s="11">
        <f ca="1">MATCH(0,OFFSET($D92,1,$C92,ROW($A$303)-ROW($A92)),0)</f>
        <v>211</v>
      </c>
      <c r="J92" s="11">
        <f ca="1">MATCH(OFFSET($D92,0,$C92)+1,OFFSET($D92,1,$C92,ROW($A$303)-ROW($A92)),0)</f>
        <v>21</v>
      </c>
      <c r="K92" s="156">
        <f ca="1">ROUND(INDEX(PO!T$12:T$603,MATCH($A92,PO!$V$12:$V$603,0)),2)+10^-12</f>
        <v>9.9999999999999998E-13</v>
      </c>
      <c r="L92" s="344"/>
      <c r="M92" s="338"/>
      <c r="N92" s="336"/>
      <c r="O92" s="171" t="s">
        <v>20</v>
      </c>
      <c r="P92" s="166">
        <f t="shared" ref="P92:W92" ca="1" si="339">IF($B92,ROUND(P91*$N90,2),ROUND(SUMIF(OFFSET($B92,1,0,$D92),TRUE,OFFSET(P92,1,0,$D92))/SUMIF(OFFSET($B92,1,0,$D92),TRUE,OFFSET($K92,1,0,$D92))*$N90,2))</f>
        <v>0</v>
      </c>
      <c r="Q92" s="144">
        <f t="shared" ca="1" si="339"/>
        <v>0</v>
      </c>
      <c r="R92" s="144">
        <f t="shared" ca="1" si="339"/>
        <v>0</v>
      </c>
      <c r="S92" s="144">
        <f t="shared" ca="1" si="339"/>
        <v>0</v>
      </c>
      <c r="T92" s="144">
        <f t="shared" ca="1" si="339"/>
        <v>0</v>
      </c>
      <c r="U92" s="144">
        <f t="shared" ca="1" si="339"/>
        <v>0</v>
      </c>
      <c r="V92" s="144">
        <f t="shared" ca="1" si="339"/>
        <v>0</v>
      </c>
      <c r="W92" s="174">
        <f t="shared" ca="1" si="339"/>
        <v>0</v>
      </c>
      <c r="X92" s="163"/>
      <c r="AC92" s="144">
        <f t="shared" ref="AC92" ca="1" si="340">IF($B92,ROUND(AC91*$N90,2),ROUND(SUMIF(OFFSET($B92,1,0,$D92),TRUE,OFFSET(AC92,1,0,$D92))/SUMIF(OFFSET($B92,1,0,$D92),TRUE,OFFSET($K92,1,0,$D92))*$N90,2))</f>
        <v>0</v>
      </c>
    </row>
    <row r="93" spans="1:29" customFormat="1" ht="14.25" customHeight="1" x14ac:dyDescent="0.25">
      <c r="A93" s="1"/>
      <c r="B93" s="1"/>
      <c r="C93" s="1"/>
      <c r="D93" s="1"/>
      <c r="E93" s="1"/>
      <c r="F93" s="1"/>
      <c r="G93" s="1"/>
      <c r="H93" s="1"/>
      <c r="I93" s="1"/>
      <c r="J93" s="1"/>
      <c r="K93" s="1"/>
      <c r="L93" s="343" t="str">
        <f ca="1">INDEX(PO!K$12:K$603,MATCH($A95,PO!$V$12:$V$603,0))</f>
        <v>6.1.</v>
      </c>
      <c r="M93" s="337" t="str">
        <f ca="1">INDEX(PO!N$12:N$603,MATCH($A95,PO!$V$12:$V$603,0))</f>
        <v>PORTAS DE MADEIRA</v>
      </c>
      <c r="N93" s="335">
        <f t="shared" ref="N93" ca="1" si="341">IF(ROUND(K95,2)=0,K95,ROUND(K95,2))</f>
        <v>9.9999999999999998E-13</v>
      </c>
      <c r="O93" s="187" t="s">
        <v>143</v>
      </c>
      <c r="P93" s="192">
        <f t="shared" ref="P93" ca="1" si="342">IF($B95,0,P94-IF(ISNUMBER(O94),O94,0))</f>
        <v>0</v>
      </c>
      <c r="Q93" s="193">
        <f t="shared" ref="Q93" ca="1" si="343">IF($B95,0,Q94-IF(ISNUMBER(P94),P94,0))</f>
        <v>0</v>
      </c>
      <c r="R93" s="193">
        <f t="shared" ref="R93" ca="1" si="344">IF($B95,0,R94-IF(ISNUMBER(Q94),Q94,0))</f>
        <v>0</v>
      </c>
      <c r="S93" s="193">
        <f t="shared" ref="S93" ca="1" si="345">IF($B95,0,S94-IF(ISNUMBER(R94),R94,0))</f>
        <v>0</v>
      </c>
      <c r="T93" s="193">
        <f t="shared" ref="T93" ca="1" si="346">IF($B95,0,T94-IF(ISNUMBER(S94),S94,0))</f>
        <v>0</v>
      </c>
      <c r="U93" s="193">
        <f t="shared" ref="U93" ca="1" si="347">IF($B95,0,U94-IF(ISNUMBER(T94),T94,0))</f>
        <v>0</v>
      </c>
      <c r="V93" s="193">
        <v>0.5</v>
      </c>
      <c r="W93" s="194">
        <v>0.5</v>
      </c>
      <c r="X93" s="163"/>
      <c r="AC93" s="188">
        <f t="shared" ref="AC93" ca="1" si="348">IF($B95,0,AC94-IF(ISNUMBER(AB94),AB94,0))</f>
        <v>0</v>
      </c>
    </row>
    <row r="94" spans="1:29" customFormat="1" ht="13.8" x14ac:dyDescent="0.25">
      <c r="A94" s="11"/>
      <c r="B94" s="11"/>
      <c r="C94" s="11"/>
      <c r="D94" s="11"/>
      <c r="E94" s="11"/>
      <c r="F94" s="11"/>
      <c r="G94" s="11"/>
      <c r="H94" s="11"/>
      <c r="I94" s="11"/>
      <c r="J94" s="11"/>
      <c r="K94" s="11"/>
      <c r="L94" s="344"/>
      <c r="M94" s="338"/>
      <c r="N94" s="336"/>
      <c r="O94" s="145" t="s">
        <v>145</v>
      </c>
      <c r="P94" s="165">
        <f t="shared" ref="P94" ca="1" si="349">MIN(IF($B95,P93+IF(ISNUMBER(O94),O94,0),P95/$N93),1)</f>
        <v>0</v>
      </c>
      <c r="Q94" s="143">
        <f t="shared" ref="Q94" ca="1" si="350">MIN(IF($B95,Q93+IF(ISNUMBER(P94),P94,0),Q95/$N93),1)</f>
        <v>0</v>
      </c>
      <c r="R94" s="143">
        <f t="shared" ref="R94" ca="1" si="351">MIN(IF($B95,R93+IF(ISNUMBER(Q94),Q94,0),R95/$N93),1)</f>
        <v>0</v>
      </c>
      <c r="S94" s="143">
        <f t="shared" ref="S94" ca="1" si="352">MIN(IF($B95,S93+IF(ISNUMBER(R94),R94,0),S95/$N93),1)</f>
        <v>0</v>
      </c>
      <c r="T94" s="143">
        <f t="shared" ref="T94" ca="1" si="353">MIN(IF($B95,T93+IF(ISNUMBER(S94),S94,0),T95/$N93),1)</f>
        <v>0</v>
      </c>
      <c r="U94" s="143">
        <f t="shared" ref="U94" ca="1" si="354">MIN(IF($B95,U93+IF(ISNUMBER(T94),T94,0),U95/$N93),1)</f>
        <v>0</v>
      </c>
      <c r="V94" s="143">
        <f t="shared" ref="V94" ca="1" si="355">MIN(IF($B95,V93+IF(ISNUMBER(U94),U94,0),V95/$N93),1)</f>
        <v>0.5</v>
      </c>
      <c r="W94" s="143">
        <f t="shared" ref="W94" ca="1" si="356">MIN(IF($B95,W93+IF(ISNUMBER(V94),V94,0),W95/$N93),1)</f>
        <v>1</v>
      </c>
      <c r="X94" s="163"/>
      <c r="AC94" s="143">
        <f t="shared" ref="AC94" ca="1" si="357">MIN(IF($B95,AC93+IF(ISNUMBER(AB94),AB94,0),AC95/$N93),1)</f>
        <v>0</v>
      </c>
    </row>
    <row r="95" spans="1:29" customFormat="1" ht="13.8" x14ac:dyDescent="0.25">
      <c r="A95" s="11">
        <f ca="1">OFFSET(A95,-CFF.NumLinha,0)+1</f>
        <v>26</v>
      </c>
      <c r="B95" s="11" t="b">
        <f ca="1">$C95&gt;=OFFSET($C95,CFF.NumLinha,0)</f>
        <v>1</v>
      </c>
      <c r="C95" s="11">
        <f ca="1">INDEX(PO!A$12:A$603,MATCH($A95,PO!$V$12:$V$603,0))</f>
        <v>2</v>
      </c>
      <c r="D95" s="11">
        <f t="shared" ref="D95:D126" ca="1" si="358">IF(ISERROR(J95),I95,SMALL(I95:J95,1))-1</f>
        <v>2</v>
      </c>
      <c r="E95" s="11">
        <f ca="1">IF($C95=1,OFFSET(E95,-CFF.NumLinha,0)+1,OFFSET(E95,-CFF.NumLinha,0))</f>
        <v>6</v>
      </c>
      <c r="F95" s="11">
        <f ca="1">IF($C95=1,0,IF($C95=2,OFFSET(F95,-CFF.NumLinha,0)+1,OFFSET(F95,-CFF.NumLinha,0)))</f>
        <v>1</v>
      </c>
      <c r="G95" s="11">
        <f ca="1">IF(AND($C95&lt;=2,$C95&lt;&gt;0),0,IF($C95=3,OFFSET(G95,-CFF.NumLinha,0)+1,OFFSET(G95,-CFF.NumLinha,0)))</f>
        <v>0</v>
      </c>
      <c r="H95" s="11">
        <f ca="1">IF(AND($C95&lt;=3,$C95&lt;&gt;0),0,IF($C95=4,OFFSET(H95,-CFF.NumLinha,0)+1,OFFSET(H95,-CFF.NumLinha,0)))</f>
        <v>0</v>
      </c>
      <c r="I95" s="11">
        <f ca="1">MATCH(0,OFFSET($D95,1,$C95,ROW($A$303)-ROW($A95)),0)</f>
        <v>18</v>
      </c>
      <c r="J95" s="11">
        <f ca="1">MATCH(OFFSET($D95,0,$C95)+1,OFFSET($D95,1,$C95,ROW($A$303)-ROW($A95)),0)</f>
        <v>3</v>
      </c>
      <c r="K95" s="156">
        <f ca="1">ROUND(INDEX(PO!T$12:T$603,MATCH($A95,PO!$V$12:$V$603,0)),2)+10^-12</f>
        <v>9.9999999999999998E-13</v>
      </c>
      <c r="L95" s="344"/>
      <c r="M95" s="338"/>
      <c r="N95" s="336"/>
      <c r="O95" s="171" t="s">
        <v>20</v>
      </c>
      <c r="P95" s="166">
        <f t="shared" ref="P95:W95" ca="1" si="359">IF($B95,ROUND(P94*$N93,2),ROUND(SUMIF(OFFSET($B95,1,0,$D95),TRUE,OFFSET(P95,1,0,$D95))/SUMIF(OFFSET($B95,1,0,$D95),TRUE,OFFSET($K95,1,0,$D95))*$N93,2))</f>
        <v>0</v>
      </c>
      <c r="Q95" s="144">
        <f t="shared" ca="1" si="359"/>
        <v>0</v>
      </c>
      <c r="R95" s="144">
        <f t="shared" ca="1" si="359"/>
        <v>0</v>
      </c>
      <c r="S95" s="144">
        <f t="shared" ca="1" si="359"/>
        <v>0</v>
      </c>
      <c r="T95" s="144">
        <f t="shared" ca="1" si="359"/>
        <v>0</v>
      </c>
      <c r="U95" s="144">
        <f t="shared" ca="1" si="359"/>
        <v>0</v>
      </c>
      <c r="V95" s="144">
        <f t="shared" ca="1" si="359"/>
        <v>0</v>
      </c>
      <c r="W95" s="174">
        <f t="shared" ca="1" si="359"/>
        <v>0</v>
      </c>
      <c r="X95" s="163"/>
      <c r="AC95" s="144">
        <f t="shared" ref="AC95" ca="1" si="360">IF($B95,ROUND(AC94*$N93,2),ROUND(SUMIF(OFFSET($B95,1,0,$D95),TRUE,OFFSET(AC95,1,0,$D95))/SUMIF(OFFSET($B95,1,0,$D95),TRUE,OFFSET($K95,1,0,$D95))*$N93,2))</f>
        <v>0</v>
      </c>
    </row>
    <row r="96" spans="1:29" customFormat="1" ht="14.25" customHeight="1" x14ac:dyDescent="0.25">
      <c r="A96" s="1"/>
      <c r="B96" s="1"/>
      <c r="C96" s="1"/>
      <c r="D96" s="1"/>
      <c r="E96" s="1"/>
      <c r="F96" s="1"/>
      <c r="G96" s="1"/>
      <c r="H96" s="1"/>
      <c r="I96" s="1"/>
      <c r="J96" s="1"/>
      <c r="K96" s="1"/>
      <c r="L96" s="343" t="str">
        <f ca="1">INDEX(PO!K$12:K$603,MATCH($A98,PO!$V$12:$V$603,0))</f>
        <v>6.2.</v>
      </c>
      <c r="M96" s="337" t="str">
        <f ca="1">INDEX(PO!N$12:N$603,MATCH($A98,PO!$V$12:$V$603,0))</f>
        <v>FERRAGENS E ACESSÓRIOS</v>
      </c>
      <c r="N96" s="335">
        <f t="shared" ref="N96" ca="1" si="361">IF(ROUND(K98,2)=0,K98,ROUND(K98,2))</f>
        <v>9.9999999999999998E-13</v>
      </c>
      <c r="O96" s="187" t="s">
        <v>143</v>
      </c>
      <c r="P96" s="192">
        <f t="shared" ref="P96" ca="1" si="362">IF($B98,0,P97-IF(ISNUMBER(O97),O97,0))</f>
        <v>0</v>
      </c>
      <c r="Q96" s="193">
        <f t="shared" ref="Q96" ca="1" si="363">IF($B98,0,Q97-IF(ISNUMBER(P97),P97,0))</f>
        <v>0</v>
      </c>
      <c r="R96" s="193">
        <f t="shared" ref="R96" ca="1" si="364">IF($B98,0,R97-IF(ISNUMBER(Q97),Q97,0))</f>
        <v>0</v>
      </c>
      <c r="S96" s="193">
        <f t="shared" ref="S96" ca="1" si="365">IF($B98,0,S97-IF(ISNUMBER(R97),R97,0))</f>
        <v>0</v>
      </c>
      <c r="T96" s="193">
        <f t="shared" ref="T96" ca="1" si="366">IF($B98,0,T97-IF(ISNUMBER(S97),S97,0))</f>
        <v>0</v>
      </c>
      <c r="U96" s="193">
        <f t="shared" ref="U96" ca="1" si="367">IF($B98,0,U97-IF(ISNUMBER(T97),T97,0))</f>
        <v>0</v>
      </c>
      <c r="V96" s="193">
        <v>0.5</v>
      </c>
      <c r="W96" s="194">
        <v>0.5</v>
      </c>
      <c r="X96" s="163"/>
      <c r="AC96" s="188">
        <f t="shared" ref="AC96" ca="1" si="368">IF($B98,0,AC97-IF(ISNUMBER(AB97),AB97,0))</f>
        <v>0</v>
      </c>
    </row>
    <row r="97" spans="1:29" customFormat="1" ht="13.8" x14ac:dyDescent="0.25">
      <c r="A97" s="11"/>
      <c r="B97" s="11"/>
      <c r="C97" s="11"/>
      <c r="D97" s="11"/>
      <c r="E97" s="11"/>
      <c r="F97" s="11"/>
      <c r="G97" s="11"/>
      <c r="H97" s="11"/>
      <c r="I97" s="11"/>
      <c r="J97" s="11"/>
      <c r="K97" s="11"/>
      <c r="L97" s="344"/>
      <c r="M97" s="338"/>
      <c r="N97" s="336"/>
      <c r="O97" s="145" t="s">
        <v>145</v>
      </c>
      <c r="P97" s="165">
        <f t="shared" ref="P97" ca="1" si="369">MIN(IF($B98,P96+IF(ISNUMBER(O97),O97,0),P98/$N96),1)</f>
        <v>0</v>
      </c>
      <c r="Q97" s="143">
        <f t="shared" ref="Q97" ca="1" si="370">MIN(IF($B98,Q96+IF(ISNUMBER(P97),P97,0),Q98/$N96),1)</f>
        <v>0</v>
      </c>
      <c r="R97" s="143">
        <f t="shared" ref="R97" ca="1" si="371">MIN(IF($B98,R96+IF(ISNUMBER(Q97),Q97,0),R98/$N96),1)</f>
        <v>0</v>
      </c>
      <c r="S97" s="143">
        <f t="shared" ref="S97" ca="1" si="372">MIN(IF($B98,S96+IF(ISNUMBER(R97),R97,0),S98/$N96),1)</f>
        <v>0</v>
      </c>
      <c r="T97" s="143">
        <f t="shared" ref="T97" ca="1" si="373">MIN(IF($B98,T96+IF(ISNUMBER(S97),S97,0),T98/$N96),1)</f>
        <v>0</v>
      </c>
      <c r="U97" s="143">
        <f t="shared" ref="U97" ca="1" si="374">MIN(IF($B98,U96+IF(ISNUMBER(T97),T97,0),U98/$N96),1)</f>
        <v>0</v>
      </c>
      <c r="V97" s="143">
        <f t="shared" ref="V97" ca="1" si="375">MIN(IF($B98,V96+IF(ISNUMBER(U97),U97,0),V98/$N96),1)</f>
        <v>0.5</v>
      </c>
      <c r="W97" s="143">
        <f t="shared" ref="W97" ca="1" si="376">MIN(IF($B98,W96+IF(ISNUMBER(V97),V97,0),W98/$N96),1)</f>
        <v>1</v>
      </c>
      <c r="X97" s="163"/>
      <c r="AC97" s="143">
        <f t="shared" ref="AC97" ca="1" si="377">MIN(IF($B98,AC96+IF(ISNUMBER(AB97),AB97,0),AC98/$N96),1)</f>
        <v>0</v>
      </c>
    </row>
    <row r="98" spans="1:29" customFormat="1" ht="13.8" x14ac:dyDescent="0.25">
      <c r="A98" s="11">
        <f ca="1">OFFSET(A98,-CFF.NumLinha,0)+1</f>
        <v>27</v>
      </c>
      <c r="B98" s="11" t="b">
        <f ca="1">$C98&gt;=OFFSET($C98,CFF.NumLinha,0)</f>
        <v>1</v>
      </c>
      <c r="C98" s="11">
        <f ca="1">INDEX(PO!A$12:A$603,MATCH($A98,PO!$V$12:$V$603,0))</f>
        <v>2</v>
      </c>
      <c r="D98" s="11">
        <f t="shared" ref="D98:D129" ca="1" si="378">IF(ISERROR(J98),I98,SMALL(I98:J98,1))-1</f>
        <v>2</v>
      </c>
      <c r="E98" s="11">
        <f ca="1">IF($C98=1,OFFSET(E98,-CFF.NumLinha,0)+1,OFFSET(E98,-CFF.NumLinha,0))</f>
        <v>6</v>
      </c>
      <c r="F98" s="11">
        <f ca="1">IF($C98=1,0,IF($C98=2,OFFSET(F98,-CFF.NumLinha,0)+1,OFFSET(F98,-CFF.NumLinha,0)))</f>
        <v>2</v>
      </c>
      <c r="G98" s="11">
        <f ca="1">IF(AND($C98&lt;=2,$C98&lt;&gt;0),0,IF($C98=3,OFFSET(G98,-CFF.NumLinha,0)+1,OFFSET(G98,-CFF.NumLinha,0)))</f>
        <v>0</v>
      </c>
      <c r="H98" s="11">
        <f ca="1">IF(AND($C98&lt;=3,$C98&lt;&gt;0),0,IF($C98=4,OFFSET(H98,-CFF.NumLinha,0)+1,OFFSET(H98,-CFF.NumLinha,0)))</f>
        <v>0</v>
      </c>
      <c r="I98" s="11">
        <f ca="1">MATCH(0,OFFSET($D98,1,$C98,ROW($A$303)-ROW($A98)),0)</f>
        <v>15</v>
      </c>
      <c r="J98" s="11">
        <f ca="1">MATCH(OFFSET($D98,0,$C98)+1,OFFSET($D98,1,$C98,ROW($A$303)-ROW($A98)),0)</f>
        <v>3</v>
      </c>
      <c r="K98" s="156">
        <f ca="1">ROUND(INDEX(PO!T$12:T$603,MATCH($A98,PO!$V$12:$V$603,0)),2)+10^-12</f>
        <v>9.9999999999999998E-13</v>
      </c>
      <c r="L98" s="344"/>
      <c r="M98" s="338"/>
      <c r="N98" s="336"/>
      <c r="O98" s="171" t="s">
        <v>20</v>
      </c>
      <c r="P98" s="166">
        <f t="shared" ref="P98:W98" ca="1" si="379">IF($B98,ROUND(P97*$N96,2),ROUND(SUMIF(OFFSET($B98,1,0,$D98),TRUE,OFFSET(P98,1,0,$D98))/SUMIF(OFFSET($B98,1,0,$D98),TRUE,OFFSET($K98,1,0,$D98))*$N96,2))</f>
        <v>0</v>
      </c>
      <c r="Q98" s="144">
        <f t="shared" ca="1" si="379"/>
        <v>0</v>
      </c>
      <c r="R98" s="144">
        <f t="shared" ca="1" si="379"/>
        <v>0</v>
      </c>
      <c r="S98" s="144">
        <f t="shared" ca="1" si="379"/>
        <v>0</v>
      </c>
      <c r="T98" s="144">
        <f t="shared" ca="1" si="379"/>
        <v>0</v>
      </c>
      <c r="U98" s="144">
        <f t="shared" ca="1" si="379"/>
        <v>0</v>
      </c>
      <c r="V98" s="144">
        <f t="shared" ca="1" si="379"/>
        <v>0</v>
      </c>
      <c r="W98" s="174">
        <f t="shared" ca="1" si="379"/>
        <v>0</v>
      </c>
      <c r="X98" s="163"/>
      <c r="AC98" s="144">
        <f t="shared" ref="AC98" ca="1" si="380">IF($B98,ROUND(AC97*$N96,2),ROUND(SUMIF(OFFSET($B98,1,0,$D98),TRUE,OFFSET(AC98,1,0,$D98))/SUMIF(OFFSET($B98,1,0,$D98),TRUE,OFFSET($K98,1,0,$D98))*$N96,2))</f>
        <v>0</v>
      </c>
    </row>
    <row r="99" spans="1:29" customFormat="1" ht="14.25" customHeight="1" x14ac:dyDescent="0.25">
      <c r="A99" s="1"/>
      <c r="B99" s="1"/>
      <c r="C99" s="1"/>
      <c r="D99" s="1"/>
      <c r="E99" s="1"/>
      <c r="F99" s="1"/>
      <c r="G99" s="1"/>
      <c r="H99" s="1"/>
      <c r="I99" s="1"/>
      <c r="J99" s="1"/>
      <c r="K99" s="1"/>
      <c r="L99" s="343" t="str">
        <f ca="1">INDEX(PO!K$12:K$603,MATCH($A101,PO!$V$12:$V$603,0))</f>
        <v>6.3.</v>
      </c>
      <c r="M99" s="337" t="str">
        <f ca="1">INDEX(PO!N$12:N$603,MATCH($A101,PO!$V$12:$V$603,0))</f>
        <v>PORTA EM ALUMÍNIO</v>
      </c>
      <c r="N99" s="335">
        <f t="shared" ref="N99" ca="1" si="381">IF(ROUND(K101,2)=0,K101,ROUND(K101,2))</f>
        <v>9.9999999999999998E-13</v>
      </c>
      <c r="O99" s="187" t="s">
        <v>143</v>
      </c>
      <c r="P99" s="192">
        <f t="shared" ref="P99" ca="1" si="382">IF($B101,0,P100-IF(ISNUMBER(O100),O100,0))</f>
        <v>0</v>
      </c>
      <c r="Q99" s="193">
        <f t="shared" ref="Q99" ca="1" si="383">IF($B101,0,Q100-IF(ISNUMBER(P100),P100,0))</f>
        <v>0</v>
      </c>
      <c r="R99" s="193">
        <f t="shared" ref="R99" ca="1" si="384">IF($B101,0,R100-IF(ISNUMBER(Q100),Q100,0))</f>
        <v>0</v>
      </c>
      <c r="S99" s="193">
        <f t="shared" ref="S99" ca="1" si="385">IF($B101,0,S100-IF(ISNUMBER(R100),R100,0))</f>
        <v>0</v>
      </c>
      <c r="T99" s="193">
        <f t="shared" ref="T99" ca="1" si="386">IF($B101,0,T100-IF(ISNUMBER(S100),S100,0))</f>
        <v>0</v>
      </c>
      <c r="U99" s="193">
        <f t="shared" ref="U99" ca="1" si="387">IF($B101,0,U100-IF(ISNUMBER(T100),T100,0))</f>
        <v>0</v>
      </c>
      <c r="V99" s="193">
        <f t="shared" ref="V99" ca="1" si="388">IF($B101,0,V100-IF(ISNUMBER(U100),U100,0))</f>
        <v>0</v>
      </c>
      <c r="W99" s="194">
        <v>1</v>
      </c>
      <c r="X99" s="163"/>
      <c r="AC99" s="188">
        <f t="shared" ref="AC99" ca="1" si="389">IF($B101,0,AC100-IF(ISNUMBER(AB100),AB100,0))</f>
        <v>0</v>
      </c>
    </row>
    <row r="100" spans="1:29" customFormat="1" ht="13.8" x14ac:dyDescent="0.25">
      <c r="A100" s="11"/>
      <c r="B100" s="11"/>
      <c r="C100" s="11"/>
      <c r="D100" s="11"/>
      <c r="E100" s="11"/>
      <c r="F100" s="11"/>
      <c r="G100" s="11"/>
      <c r="H100" s="11"/>
      <c r="I100" s="11"/>
      <c r="J100" s="11"/>
      <c r="K100" s="11"/>
      <c r="L100" s="344"/>
      <c r="M100" s="338"/>
      <c r="N100" s="336"/>
      <c r="O100" s="145" t="s">
        <v>145</v>
      </c>
      <c r="P100" s="165">
        <f t="shared" ref="P100" ca="1" si="390">MIN(IF($B101,P99+IF(ISNUMBER(O100),O100,0),P101/$N99),1)</f>
        <v>0</v>
      </c>
      <c r="Q100" s="143">
        <f t="shared" ref="Q100" ca="1" si="391">MIN(IF($B101,Q99+IF(ISNUMBER(P100),P100,0),Q101/$N99),1)</f>
        <v>0</v>
      </c>
      <c r="R100" s="143">
        <f t="shared" ref="R100" ca="1" si="392">MIN(IF($B101,R99+IF(ISNUMBER(Q100),Q100,0),R101/$N99),1)</f>
        <v>0</v>
      </c>
      <c r="S100" s="143">
        <f t="shared" ref="S100" ca="1" si="393">MIN(IF($B101,S99+IF(ISNUMBER(R100),R100,0),S101/$N99),1)</f>
        <v>0</v>
      </c>
      <c r="T100" s="143">
        <f t="shared" ref="T100" ca="1" si="394">MIN(IF($B101,T99+IF(ISNUMBER(S100),S100,0),T101/$N99),1)</f>
        <v>0</v>
      </c>
      <c r="U100" s="143">
        <f t="shared" ref="U100" ca="1" si="395">MIN(IF($B101,U99+IF(ISNUMBER(T100),T100,0),U101/$N99),1)</f>
        <v>0</v>
      </c>
      <c r="V100" s="143">
        <f t="shared" ref="V100" ca="1" si="396">MIN(IF($B101,V99+IF(ISNUMBER(U100),U100,0),V101/$N99),1)</f>
        <v>0</v>
      </c>
      <c r="W100" s="143">
        <f t="shared" ref="W100" ca="1" si="397">MIN(IF($B101,W99+IF(ISNUMBER(V100),V100,0),W101/$N99),1)</f>
        <v>1</v>
      </c>
      <c r="X100" s="163"/>
      <c r="AC100" s="143">
        <f t="shared" ref="AC100" ca="1" si="398">MIN(IF($B101,AC99+IF(ISNUMBER(AB100),AB100,0),AC101/$N99),1)</f>
        <v>0</v>
      </c>
    </row>
    <row r="101" spans="1:29" customFormat="1" ht="13.8" x14ac:dyDescent="0.25">
      <c r="A101" s="11">
        <f ca="1">OFFSET(A101,-CFF.NumLinha,0)+1</f>
        <v>28</v>
      </c>
      <c r="B101" s="11" t="b">
        <f ca="1">$C101&gt;=OFFSET($C101,CFF.NumLinha,0)</f>
        <v>1</v>
      </c>
      <c r="C101" s="11">
        <f ca="1">INDEX(PO!A$12:A$603,MATCH($A101,PO!$V$12:$V$603,0))</f>
        <v>2</v>
      </c>
      <c r="D101" s="11">
        <f t="shared" ref="D101:D132" ca="1" si="399">IF(ISERROR(J101),I101,SMALL(I101:J101,1))-1</f>
        <v>2</v>
      </c>
      <c r="E101" s="11">
        <f ca="1">IF($C101=1,OFFSET(E101,-CFF.NumLinha,0)+1,OFFSET(E101,-CFF.NumLinha,0))</f>
        <v>6</v>
      </c>
      <c r="F101" s="11">
        <f ca="1">IF($C101=1,0,IF($C101=2,OFFSET(F101,-CFF.NumLinha,0)+1,OFFSET(F101,-CFF.NumLinha,0)))</f>
        <v>3</v>
      </c>
      <c r="G101" s="11">
        <f ca="1">IF(AND($C101&lt;=2,$C101&lt;&gt;0),0,IF($C101=3,OFFSET(G101,-CFF.NumLinha,0)+1,OFFSET(G101,-CFF.NumLinha,0)))</f>
        <v>0</v>
      </c>
      <c r="H101" s="11">
        <f ca="1">IF(AND($C101&lt;=3,$C101&lt;&gt;0),0,IF($C101=4,OFFSET(H101,-CFF.NumLinha,0)+1,OFFSET(H101,-CFF.NumLinha,0)))</f>
        <v>0</v>
      </c>
      <c r="I101" s="11">
        <f ca="1">MATCH(0,OFFSET($D101,1,$C101,ROW($A$303)-ROW($A101)),0)</f>
        <v>12</v>
      </c>
      <c r="J101" s="11">
        <f ca="1">MATCH(OFFSET($D101,0,$C101)+1,OFFSET($D101,1,$C101,ROW($A$303)-ROW($A101)),0)</f>
        <v>3</v>
      </c>
      <c r="K101" s="156">
        <f ca="1">ROUND(INDEX(PO!T$12:T$603,MATCH($A101,PO!$V$12:$V$603,0)),2)+10^-12</f>
        <v>9.9999999999999998E-13</v>
      </c>
      <c r="L101" s="344"/>
      <c r="M101" s="338"/>
      <c r="N101" s="336"/>
      <c r="O101" s="171" t="s">
        <v>20</v>
      </c>
      <c r="P101" s="166">
        <f t="shared" ref="P101:W101" ca="1" si="400">IF($B101,ROUND(P100*$N99,2),ROUND(SUMIF(OFFSET($B101,1,0,$D101),TRUE,OFFSET(P101,1,0,$D101))/SUMIF(OFFSET($B101,1,0,$D101),TRUE,OFFSET($K101,1,0,$D101))*$N99,2))</f>
        <v>0</v>
      </c>
      <c r="Q101" s="144">
        <f t="shared" ca="1" si="400"/>
        <v>0</v>
      </c>
      <c r="R101" s="144">
        <f t="shared" ca="1" si="400"/>
        <v>0</v>
      </c>
      <c r="S101" s="144">
        <f t="shared" ca="1" si="400"/>
        <v>0</v>
      </c>
      <c r="T101" s="144">
        <f t="shared" ca="1" si="400"/>
        <v>0</v>
      </c>
      <c r="U101" s="144">
        <f t="shared" ca="1" si="400"/>
        <v>0</v>
      </c>
      <c r="V101" s="144">
        <f t="shared" ca="1" si="400"/>
        <v>0</v>
      </c>
      <c r="W101" s="174">
        <f t="shared" ca="1" si="400"/>
        <v>0</v>
      </c>
      <c r="X101" s="163"/>
      <c r="AC101" s="144">
        <f t="shared" ref="AC101" ca="1" si="401">IF($B101,ROUND(AC100*$N99,2),ROUND(SUMIF(OFFSET($B101,1,0,$D101),TRUE,OFFSET(AC101,1,0,$D101))/SUMIF(OFFSET($B101,1,0,$D101),TRUE,OFFSET($K101,1,0,$D101))*$N99,2))</f>
        <v>0</v>
      </c>
    </row>
    <row r="102" spans="1:29" customFormat="1" ht="14.25" customHeight="1" x14ac:dyDescent="0.25">
      <c r="A102" s="1"/>
      <c r="B102" s="1"/>
      <c r="C102" s="1"/>
      <c r="D102" s="1"/>
      <c r="E102" s="1"/>
      <c r="F102" s="1"/>
      <c r="G102" s="1"/>
      <c r="H102" s="1"/>
      <c r="I102" s="1"/>
      <c r="J102" s="1"/>
      <c r="K102" s="1"/>
      <c r="L102" s="343" t="str">
        <f ca="1">INDEX(PO!K$12:K$603,MATCH($A104,PO!$V$12:$V$603,0))</f>
        <v>6.4.</v>
      </c>
      <c r="M102" s="337" t="str">
        <f ca="1">INDEX(PO!N$12:N$603,MATCH($A104,PO!$V$12:$V$603,0))</f>
        <v>JANELA EM ALUMÍNIO</v>
      </c>
      <c r="N102" s="335">
        <f t="shared" ref="N102" ca="1" si="402">IF(ROUND(K104,2)=0,K104,ROUND(K104,2))</f>
        <v>9.9999999999999998E-13</v>
      </c>
      <c r="O102" s="187" t="s">
        <v>143</v>
      </c>
      <c r="P102" s="192">
        <f t="shared" ref="P102" ca="1" si="403">IF($B104,0,P103-IF(ISNUMBER(O103),O103,0))</f>
        <v>0</v>
      </c>
      <c r="Q102" s="193">
        <f t="shared" ref="Q102" ca="1" si="404">IF($B104,0,Q103-IF(ISNUMBER(P103),P103,0))</f>
        <v>0</v>
      </c>
      <c r="R102" s="193">
        <f t="shared" ref="R102" ca="1" si="405">IF($B104,0,R103-IF(ISNUMBER(Q103),Q103,0))</f>
        <v>0</v>
      </c>
      <c r="S102" s="193">
        <f t="shared" ref="S102" ca="1" si="406">IF($B104,0,S103-IF(ISNUMBER(R103),R103,0))</f>
        <v>0</v>
      </c>
      <c r="T102" s="193">
        <f t="shared" ref="T102" ca="1" si="407">IF($B104,0,T103-IF(ISNUMBER(S103),S103,0))</f>
        <v>0</v>
      </c>
      <c r="U102" s="193">
        <f t="shared" ref="U102" ca="1" si="408">IF($B104,0,U103-IF(ISNUMBER(T103),T103,0))</f>
        <v>0</v>
      </c>
      <c r="V102" s="193">
        <f t="shared" ref="V102" ca="1" si="409">IF($B104,0,V103-IF(ISNUMBER(U103),U103,0))</f>
        <v>0</v>
      </c>
      <c r="W102" s="194">
        <v>1</v>
      </c>
      <c r="X102" s="163"/>
      <c r="AC102" s="188">
        <f t="shared" ref="AC102" ca="1" si="410">IF($B104,0,AC103-IF(ISNUMBER(AB103),AB103,0))</f>
        <v>0</v>
      </c>
    </row>
    <row r="103" spans="1:29" customFormat="1" ht="13.8" x14ac:dyDescent="0.25">
      <c r="A103" s="11"/>
      <c r="B103" s="11"/>
      <c r="C103" s="11"/>
      <c r="D103" s="11"/>
      <c r="E103" s="11"/>
      <c r="F103" s="11"/>
      <c r="G103" s="11"/>
      <c r="H103" s="11"/>
      <c r="I103" s="11"/>
      <c r="J103" s="11"/>
      <c r="K103" s="11"/>
      <c r="L103" s="344"/>
      <c r="M103" s="338"/>
      <c r="N103" s="336"/>
      <c r="O103" s="145" t="s">
        <v>145</v>
      </c>
      <c r="P103" s="165">
        <f t="shared" ref="P103" ca="1" si="411">MIN(IF($B104,P102+IF(ISNUMBER(O103),O103,0),P104/$N102),1)</f>
        <v>0</v>
      </c>
      <c r="Q103" s="143">
        <f t="shared" ref="Q103" ca="1" si="412">MIN(IF($B104,Q102+IF(ISNUMBER(P103),P103,0),Q104/$N102),1)</f>
        <v>0</v>
      </c>
      <c r="R103" s="143">
        <f t="shared" ref="R103" ca="1" si="413">MIN(IF($B104,R102+IF(ISNUMBER(Q103),Q103,0),R104/$N102),1)</f>
        <v>0</v>
      </c>
      <c r="S103" s="143">
        <f t="shared" ref="S103" ca="1" si="414">MIN(IF($B104,S102+IF(ISNUMBER(R103),R103,0),S104/$N102),1)</f>
        <v>0</v>
      </c>
      <c r="T103" s="143">
        <f t="shared" ref="T103" ca="1" si="415">MIN(IF($B104,T102+IF(ISNUMBER(S103),S103,0),T104/$N102),1)</f>
        <v>0</v>
      </c>
      <c r="U103" s="143">
        <f t="shared" ref="U103" ca="1" si="416">MIN(IF($B104,U102+IF(ISNUMBER(T103),T103,0),U104/$N102),1)</f>
        <v>0</v>
      </c>
      <c r="V103" s="143">
        <f t="shared" ref="V103" ca="1" si="417">MIN(IF($B104,V102+IF(ISNUMBER(U103),U103,0),V104/$N102),1)</f>
        <v>0</v>
      </c>
      <c r="W103" s="143">
        <f t="shared" ref="W103" ca="1" si="418">MIN(IF($B104,W102+IF(ISNUMBER(V103),V103,0),W104/$N102),1)</f>
        <v>1</v>
      </c>
      <c r="X103" s="163"/>
      <c r="AC103" s="143">
        <f t="shared" ref="AC103" ca="1" si="419">MIN(IF($B104,AC102+IF(ISNUMBER(AB103),AB103,0),AC104/$N102),1)</f>
        <v>0</v>
      </c>
    </row>
    <row r="104" spans="1:29" customFormat="1" ht="13.8" x14ac:dyDescent="0.25">
      <c r="A104" s="11">
        <f ca="1">OFFSET(A104,-CFF.NumLinha,0)+1</f>
        <v>29</v>
      </c>
      <c r="B104" s="11" t="b">
        <f ca="1">$C104&gt;=OFFSET($C104,CFF.NumLinha,0)</f>
        <v>1</v>
      </c>
      <c r="C104" s="11">
        <f ca="1">INDEX(PO!A$12:A$603,MATCH($A104,PO!$V$12:$V$603,0))</f>
        <v>2</v>
      </c>
      <c r="D104" s="11">
        <f t="shared" ref="D104:D135" ca="1" si="420">IF(ISERROR(J104),I104,SMALL(I104:J104,1))-1</f>
        <v>2</v>
      </c>
      <c r="E104" s="11">
        <f ca="1">IF($C104=1,OFFSET(E104,-CFF.NumLinha,0)+1,OFFSET(E104,-CFF.NumLinha,0))</f>
        <v>6</v>
      </c>
      <c r="F104" s="11">
        <f ca="1">IF($C104=1,0,IF($C104=2,OFFSET(F104,-CFF.NumLinha,0)+1,OFFSET(F104,-CFF.NumLinha,0)))</f>
        <v>4</v>
      </c>
      <c r="G104" s="11">
        <f ca="1">IF(AND($C104&lt;=2,$C104&lt;&gt;0),0,IF($C104=3,OFFSET(G104,-CFF.NumLinha,0)+1,OFFSET(G104,-CFF.NumLinha,0)))</f>
        <v>0</v>
      </c>
      <c r="H104" s="11">
        <f ca="1">IF(AND($C104&lt;=3,$C104&lt;&gt;0),0,IF($C104=4,OFFSET(H104,-CFF.NumLinha,0)+1,OFFSET(H104,-CFF.NumLinha,0)))</f>
        <v>0</v>
      </c>
      <c r="I104" s="11">
        <f ca="1">MATCH(0,OFFSET($D104,1,$C104,ROW($A$303)-ROW($A104)),0)</f>
        <v>9</v>
      </c>
      <c r="J104" s="11">
        <f ca="1">MATCH(OFFSET($D104,0,$C104)+1,OFFSET($D104,1,$C104,ROW($A$303)-ROW($A104)),0)</f>
        <v>3</v>
      </c>
      <c r="K104" s="156">
        <f ca="1">ROUND(INDEX(PO!T$12:T$603,MATCH($A104,PO!$V$12:$V$603,0)),2)+10^-12</f>
        <v>9.9999999999999998E-13</v>
      </c>
      <c r="L104" s="344"/>
      <c r="M104" s="338"/>
      <c r="N104" s="336"/>
      <c r="O104" s="171" t="s">
        <v>20</v>
      </c>
      <c r="P104" s="166">
        <f t="shared" ref="P104:W104" ca="1" si="421">IF($B104,ROUND(P103*$N102,2),ROUND(SUMIF(OFFSET($B104,1,0,$D104),TRUE,OFFSET(P104,1,0,$D104))/SUMIF(OFFSET($B104,1,0,$D104),TRUE,OFFSET($K104,1,0,$D104))*$N102,2))</f>
        <v>0</v>
      </c>
      <c r="Q104" s="144">
        <f t="shared" ca="1" si="421"/>
        <v>0</v>
      </c>
      <c r="R104" s="144">
        <f t="shared" ca="1" si="421"/>
        <v>0</v>
      </c>
      <c r="S104" s="144">
        <f t="shared" ca="1" si="421"/>
        <v>0</v>
      </c>
      <c r="T104" s="144">
        <f t="shared" ca="1" si="421"/>
        <v>0</v>
      </c>
      <c r="U104" s="144">
        <f t="shared" ca="1" si="421"/>
        <v>0</v>
      </c>
      <c r="V104" s="144">
        <f t="shared" ca="1" si="421"/>
        <v>0</v>
      </c>
      <c r="W104" s="174">
        <f t="shared" ca="1" si="421"/>
        <v>0</v>
      </c>
      <c r="X104" s="163"/>
      <c r="AC104" s="144">
        <f t="shared" ref="AC104" ca="1" si="422">IF($B104,ROUND(AC103*$N102,2),ROUND(SUMIF(OFFSET($B104,1,0,$D104),TRUE,OFFSET(AC104,1,0,$D104))/SUMIF(OFFSET($B104,1,0,$D104),TRUE,OFFSET($K104,1,0,$D104))*$N102,2))</f>
        <v>0</v>
      </c>
    </row>
    <row r="105" spans="1:29" customFormat="1" ht="14.25" customHeight="1" x14ac:dyDescent="0.25">
      <c r="A105" s="1"/>
      <c r="B105" s="1"/>
      <c r="C105" s="1"/>
      <c r="D105" s="1"/>
      <c r="E105" s="1"/>
      <c r="F105" s="1"/>
      <c r="G105" s="1"/>
      <c r="H105" s="1"/>
      <c r="I105" s="1"/>
      <c r="J105" s="1"/>
      <c r="K105" s="1"/>
      <c r="L105" s="343" t="str">
        <f ca="1">INDEX(PO!K$12:K$603,MATCH($A107,PO!$V$12:$V$603,0))</f>
        <v>6.5.</v>
      </c>
      <c r="M105" s="337" t="str">
        <f ca="1">INDEX(PO!N$12:N$603,MATCH($A107,PO!$V$12:$V$603,0))</f>
        <v>PORTAS DE VIDRO</v>
      </c>
      <c r="N105" s="335">
        <f t="shared" ref="N105" ca="1" si="423">IF(ROUND(K107,2)=0,K107,ROUND(K107,2))</f>
        <v>9.9999999999999998E-13</v>
      </c>
      <c r="O105" s="187" t="s">
        <v>143</v>
      </c>
      <c r="P105" s="192">
        <f t="shared" ref="P105" ca="1" si="424">IF($B107,0,P106-IF(ISNUMBER(O106),O106,0))</f>
        <v>0</v>
      </c>
      <c r="Q105" s="193">
        <f t="shared" ref="Q105" ca="1" si="425">IF($B107,0,Q106-IF(ISNUMBER(P106),P106,0))</f>
        <v>0</v>
      </c>
      <c r="R105" s="193">
        <f t="shared" ref="R105" ca="1" si="426">IF($B107,0,R106-IF(ISNUMBER(Q106),Q106,0))</f>
        <v>0</v>
      </c>
      <c r="S105" s="193">
        <f t="shared" ref="S105" ca="1" si="427">IF($B107,0,S106-IF(ISNUMBER(R106),R106,0))</f>
        <v>0</v>
      </c>
      <c r="T105" s="193">
        <f t="shared" ref="T105" ca="1" si="428">IF($B107,0,T106-IF(ISNUMBER(S106),S106,0))</f>
        <v>0</v>
      </c>
      <c r="U105" s="193">
        <f t="shared" ref="U105" ca="1" si="429">IF($B107,0,U106-IF(ISNUMBER(T106),T106,0))</f>
        <v>0</v>
      </c>
      <c r="V105" s="193">
        <f t="shared" ref="V105" ca="1" si="430">IF($B107,0,V106-IF(ISNUMBER(U106),U106,0))</f>
        <v>0</v>
      </c>
      <c r="W105" s="194">
        <v>1</v>
      </c>
      <c r="X105" s="163"/>
      <c r="AC105" s="188">
        <f t="shared" ref="AC105" ca="1" si="431">IF($B107,0,AC106-IF(ISNUMBER(AB106),AB106,0))</f>
        <v>0</v>
      </c>
    </row>
    <row r="106" spans="1:29" customFormat="1" ht="13.8" x14ac:dyDescent="0.25">
      <c r="A106" s="11"/>
      <c r="B106" s="11"/>
      <c r="C106" s="11"/>
      <c r="D106" s="11"/>
      <c r="E106" s="11"/>
      <c r="F106" s="11"/>
      <c r="G106" s="11"/>
      <c r="H106" s="11"/>
      <c r="I106" s="11"/>
      <c r="J106" s="11"/>
      <c r="K106" s="11"/>
      <c r="L106" s="344"/>
      <c r="M106" s="338"/>
      <c r="N106" s="336"/>
      <c r="O106" s="145" t="s">
        <v>145</v>
      </c>
      <c r="P106" s="165">
        <f t="shared" ref="P106" ca="1" si="432">MIN(IF($B107,P105+IF(ISNUMBER(O106),O106,0),P107/$N105),1)</f>
        <v>0</v>
      </c>
      <c r="Q106" s="143">
        <f t="shared" ref="Q106" ca="1" si="433">MIN(IF($B107,Q105+IF(ISNUMBER(P106),P106,0),Q107/$N105),1)</f>
        <v>0</v>
      </c>
      <c r="R106" s="143">
        <f t="shared" ref="R106" ca="1" si="434">MIN(IF($B107,R105+IF(ISNUMBER(Q106),Q106,0),R107/$N105),1)</f>
        <v>0</v>
      </c>
      <c r="S106" s="143">
        <f t="shared" ref="S106" ca="1" si="435">MIN(IF($B107,S105+IF(ISNUMBER(R106),R106,0),S107/$N105),1)</f>
        <v>0</v>
      </c>
      <c r="T106" s="143">
        <f t="shared" ref="T106" ca="1" si="436">MIN(IF($B107,T105+IF(ISNUMBER(S106),S106,0),T107/$N105),1)</f>
        <v>0</v>
      </c>
      <c r="U106" s="143">
        <f t="shared" ref="U106" ca="1" si="437">MIN(IF($B107,U105+IF(ISNUMBER(T106),T106,0),U107/$N105),1)</f>
        <v>0</v>
      </c>
      <c r="V106" s="143">
        <f t="shared" ref="V106" ca="1" si="438">MIN(IF($B107,V105+IF(ISNUMBER(U106),U106,0),V107/$N105),1)</f>
        <v>0</v>
      </c>
      <c r="W106" s="143">
        <f t="shared" ref="W106" ca="1" si="439">MIN(IF($B107,W105+IF(ISNUMBER(V106),V106,0),W107/$N105),1)</f>
        <v>1</v>
      </c>
      <c r="X106" s="163"/>
      <c r="AC106" s="143">
        <f t="shared" ref="AC106" ca="1" si="440">MIN(IF($B107,AC105+IF(ISNUMBER(AB106),AB106,0),AC107/$N105),1)</f>
        <v>0</v>
      </c>
    </row>
    <row r="107" spans="1:29" customFormat="1" ht="13.8" x14ac:dyDescent="0.25">
      <c r="A107" s="11">
        <f ca="1">OFFSET(A107,-CFF.NumLinha,0)+1</f>
        <v>30</v>
      </c>
      <c r="B107" s="11" t="b">
        <f ca="1">$C107&gt;=OFFSET($C107,CFF.NumLinha,0)</f>
        <v>1</v>
      </c>
      <c r="C107" s="11">
        <f ca="1">INDEX(PO!A$12:A$603,MATCH($A107,PO!$V$12:$V$603,0))</f>
        <v>2</v>
      </c>
      <c r="D107" s="11">
        <f t="shared" ref="D107:D138" ca="1" si="441">IF(ISERROR(J107),I107,SMALL(I107:J107,1))-1</f>
        <v>2</v>
      </c>
      <c r="E107" s="11">
        <f ca="1">IF($C107=1,OFFSET(E107,-CFF.NumLinha,0)+1,OFFSET(E107,-CFF.NumLinha,0))</f>
        <v>6</v>
      </c>
      <c r="F107" s="11">
        <f ca="1">IF($C107=1,0,IF($C107=2,OFFSET(F107,-CFF.NumLinha,0)+1,OFFSET(F107,-CFF.NumLinha,0)))</f>
        <v>5</v>
      </c>
      <c r="G107" s="11">
        <f ca="1">IF(AND($C107&lt;=2,$C107&lt;&gt;0),0,IF($C107=3,OFFSET(G107,-CFF.NumLinha,0)+1,OFFSET(G107,-CFF.NumLinha,0)))</f>
        <v>0</v>
      </c>
      <c r="H107" s="11">
        <f ca="1">IF(AND($C107&lt;=3,$C107&lt;&gt;0),0,IF($C107=4,OFFSET(H107,-CFF.NumLinha,0)+1,OFFSET(H107,-CFF.NumLinha,0)))</f>
        <v>0</v>
      </c>
      <c r="I107" s="11">
        <f ca="1">MATCH(0,OFFSET($D107,1,$C107,ROW($A$303)-ROW($A107)),0)</f>
        <v>6</v>
      </c>
      <c r="J107" s="11">
        <f ca="1">MATCH(OFFSET($D107,0,$C107)+1,OFFSET($D107,1,$C107,ROW($A$303)-ROW($A107)),0)</f>
        <v>3</v>
      </c>
      <c r="K107" s="156">
        <f ca="1">ROUND(INDEX(PO!T$12:T$603,MATCH($A107,PO!$V$12:$V$603,0)),2)+10^-12</f>
        <v>9.9999999999999998E-13</v>
      </c>
      <c r="L107" s="344"/>
      <c r="M107" s="338"/>
      <c r="N107" s="336"/>
      <c r="O107" s="171" t="s">
        <v>20</v>
      </c>
      <c r="P107" s="166">
        <f t="shared" ref="P107:W107" ca="1" si="442">IF($B107,ROUND(P106*$N105,2),ROUND(SUMIF(OFFSET($B107,1,0,$D107),TRUE,OFFSET(P107,1,0,$D107))/SUMIF(OFFSET($B107,1,0,$D107),TRUE,OFFSET($K107,1,0,$D107))*$N105,2))</f>
        <v>0</v>
      </c>
      <c r="Q107" s="144">
        <f t="shared" ca="1" si="442"/>
        <v>0</v>
      </c>
      <c r="R107" s="144">
        <f t="shared" ca="1" si="442"/>
        <v>0</v>
      </c>
      <c r="S107" s="144">
        <f t="shared" ca="1" si="442"/>
        <v>0</v>
      </c>
      <c r="T107" s="144">
        <f t="shared" ca="1" si="442"/>
        <v>0</v>
      </c>
      <c r="U107" s="144">
        <f t="shared" ca="1" si="442"/>
        <v>0</v>
      </c>
      <c r="V107" s="144">
        <f t="shared" ca="1" si="442"/>
        <v>0</v>
      </c>
      <c r="W107" s="174">
        <f t="shared" ca="1" si="442"/>
        <v>0</v>
      </c>
      <c r="X107" s="163"/>
      <c r="AC107" s="144">
        <f t="shared" ref="AC107" ca="1" si="443">IF($B107,ROUND(AC106*$N105,2),ROUND(SUMIF(OFFSET($B107,1,0,$D107),TRUE,OFFSET(AC107,1,0,$D107))/SUMIF(OFFSET($B107,1,0,$D107),TRUE,OFFSET($K107,1,0,$D107))*$N105,2))</f>
        <v>0</v>
      </c>
    </row>
    <row r="108" spans="1:29" customFormat="1" ht="14.25" customHeight="1" x14ac:dyDescent="0.25">
      <c r="A108" s="1"/>
      <c r="B108" s="1"/>
      <c r="C108" s="1"/>
      <c r="D108" s="1"/>
      <c r="E108" s="1"/>
      <c r="F108" s="1"/>
      <c r="G108" s="1"/>
      <c r="H108" s="1"/>
      <c r="I108" s="1"/>
      <c r="J108" s="1"/>
      <c r="K108" s="1"/>
      <c r="L108" s="343" t="str">
        <f ca="1">INDEX(PO!K$12:K$603,MATCH($A110,PO!$V$12:$V$603,0))</f>
        <v>6.6.</v>
      </c>
      <c r="M108" s="337" t="str">
        <f ca="1">INDEX(PO!N$12:N$603,MATCH($A110,PO!$V$12:$V$603,0))</f>
        <v>ESQUADRIAS GERAIS</v>
      </c>
      <c r="N108" s="335">
        <f t="shared" ref="N108" ca="1" si="444">IF(ROUND(K110,2)=0,K110,ROUND(K110,2))</f>
        <v>9.9999999999999998E-13</v>
      </c>
      <c r="O108" s="187" t="s">
        <v>143</v>
      </c>
      <c r="P108" s="192">
        <f t="shared" ref="P108" ca="1" si="445">IF($B110,0,P109-IF(ISNUMBER(O109),O109,0))</f>
        <v>0</v>
      </c>
      <c r="Q108" s="193">
        <f t="shared" ref="Q108" ca="1" si="446">IF($B110,0,Q109-IF(ISNUMBER(P109),P109,0))</f>
        <v>0</v>
      </c>
      <c r="R108" s="193">
        <f t="shared" ref="R108" ca="1" si="447">IF($B110,0,R109-IF(ISNUMBER(Q109),Q109,0))</f>
        <v>0</v>
      </c>
      <c r="S108" s="193">
        <f t="shared" ref="S108" ca="1" si="448">IF($B110,0,S109-IF(ISNUMBER(R109),R109,0))</f>
        <v>0</v>
      </c>
      <c r="T108" s="193">
        <f t="shared" ref="T108" ca="1" si="449">IF($B110,0,T109-IF(ISNUMBER(S109),S109,0))</f>
        <v>0</v>
      </c>
      <c r="U108" s="193">
        <f t="shared" ref="U108" ca="1" si="450">IF($B110,0,U109-IF(ISNUMBER(T109),T109,0))</f>
        <v>0</v>
      </c>
      <c r="V108" s="193">
        <f t="shared" ref="V108" ca="1" si="451">IF($B110,0,V109-IF(ISNUMBER(U109),U109,0))</f>
        <v>0</v>
      </c>
      <c r="W108" s="194">
        <v>1</v>
      </c>
      <c r="X108" s="163"/>
      <c r="AC108" s="188">
        <f t="shared" ref="AC108" ca="1" si="452">IF($B110,0,AC109-IF(ISNUMBER(AB109),AB109,0))</f>
        <v>0</v>
      </c>
    </row>
    <row r="109" spans="1:29" customFormat="1" ht="13.8" x14ac:dyDescent="0.25">
      <c r="A109" s="11"/>
      <c r="B109" s="11"/>
      <c r="C109" s="11"/>
      <c r="D109" s="11"/>
      <c r="E109" s="11"/>
      <c r="F109" s="11"/>
      <c r="G109" s="11"/>
      <c r="H109" s="11"/>
      <c r="I109" s="11"/>
      <c r="J109" s="11"/>
      <c r="K109" s="11"/>
      <c r="L109" s="344"/>
      <c r="M109" s="338"/>
      <c r="N109" s="336"/>
      <c r="O109" s="145" t="s">
        <v>145</v>
      </c>
      <c r="P109" s="165">
        <f t="shared" ref="P109" ca="1" si="453">MIN(IF($B110,P108+IF(ISNUMBER(O109),O109,0),P110/$N108),1)</f>
        <v>0</v>
      </c>
      <c r="Q109" s="143">
        <f t="shared" ref="Q109" ca="1" si="454">MIN(IF($B110,Q108+IF(ISNUMBER(P109),P109,0),Q110/$N108),1)</f>
        <v>0</v>
      </c>
      <c r="R109" s="143">
        <f t="shared" ref="R109" ca="1" si="455">MIN(IF($B110,R108+IF(ISNUMBER(Q109),Q109,0),R110/$N108),1)</f>
        <v>0</v>
      </c>
      <c r="S109" s="143">
        <f t="shared" ref="S109" ca="1" si="456">MIN(IF($B110,S108+IF(ISNUMBER(R109),R109,0),S110/$N108),1)</f>
        <v>0</v>
      </c>
      <c r="T109" s="143">
        <f t="shared" ref="T109" ca="1" si="457">MIN(IF($B110,T108+IF(ISNUMBER(S109),S109,0),T110/$N108),1)</f>
        <v>0</v>
      </c>
      <c r="U109" s="143">
        <f t="shared" ref="U109" ca="1" si="458">MIN(IF($B110,U108+IF(ISNUMBER(T109),T109,0),U110/$N108),1)</f>
        <v>0</v>
      </c>
      <c r="V109" s="143">
        <f t="shared" ref="V109" ca="1" si="459">MIN(IF($B110,V108+IF(ISNUMBER(U109),U109,0),V110/$N108),1)</f>
        <v>0</v>
      </c>
      <c r="W109" s="143">
        <f t="shared" ref="W109" ca="1" si="460">MIN(IF($B110,W108+IF(ISNUMBER(V109),V109,0),W110/$N108),1)</f>
        <v>1</v>
      </c>
      <c r="X109" s="163"/>
      <c r="AC109" s="143">
        <f t="shared" ref="AC109" ca="1" si="461">MIN(IF($B110,AC108+IF(ISNUMBER(AB109),AB109,0),AC110/$N108),1)</f>
        <v>0</v>
      </c>
    </row>
    <row r="110" spans="1:29" customFormat="1" ht="13.8" x14ac:dyDescent="0.25">
      <c r="A110" s="11">
        <f ca="1">OFFSET(A110,-CFF.NumLinha,0)+1</f>
        <v>31</v>
      </c>
      <c r="B110" s="11" t="b">
        <f ca="1">$C110&gt;=OFFSET($C110,CFF.NumLinha,0)</f>
        <v>1</v>
      </c>
      <c r="C110" s="11">
        <f ca="1">INDEX(PO!A$12:A$603,MATCH($A110,PO!$V$12:$V$603,0))</f>
        <v>2</v>
      </c>
      <c r="D110" s="11">
        <f t="shared" ref="D110:D141" ca="1" si="462">IF(ISERROR(J110),I110,SMALL(I110:J110,1))-1</f>
        <v>2</v>
      </c>
      <c r="E110" s="11">
        <f ca="1">IF($C110=1,OFFSET(E110,-CFF.NumLinha,0)+1,OFFSET(E110,-CFF.NumLinha,0))</f>
        <v>6</v>
      </c>
      <c r="F110" s="11">
        <f ca="1">IF($C110=1,0,IF($C110=2,OFFSET(F110,-CFF.NumLinha,0)+1,OFFSET(F110,-CFF.NumLinha,0)))</f>
        <v>6</v>
      </c>
      <c r="G110" s="11">
        <f ca="1">IF(AND($C110&lt;=2,$C110&lt;&gt;0),0,IF($C110=3,OFFSET(G110,-CFF.NumLinha,0)+1,OFFSET(G110,-CFF.NumLinha,0)))</f>
        <v>0</v>
      </c>
      <c r="H110" s="11">
        <f ca="1">IF(AND($C110&lt;=3,$C110&lt;&gt;0),0,IF($C110=4,OFFSET(H110,-CFF.NumLinha,0)+1,OFFSET(H110,-CFF.NumLinha,0)))</f>
        <v>0</v>
      </c>
      <c r="I110" s="11">
        <f ca="1">MATCH(0,OFFSET($D110,1,$C110,ROW($A$303)-ROW($A110)),0)</f>
        <v>3</v>
      </c>
      <c r="J110" s="11">
        <f ca="1">MATCH(OFFSET($D110,0,$C110)+1,OFFSET($D110,1,$C110,ROW($A$303)-ROW($A110)),0)</f>
        <v>174</v>
      </c>
      <c r="K110" s="156">
        <f ca="1">ROUND(INDEX(PO!T$12:T$603,MATCH($A110,PO!$V$12:$V$603,0)),2)+10^-12</f>
        <v>9.9999999999999998E-13</v>
      </c>
      <c r="L110" s="344"/>
      <c r="M110" s="338"/>
      <c r="N110" s="336"/>
      <c r="O110" s="171" t="s">
        <v>20</v>
      </c>
      <c r="P110" s="166">
        <f t="shared" ref="P110:W110" ca="1" si="463">IF($B110,ROUND(P109*$N108,2),ROUND(SUMIF(OFFSET($B110,1,0,$D110),TRUE,OFFSET(P110,1,0,$D110))/SUMIF(OFFSET($B110,1,0,$D110),TRUE,OFFSET($K110,1,0,$D110))*$N108,2))</f>
        <v>0</v>
      </c>
      <c r="Q110" s="144">
        <f t="shared" ca="1" si="463"/>
        <v>0</v>
      </c>
      <c r="R110" s="144">
        <f t="shared" ca="1" si="463"/>
        <v>0</v>
      </c>
      <c r="S110" s="144">
        <f t="shared" ca="1" si="463"/>
        <v>0</v>
      </c>
      <c r="T110" s="144">
        <f t="shared" ca="1" si="463"/>
        <v>0</v>
      </c>
      <c r="U110" s="144">
        <f t="shared" ca="1" si="463"/>
        <v>0</v>
      </c>
      <c r="V110" s="144">
        <f t="shared" ca="1" si="463"/>
        <v>0</v>
      </c>
      <c r="W110" s="174">
        <f t="shared" ca="1" si="463"/>
        <v>0</v>
      </c>
      <c r="X110" s="163"/>
      <c r="AC110" s="144">
        <f t="shared" ref="AC110" ca="1" si="464">IF($B110,ROUND(AC109*$N108,2),ROUND(SUMIF(OFFSET($B110,1,0,$D110),TRUE,OFFSET(AC110,1,0,$D110))/SUMIF(OFFSET($B110,1,0,$D110),TRUE,OFFSET($K110,1,0,$D110))*$N108,2))</f>
        <v>0</v>
      </c>
    </row>
    <row r="111" spans="1:29" customFormat="1" ht="14.25" customHeight="1" x14ac:dyDescent="0.25">
      <c r="A111" s="1"/>
      <c r="B111" s="1"/>
      <c r="C111" s="1"/>
      <c r="D111" s="1"/>
      <c r="E111" s="1"/>
      <c r="F111" s="1"/>
      <c r="G111" s="1"/>
      <c r="H111" s="1"/>
      <c r="I111" s="1"/>
      <c r="J111" s="1"/>
      <c r="K111" s="1"/>
      <c r="L111" s="343" t="str">
        <f ca="1">INDEX(PO!K$12:K$603,MATCH($A113,PO!$V$12:$V$603,0))</f>
        <v>7.</v>
      </c>
      <c r="M111" s="337" t="str">
        <f ca="1">INDEX(PO!N$12:N$603,MATCH($A113,PO!$V$12:$V$603,0))</f>
        <v>SISTEMA DE COBERTURA</v>
      </c>
      <c r="N111" s="335">
        <f t="shared" ref="N111" ca="1" si="465">IF(ROUND(K113,2)=0,K113,ROUND(K113,2))</f>
        <v>9.9999999999999998E-13</v>
      </c>
      <c r="O111" s="187" t="s">
        <v>143</v>
      </c>
      <c r="P111" s="192">
        <f t="shared" ref="P111" ca="1" si="466">IF($B113,0,P112-IF(ISNUMBER(O112),O112,0))</f>
        <v>0</v>
      </c>
      <c r="Q111" s="193">
        <f t="shared" ref="Q111" ca="1" si="467">IF($B113,0,Q112-IF(ISNUMBER(P112),P112,0))</f>
        <v>0</v>
      </c>
      <c r="R111" s="193">
        <f t="shared" ref="R111" ca="1" si="468">IF($B113,0,R112-IF(ISNUMBER(Q112),Q112,0))</f>
        <v>0</v>
      </c>
      <c r="S111" s="193">
        <f t="shared" ref="S111" ca="1" si="469">IF($B113,0,S112-IF(ISNUMBER(R112),R112,0))</f>
        <v>0</v>
      </c>
      <c r="T111" s="193">
        <f t="shared" ref="T111" ca="1" si="470">IF($B113,0,T112-IF(ISNUMBER(S112),S112,0))</f>
        <v>0</v>
      </c>
      <c r="U111" s="193">
        <f t="shared" ref="U111" ca="1" si="471">IF($B113,0,U112-IF(ISNUMBER(T112),T112,0))</f>
        <v>0</v>
      </c>
      <c r="V111" s="193">
        <v>0.5</v>
      </c>
      <c r="W111" s="194">
        <v>0.5</v>
      </c>
      <c r="X111" s="163"/>
      <c r="AC111" s="188">
        <f t="shared" ref="AC111" ca="1" si="472">IF($B113,0,AC112-IF(ISNUMBER(AB112),AB112,0))</f>
        <v>0</v>
      </c>
    </row>
    <row r="112" spans="1:29" customFormat="1" ht="13.8" x14ac:dyDescent="0.25">
      <c r="A112" s="11"/>
      <c r="B112" s="11"/>
      <c r="C112" s="11"/>
      <c r="D112" s="11"/>
      <c r="E112" s="11"/>
      <c r="F112" s="11"/>
      <c r="G112" s="11"/>
      <c r="H112" s="11"/>
      <c r="I112" s="11"/>
      <c r="J112" s="11"/>
      <c r="K112" s="11"/>
      <c r="L112" s="344"/>
      <c r="M112" s="338"/>
      <c r="N112" s="336"/>
      <c r="O112" s="145" t="s">
        <v>145</v>
      </c>
      <c r="P112" s="165">
        <f t="shared" ref="P112" ca="1" si="473">MIN(IF($B113,P111+IF(ISNUMBER(O112),O112,0),P113/$N111),1)</f>
        <v>0</v>
      </c>
      <c r="Q112" s="143">
        <f t="shared" ref="Q112" ca="1" si="474">MIN(IF($B113,Q111+IF(ISNUMBER(P112),P112,0),Q113/$N111),1)</f>
        <v>0</v>
      </c>
      <c r="R112" s="143">
        <f t="shared" ref="R112" ca="1" si="475">MIN(IF($B113,R111+IF(ISNUMBER(Q112),Q112,0),R113/$N111),1)</f>
        <v>0</v>
      </c>
      <c r="S112" s="143">
        <f t="shared" ref="S112" ca="1" si="476">MIN(IF($B113,S111+IF(ISNUMBER(R112),R112,0),S113/$N111),1)</f>
        <v>0</v>
      </c>
      <c r="T112" s="143">
        <f t="shared" ref="T112" ca="1" si="477">MIN(IF($B113,T111+IF(ISNUMBER(S112),S112,0),T113/$N111),1)</f>
        <v>0</v>
      </c>
      <c r="U112" s="143">
        <f t="shared" ref="U112" ca="1" si="478">MIN(IF($B113,U111+IF(ISNUMBER(T112),T112,0),U113/$N111),1)</f>
        <v>0</v>
      </c>
      <c r="V112" s="143">
        <f t="shared" ref="V112" ca="1" si="479">MIN(IF($B113,V111+IF(ISNUMBER(U112),U112,0),V113/$N111),1)</f>
        <v>0.5</v>
      </c>
      <c r="W112" s="143">
        <f t="shared" ref="W112" ca="1" si="480">MIN(IF($B113,W111+IF(ISNUMBER(V112),V112,0),W113/$N111),1)</f>
        <v>1</v>
      </c>
      <c r="X112" s="163"/>
      <c r="AC112" s="143">
        <f t="shared" ref="AC112" ca="1" si="481">MIN(IF($B113,AC111+IF(ISNUMBER(AB112),AB112,0),AC113/$N111),1)</f>
        <v>0</v>
      </c>
    </row>
    <row r="113" spans="1:29" customFormat="1" ht="13.8" x14ac:dyDescent="0.25">
      <c r="A113" s="11">
        <f ca="1">OFFSET(A113,-CFF.NumLinha,0)+1</f>
        <v>32</v>
      </c>
      <c r="B113" s="11" t="b">
        <f ca="1">$C113&gt;=OFFSET($C113,CFF.NumLinha,0)</f>
        <v>1</v>
      </c>
      <c r="C113" s="11">
        <f ca="1">INDEX(PO!A$12:A$603,MATCH($A113,PO!$V$12:$V$603,0))</f>
        <v>1</v>
      </c>
      <c r="D113" s="11">
        <f t="shared" ref="D113:D144" ca="1" si="482">IF(ISERROR(J113),I113,SMALL(I113:J113,1))-1</f>
        <v>2</v>
      </c>
      <c r="E113" s="11">
        <f ca="1">IF($C113=1,OFFSET(E113,-CFF.NumLinha,0)+1,OFFSET(E113,-CFF.NumLinha,0))</f>
        <v>7</v>
      </c>
      <c r="F113" s="11">
        <f ca="1">IF($C113=1,0,IF($C113=2,OFFSET(F113,-CFF.NumLinha,0)+1,OFFSET(F113,-CFF.NumLinha,0)))</f>
        <v>0</v>
      </c>
      <c r="G113" s="11">
        <f ca="1">IF(AND($C113&lt;=2,$C113&lt;&gt;0),0,IF($C113=3,OFFSET(G113,-CFF.NumLinha,0)+1,OFFSET(G113,-CFF.NumLinha,0)))</f>
        <v>0</v>
      </c>
      <c r="H113" s="11">
        <f ca="1">IF(AND($C113&lt;=3,$C113&lt;&gt;0),0,IF($C113=4,OFFSET(H113,-CFF.NumLinha,0)+1,OFFSET(H113,-CFF.NumLinha,0)))</f>
        <v>0</v>
      </c>
      <c r="I113" s="11">
        <f ca="1">MATCH(0,OFFSET($D113,1,$C113,ROW($A$303)-ROW($A113)),0)</f>
        <v>190</v>
      </c>
      <c r="J113" s="11">
        <f ca="1">MATCH(OFFSET($D113,0,$C113)+1,OFFSET($D113,1,$C113,ROW($A$303)-ROW($A113)),0)</f>
        <v>3</v>
      </c>
      <c r="K113" s="156">
        <f ca="1">ROUND(INDEX(PO!T$12:T$603,MATCH($A113,PO!$V$12:$V$603,0)),2)+10^-12</f>
        <v>9.9999999999999998E-13</v>
      </c>
      <c r="L113" s="344"/>
      <c r="M113" s="338"/>
      <c r="N113" s="336"/>
      <c r="O113" s="171" t="s">
        <v>20</v>
      </c>
      <c r="P113" s="166">
        <f t="shared" ref="P113:W113" ca="1" si="483">IF($B113,ROUND(P112*$N111,2),ROUND(SUMIF(OFFSET($B113,1,0,$D113),TRUE,OFFSET(P113,1,0,$D113))/SUMIF(OFFSET($B113,1,0,$D113),TRUE,OFFSET($K113,1,0,$D113))*$N111,2))</f>
        <v>0</v>
      </c>
      <c r="Q113" s="144">
        <f t="shared" ca="1" si="483"/>
        <v>0</v>
      </c>
      <c r="R113" s="144">
        <f t="shared" ca="1" si="483"/>
        <v>0</v>
      </c>
      <c r="S113" s="144">
        <f t="shared" ca="1" si="483"/>
        <v>0</v>
      </c>
      <c r="T113" s="144">
        <f t="shared" ca="1" si="483"/>
        <v>0</v>
      </c>
      <c r="U113" s="144">
        <f t="shared" ca="1" si="483"/>
        <v>0</v>
      </c>
      <c r="V113" s="144">
        <f t="shared" ca="1" si="483"/>
        <v>0</v>
      </c>
      <c r="W113" s="174">
        <f t="shared" ca="1" si="483"/>
        <v>0</v>
      </c>
      <c r="X113" s="163"/>
      <c r="AC113" s="144">
        <f t="shared" ref="AC113" ca="1" si="484">IF($B113,ROUND(AC112*$N111,2),ROUND(SUMIF(OFFSET($B113,1,0,$D113),TRUE,OFFSET(AC113,1,0,$D113))/SUMIF(OFFSET($B113,1,0,$D113),TRUE,OFFSET($K113,1,0,$D113))*$N111,2))</f>
        <v>0</v>
      </c>
    </row>
    <row r="114" spans="1:29" customFormat="1" ht="14.25" customHeight="1" x14ac:dyDescent="0.25">
      <c r="A114" s="1"/>
      <c r="B114" s="1"/>
      <c r="C114" s="1"/>
      <c r="D114" s="1"/>
      <c r="E114" s="1"/>
      <c r="F114" s="1"/>
      <c r="G114" s="1"/>
      <c r="H114" s="1"/>
      <c r="I114" s="1"/>
      <c r="J114" s="1"/>
      <c r="K114" s="1"/>
      <c r="L114" s="343" t="str">
        <f ca="1">INDEX(PO!K$12:K$603,MATCH($A116,PO!$V$12:$V$603,0))</f>
        <v>8.</v>
      </c>
      <c r="M114" s="337" t="str">
        <f ca="1">INDEX(PO!N$12:N$603,MATCH($A116,PO!$V$12:$V$603,0))</f>
        <v>IMPERMEABILIZAÇÃO</v>
      </c>
      <c r="N114" s="335">
        <f t="shared" ref="N114" ca="1" si="485">IF(ROUND(K116,2)=0,K116,ROUND(K116,2))</f>
        <v>9.9999999999999998E-13</v>
      </c>
      <c r="O114" s="187" t="s">
        <v>143</v>
      </c>
      <c r="P114" s="192">
        <f t="shared" ref="P114" ca="1" si="486">IF($B116,0,P115-IF(ISNUMBER(O115),O115,0))</f>
        <v>0</v>
      </c>
      <c r="Q114" s="193">
        <f t="shared" ref="Q114" ca="1" si="487">IF($B116,0,Q115-IF(ISNUMBER(P115),P115,0))</f>
        <v>0</v>
      </c>
      <c r="R114" s="193">
        <f t="shared" ref="R114" ca="1" si="488">IF($B116,0,R115-IF(ISNUMBER(Q115),Q115,0))</f>
        <v>0</v>
      </c>
      <c r="S114" s="193">
        <f t="shared" ref="S114" ca="1" si="489">IF($B116,0,S115-IF(ISNUMBER(R115),R115,0))</f>
        <v>0</v>
      </c>
      <c r="T114" s="193">
        <f t="shared" ref="T114" ca="1" si="490">IF($B116,0,T115-IF(ISNUMBER(S115),S115,0))</f>
        <v>0</v>
      </c>
      <c r="U114" s="193">
        <f t="shared" ref="U114" ca="1" si="491">IF($B116,0,U115-IF(ISNUMBER(T115),T115,0))</f>
        <v>0</v>
      </c>
      <c r="V114" s="193">
        <f t="shared" ref="V114" ca="1" si="492">IF($B116,0,V115-IF(ISNUMBER(U115),U115,0))</f>
        <v>0</v>
      </c>
      <c r="W114" s="194">
        <v>1</v>
      </c>
      <c r="X114" s="163"/>
      <c r="AC114" s="188">
        <f t="shared" ref="AC114" ca="1" si="493">IF($B116,0,AC115-IF(ISNUMBER(AB115),AB115,0))</f>
        <v>0</v>
      </c>
    </row>
    <row r="115" spans="1:29" customFormat="1" ht="13.8" x14ac:dyDescent="0.25">
      <c r="A115" s="11"/>
      <c r="B115" s="11"/>
      <c r="C115" s="11"/>
      <c r="D115" s="11"/>
      <c r="E115" s="11"/>
      <c r="F115" s="11"/>
      <c r="G115" s="11"/>
      <c r="H115" s="11"/>
      <c r="I115" s="11"/>
      <c r="J115" s="11"/>
      <c r="K115" s="11"/>
      <c r="L115" s="344"/>
      <c r="M115" s="338"/>
      <c r="N115" s="336"/>
      <c r="O115" s="145" t="s">
        <v>145</v>
      </c>
      <c r="P115" s="165">
        <f t="shared" ref="P115" ca="1" si="494">MIN(IF($B116,P114+IF(ISNUMBER(O115),O115,0),P116/$N114),1)</f>
        <v>0</v>
      </c>
      <c r="Q115" s="143">
        <f t="shared" ref="Q115" ca="1" si="495">MIN(IF($B116,Q114+IF(ISNUMBER(P115),P115,0),Q116/$N114),1)</f>
        <v>0</v>
      </c>
      <c r="R115" s="143">
        <f t="shared" ref="R115" ca="1" si="496">MIN(IF($B116,R114+IF(ISNUMBER(Q115),Q115,0),R116/$N114),1)</f>
        <v>0</v>
      </c>
      <c r="S115" s="143">
        <f t="shared" ref="S115" ca="1" si="497">MIN(IF($B116,S114+IF(ISNUMBER(R115),R115,0),S116/$N114),1)</f>
        <v>0</v>
      </c>
      <c r="T115" s="143">
        <f t="shared" ref="T115" ca="1" si="498">MIN(IF($B116,T114+IF(ISNUMBER(S115),S115,0),T116/$N114),1)</f>
        <v>0</v>
      </c>
      <c r="U115" s="143">
        <f t="shared" ref="U115" ca="1" si="499">MIN(IF($B116,U114+IF(ISNUMBER(T115),T115,0),U116/$N114),1)</f>
        <v>0</v>
      </c>
      <c r="V115" s="143">
        <f t="shared" ref="V115" ca="1" si="500">MIN(IF($B116,V114+IF(ISNUMBER(U115),U115,0),V116/$N114),1)</f>
        <v>0</v>
      </c>
      <c r="W115" s="143">
        <f t="shared" ref="W115" ca="1" si="501">MIN(IF($B116,W114+IF(ISNUMBER(V115),V115,0),W116/$N114),1)</f>
        <v>1</v>
      </c>
      <c r="X115" s="163"/>
      <c r="AC115" s="143">
        <f t="shared" ref="AC115" ca="1" si="502">MIN(IF($B116,AC114+IF(ISNUMBER(AB115),AB115,0),AC116/$N114),1)</f>
        <v>0</v>
      </c>
    </row>
    <row r="116" spans="1:29" customFormat="1" ht="13.8" x14ac:dyDescent="0.25">
      <c r="A116" s="11">
        <f ca="1">OFFSET(A116,-CFF.NumLinha,0)+1</f>
        <v>33</v>
      </c>
      <c r="B116" s="11" t="b">
        <f ca="1">$C116&gt;=OFFSET($C116,CFF.NumLinha,0)</f>
        <v>1</v>
      </c>
      <c r="C116" s="11">
        <f ca="1">INDEX(PO!A$12:A$603,MATCH($A116,PO!$V$12:$V$603,0))</f>
        <v>1</v>
      </c>
      <c r="D116" s="11">
        <f t="shared" ref="D116:D147" ca="1" si="503">IF(ISERROR(J116),I116,SMALL(I116:J116,1))-1</f>
        <v>2</v>
      </c>
      <c r="E116" s="11">
        <f ca="1">IF($C116=1,OFFSET(E116,-CFF.NumLinha,0)+1,OFFSET(E116,-CFF.NumLinha,0))</f>
        <v>8</v>
      </c>
      <c r="F116" s="11">
        <f ca="1">IF($C116=1,0,IF($C116=2,OFFSET(F116,-CFF.NumLinha,0)+1,OFFSET(F116,-CFF.NumLinha,0)))</f>
        <v>0</v>
      </c>
      <c r="G116" s="11">
        <f ca="1">IF(AND($C116&lt;=2,$C116&lt;&gt;0),0,IF($C116=3,OFFSET(G116,-CFF.NumLinha,0)+1,OFFSET(G116,-CFF.NumLinha,0)))</f>
        <v>0</v>
      </c>
      <c r="H116" s="11">
        <f ca="1">IF(AND($C116&lt;=3,$C116&lt;&gt;0),0,IF($C116=4,OFFSET(H116,-CFF.NumLinha,0)+1,OFFSET(H116,-CFF.NumLinha,0)))</f>
        <v>0</v>
      </c>
      <c r="I116" s="11">
        <f ca="1">MATCH(0,OFFSET($D116,1,$C116,ROW($A$303)-ROW($A116)),0)</f>
        <v>187</v>
      </c>
      <c r="J116" s="11">
        <f ca="1">MATCH(OFFSET($D116,0,$C116)+1,OFFSET($D116,1,$C116,ROW($A$303)-ROW($A116)),0)</f>
        <v>3</v>
      </c>
      <c r="K116" s="156">
        <f ca="1">ROUND(INDEX(PO!T$12:T$603,MATCH($A116,PO!$V$12:$V$603,0)),2)+10^-12</f>
        <v>9.9999999999999998E-13</v>
      </c>
      <c r="L116" s="344"/>
      <c r="M116" s="338"/>
      <c r="N116" s="336"/>
      <c r="O116" s="171" t="s">
        <v>20</v>
      </c>
      <c r="P116" s="166">
        <f t="shared" ref="P116:W116" ca="1" si="504">IF($B116,ROUND(P115*$N114,2),ROUND(SUMIF(OFFSET($B116,1,0,$D116),TRUE,OFFSET(P116,1,0,$D116))/SUMIF(OFFSET($B116,1,0,$D116),TRUE,OFFSET($K116,1,0,$D116))*$N114,2))</f>
        <v>0</v>
      </c>
      <c r="Q116" s="144">
        <f t="shared" ca="1" si="504"/>
        <v>0</v>
      </c>
      <c r="R116" s="144">
        <f t="shared" ca="1" si="504"/>
        <v>0</v>
      </c>
      <c r="S116" s="144">
        <f t="shared" ca="1" si="504"/>
        <v>0</v>
      </c>
      <c r="T116" s="144">
        <f t="shared" ca="1" si="504"/>
        <v>0</v>
      </c>
      <c r="U116" s="144">
        <f t="shared" ca="1" si="504"/>
        <v>0</v>
      </c>
      <c r="V116" s="144">
        <f t="shared" ca="1" si="504"/>
        <v>0</v>
      </c>
      <c r="W116" s="174">
        <f t="shared" ca="1" si="504"/>
        <v>0</v>
      </c>
      <c r="X116" s="163"/>
      <c r="AC116" s="144">
        <f t="shared" ref="AC116" ca="1" si="505">IF($B116,ROUND(AC115*$N114,2),ROUND(SUMIF(OFFSET($B116,1,0,$D116),TRUE,OFFSET(AC116,1,0,$D116))/SUMIF(OFFSET($B116,1,0,$D116),TRUE,OFFSET($K116,1,0,$D116))*$N114,2))</f>
        <v>0</v>
      </c>
    </row>
    <row r="117" spans="1:29" customFormat="1" ht="14.25" customHeight="1" x14ac:dyDescent="0.25">
      <c r="A117" s="1"/>
      <c r="B117" s="1"/>
      <c r="C117" s="1"/>
      <c r="D117" s="1"/>
      <c r="E117" s="1"/>
      <c r="F117" s="1"/>
      <c r="G117" s="1"/>
      <c r="H117" s="1"/>
      <c r="I117" s="1"/>
      <c r="J117" s="1"/>
      <c r="K117" s="1"/>
      <c r="L117" s="343" t="str">
        <f ca="1">INDEX(PO!K$12:K$603,MATCH($A119,PO!$V$12:$V$603,0))</f>
        <v>9.</v>
      </c>
      <c r="M117" s="337" t="str">
        <f ca="1">INDEX(PO!N$12:N$603,MATCH($A119,PO!$V$12:$V$603,0))</f>
        <v>REVESTIMENTOS INTERNOS E EXTERNOS</v>
      </c>
      <c r="N117" s="335">
        <f t="shared" ref="N117" ca="1" si="506">IF(ROUND(K119,2)=0,K119,ROUND(K119,2))</f>
        <v>9.9999999999999998E-13</v>
      </c>
      <c r="O117" s="187" t="s">
        <v>143</v>
      </c>
      <c r="P117" s="192">
        <f t="shared" ref="P117" ca="1" si="507">IF($B119,0,P118-IF(ISNUMBER(O118),O118,0))</f>
        <v>0</v>
      </c>
      <c r="Q117" s="193">
        <f t="shared" ref="Q117" ca="1" si="508">IF($B119,0,Q118-IF(ISNUMBER(P118),P118,0))</f>
        <v>0</v>
      </c>
      <c r="R117" s="193">
        <f t="shared" ref="R117" ca="1" si="509">IF($B119,0,R118-IF(ISNUMBER(Q118),Q118,0))</f>
        <v>0</v>
      </c>
      <c r="S117" s="193">
        <f t="shared" ref="S117" ca="1" si="510">IF($B119,0,S118-IF(ISNUMBER(R118),R118,0))</f>
        <v>0</v>
      </c>
      <c r="T117" s="193">
        <f t="shared" ref="T117" ca="1" si="511">IF($B119,0,T118-IF(ISNUMBER(S118),S118,0))</f>
        <v>0</v>
      </c>
      <c r="U117" s="193">
        <f t="shared" ref="U117" ca="1" si="512">IF($B119,0,U118-IF(ISNUMBER(T118),T118,0))</f>
        <v>0</v>
      </c>
      <c r="V117" s="193">
        <f t="shared" ref="V117" ca="1" si="513">IF($B119,0,V118-IF(ISNUMBER(U118),U118,0))</f>
        <v>0</v>
      </c>
      <c r="W117" s="194">
        <f t="shared" ref="W117" ca="1" si="514">IF($B119,0,W118-IF(ISNUMBER(V118),V118,0))</f>
        <v>0</v>
      </c>
      <c r="X117" s="163"/>
      <c r="AC117" s="188">
        <f t="shared" ref="AC117" ca="1" si="515">IF($B119,0,AC118-IF(ISNUMBER(AB118),AB118,0))</f>
        <v>0</v>
      </c>
    </row>
    <row r="118" spans="1:29" customFormat="1" ht="13.8" x14ac:dyDescent="0.25">
      <c r="A118" s="11"/>
      <c r="B118" s="11"/>
      <c r="C118" s="11"/>
      <c r="D118" s="11"/>
      <c r="E118" s="11"/>
      <c r="F118" s="11"/>
      <c r="G118" s="11"/>
      <c r="H118" s="11"/>
      <c r="I118" s="11"/>
      <c r="J118" s="11"/>
      <c r="K118" s="11"/>
      <c r="L118" s="344"/>
      <c r="M118" s="338"/>
      <c r="N118" s="336"/>
      <c r="O118" s="145" t="s">
        <v>145</v>
      </c>
      <c r="P118" s="165">
        <f t="shared" ref="P118" ca="1" si="516">MIN(IF($B119,P117+IF(ISNUMBER(O118),O118,0),P119/$N117),1)</f>
        <v>0</v>
      </c>
      <c r="Q118" s="143">
        <f t="shared" ref="Q118" ca="1" si="517">MIN(IF($B119,Q117+IF(ISNUMBER(P118),P118,0),Q119/$N117),1)</f>
        <v>0</v>
      </c>
      <c r="R118" s="143">
        <f t="shared" ref="R118" ca="1" si="518">MIN(IF($B119,R117+IF(ISNUMBER(Q118),Q118,0),R119/$N117),1)</f>
        <v>0</v>
      </c>
      <c r="S118" s="143">
        <f t="shared" ref="S118" ca="1" si="519">MIN(IF($B119,S117+IF(ISNUMBER(R118),R118,0),S119/$N117),1)</f>
        <v>0</v>
      </c>
      <c r="T118" s="143">
        <f t="shared" ref="T118" ca="1" si="520">MIN(IF($B119,T117+IF(ISNUMBER(S118),S118,0),T119/$N117),1)</f>
        <v>0</v>
      </c>
      <c r="U118" s="143">
        <f t="shared" ref="U118" ca="1" si="521">MIN(IF($B119,U117+IF(ISNUMBER(T118),T118,0),U119/$N117),1)</f>
        <v>0</v>
      </c>
      <c r="V118" s="143">
        <f t="shared" ref="V118" ca="1" si="522">MIN(IF($B119,V117+IF(ISNUMBER(U118),U118,0),V119/$N117),1)</f>
        <v>0</v>
      </c>
      <c r="W118" s="143">
        <f t="shared" ref="W118" ca="1" si="523">MIN(IF($B119,W117+IF(ISNUMBER(V118),V118,0),W119/$N117),1)</f>
        <v>0</v>
      </c>
      <c r="X118" s="163"/>
      <c r="AC118" s="143">
        <f t="shared" ref="AC118" ca="1" si="524">MIN(IF($B119,AC117+IF(ISNUMBER(AB118),AB118,0),AC119/$N117),1)</f>
        <v>0</v>
      </c>
    </row>
    <row r="119" spans="1:29" customFormat="1" ht="13.8" x14ac:dyDescent="0.25">
      <c r="A119" s="11">
        <f ca="1">OFFSET(A119,-CFF.NumLinha,0)+1</f>
        <v>34</v>
      </c>
      <c r="B119" s="11" t="b">
        <f ca="1">$C119&gt;=OFFSET($C119,CFF.NumLinha,0)</f>
        <v>0</v>
      </c>
      <c r="C119" s="11">
        <f ca="1">INDEX(PO!A$12:A$603,MATCH($A119,PO!$V$12:$V$603,0))</f>
        <v>1</v>
      </c>
      <c r="D119" s="11">
        <f t="shared" ref="D119:D150" ca="1" si="525">IF(ISERROR(J119),I119,SMALL(I119:J119,1))-1</f>
        <v>8</v>
      </c>
      <c r="E119" s="11">
        <f ca="1">IF($C119=1,OFFSET(E119,-CFF.NumLinha,0)+1,OFFSET(E119,-CFF.NumLinha,0))</f>
        <v>9</v>
      </c>
      <c r="F119" s="11">
        <f ca="1">IF($C119=1,0,IF($C119=2,OFFSET(F119,-CFF.NumLinha,0)+1,OFFSET(F119,-CFF.NumLinha,0)))</f>
        <v>0</v>
      </c>
      <c r="G119" s="11">
        <f ca="1">IF(AND($C119&lt;=2,$C119&lt;&gt;0),0,IF($C119=3,OFFSET(G119,-CFF.NumLinha,0)+1,OFFSET(G119,-CFF.NumLinha,0)))</f>
        <v>0</v>
      </c>
      <c r="H119" s="11">
        <f ca="1">IF(AND($C119&lt;=3,$C119&lt;&gt;0),0,IF($C119=4,OFFSET(H119,-CFF.NumLinha,0)+1,OFFSET(H119,-CFF.NumLinha,0)))</f>
        <v>0</v>
      </c>
      <c r="I119" s="11">
        <f ca="1">MATCH(0,OFFSET($D119,1,$C119,ROW($A$303)-ROW($A119)),0)</f>
        <v>184</v>
      </c>
      <c r="J119" s="11">
        <f ca="1">MATCH(OFFSET($D119,0,$C119)+1,OFFSET($D119,1,$C119,ROW($A$303)-ROW($A119)),0)</f>
        <v>9</v>
      </c>
      <c r="K119" s="156">
        <f ca="1">ROUND(INDEX(PO!T$12:T$603,MATCH($A119,PO!$V$12:$V$603,0)),2)+10^-12</f>
        <v>9.9999999999999998E-13</v>
      </c>
      <c r="L119" s="344"/>
      <c r="M119" s="338"/>
      <c r="N119" s="336"/>
      <c r="O119" s="171" t="s">
        <v>20</v>
      </c>
      <c r="P119" s="166">
        <f t="shared" ref="P119:W119" ca="1" si="526">IF($B119,ROUND(P118*$N117,2),ROUND(SUMIF(OFFSET($B119,1,0,$D119),TRUE,OFFSET(P119,1,0,$D119))/SUMIF(OFFSET($B119,1,0,$D119),TRUE,OFFSET($K119,1,0,$D119))*$N117,2))</f>
        <v>0</v>
      </c>
      <c r="Q119" s="144">
        <f t="shared" ca="1" si="526"/>
        <v>0</v>
      </c>
      <c r="R119" s="144">
        <f t="shared" ca="1" si="526"/>
        <v>0</v>
      </c>
      <c r="S119" s="144">
        <f t="shared" ca="1" si="526"/>
        <v>0</v>
      </c>
      <c r="T119" s="144">
        <f t="shared" ca="1" si="526"/>
        <v>0</v>
      </c>
      <c r="U119" s="144">
        <f t="shared" ca="1" si="526"/>
        <v>0</v>
      </c>
      <c r="V119" s="144">
        <f t="shared" ca="1" si="526"/>
        <v>0</v>
      </c>
      <c r="W119" s="174">
        <f t="shared" ca="1" si="526"/>
        <v>0</v>
      </c>
      <c r="X119" s="163"/>
      <c r="AC119" s="144">
        <f t="shared" ref="AC119" ca="1" si="527">IF($B119,ROUND(AC118*$N117,2),ROUND(SUMIF(OFFSET($B119,1,0,$D119),TRUE,OFFSET(AC119,1,0,$D119))/SUMIF(OFFSET($B119,1,0,$D119),TRUE,OFFSET($K119,1,0,$D119))*$N117,2))</f>
        <v>0</v>
      </c>
    </row>
    <row r="120" spans="1:29" customFormat="1" ht="14.25" customHeight="1" x14ac:dyDescent="0.25">
      <c r="A120" s="1"/>
      <c r="B120" s="1"/>
      <c r="C120" s="1"/>
      <c r="D120" s="1"/>
      <c r="E120" s="1"/>
      <c r="F120" s="1"/>
      <c r="G120" s="1"/>
      <c r="H120" s="1"/>
      <c r="I120" s="1"/>
      <c r="J120" s="1"/>
      <c r="K120" s="1"/>
      <c r="L120" s="343" t="str">
        <f ca="1">INDEX(PO!K$12:K$603,MATCH($A122,PO!$V$12:$V$603,0))</f>
        <v>9.1.</v>
      </c>
      <c r="M120" s="337" t="str">
        <f ca="1">INDEX(PO!N$12:N$603,MATCH($A122,PO!$V$12:$V$603,0))</f>
        <v>EDIFICAÇÃO</v>
      </c>
      <c r="N120" s="335">
        <f t="shared" ref="N120" ca="1" si="528">IF(ROUND(K122,2)=0,K122,ROUND(K122,2))</f>
        <v>9.9999999999999998E-13</v>
      </c>
      <c r="O120" s="187" t="s">
        <v>143</v>
      </c>
      <c r="P120" s="192">
        <f t="shared" ref="P120" ca="1" si="529">IF($B122,0,P121-IF(ISNUMBER(O121),O121,0))</f>
        <v>0</v>
      </c>
      <c r="Q120" s="193">
        <f t="shared" ref="Q120" ca="1" si="530">IF($B122,0,Q121-IF(ISNUMBER(P121),P121,0))</f>
        <v>0</v>
      </c>
      <c r="R120" s="193">
        <f t="shared" ref="R120" ca="1" si="531">IF($B122,0,R121-IF(ISNUMBER(Q121),Q121,0))</f>
        <v>0</v>
      </c>
      <c r="S120" s="193">
        <f t="shared" ref="S120" ca="1" si="532">IF($B122,0,S121-IF(ISNUMBER(R121),R121,0))</f>
        <v>0</v>
      </c>
      <c r="T120" s="193">
        <f t="shared" ref="T120" ca="1" si="533">IF($B122,0,T121-IF(ISNUMBER(S121),S121,0))</f>
        <v>0</v>
      </c>
      <c r="U120" s="193">
        <v>0.4</v>
      </c>
      <c r="V120" s="193">
        <v>0.3</v>
      </c>
      <c r="W120" s="194">
        <v>0.3</v>
      </c>
      <c r="X120" s="163"/>
      <c r="AC120" s="188">
        <f t="shared" ref="AC120" ca="1" si="534">IF($B122,0,AC121-IF(ISNUMBER(AB121),AB121,0))</f>
        <v>0</v>
      </c>
    </row>
    <row r="121" spans="1:29" customFormat="1" ht="13.8" x14ac:dyDescent="0.25">
      <c r="A121" s="11"/>
      <c r="B121" s="11"/>
      <c r="C121" s="11"/>
      <c r="D121" s="11"/>
      <c r="E121" s="11"/>
      <c r="F121" s="11"/>
      <c r="G121" s="11"/>
      <c r="H121" s="11"/>
      <c r="I121" s="11"/>
      <c r="J121" s="11"/>
      <c r="K121" s="11"/>
      <c r="L121" s="344"/>
      <c r="M121" s="338"/>
      <c r="N121" s="336"/>
      <c r="O121" s="145" t="s">
        <v>145</v>
      </c>
      <c r="P121" s="165">
        <f t="shared" ref="P121" ca="1" si="535">MIN(IF($B122,P120+IF(ISNUMBER(O121),O121,0),P122/$N120),1)</f>
        <v>0</v>
      </c>
      <c r="Q121" s="143">
        <f t="shared" ref="Q121" ca="1" si="536">MIN(IF($B122,Q120+IF(ISNUMBER(P121),P121,0),Q122/$N120),1)</f>
        <v>0</v>
      </c>
      <c r="R121" s="143">
        <f t="shared" ref="R121" ca="1" si="537">MIN(IF($B122,R120+IF(ISNUMBER(Q121),Q121,0),R122/$N120),1)</f>
        <v>0</v>
      </c>
      <c r="S121" s="143">
        <f t="shared" ref="S121" ca="1" si="538">MIN(IF($B122,S120+IF(ISNUMBER(R121),R121,0),S122/$N120),1)</f>
        <v>0</v>
      </c>
      <c r="T121" s="143">
        <f t="shared" ref="T121" ca="1" si="539">MIN(IF($B122,T120+IF(ISNUMBER(S121),S121,0),T122/$N120),1)</f>
        <v>0</v>
      </c>
      <c r="U121" s="143">
        <f t="shared" ref="U121" ca="1" si="540">MIN(IF($B122,U120+IF(ISNUMBER(T121),T121,0),U122/$N120),1)</f>
        <v>0.4</v>
      </c>
      <c r="V121" s="143">
        <f t="shared" ref="V121" ca="1" si="541">MIN(IF($B122,V120+IF(ISNUMBER(U121),U121,0),V122/$N120),1)</f>
        <v>0.7</v>
      </c>
      <c r="W121" s="143">
        <f t="shared" ref="W121" ca="1" si="542">MIN(IF($B122,W120+IF(ISNUMBER(V121),V121,0),W122/$N120),1)</f>
        <v>1</v>
      </c>
      <c r="X121" s="163"/>
      <c r="AC121" s="143">
        <f t="shared" ref="AC121" ca="1" si="543">MIN(IF($B122,AC120+IF(ISNUMBER(AB121),AB121,0),AC122/$N120),1)</f>
        <v>0</v>
      </c>
    </row>
    <row r="122" spans="1:29" customFormat="1" ht="13.8" x14ac:dyDescent="0.25">
      <c r="A122" s="11">
        <f ca="1">OFFSET(A122,-CFF.NumLinha,0)+1</f>
        <v>35</v>
      </c>
      <c r="B122" s="11" t="b">
        <f ca="1">$C122&gt;=OFFSET($C122,CFF.NumLinha,0)</f>
        <v>1</v>
      </c>
      <c r="C122" s="11">
        <f ca="1">INDEX(PO!A$12:A$603,MATCH($A122,PO!$V$12:$V$603,0))</f>
        <v>2</v>
      </c>
      <c r="D122" s="11">
        <f t="shared" ref="D122:D153" ca="1" si="544">IF(ISERROR(J122),I122,SMALL(I122:J122,1))-1</f>
        <v>2</v>
      </c>
      <c r="E122" s="11">
        <f ca="1">IF($C122=1,OFFSET(E122,-CFF.NumLinha,0)+1,OFFSET(E122,-CFF.NumLinha,0))</f>
        <v>9</v>
      </c>
      <c r="F122" s="11">
        <f ca="1">IF($C122=1,0,IF($C122=2,OFFSET(F122,-CFF.NumLinha,0)+1,OFFSET(F122,-CFF.NumLinha,0)))</f>
        <v>1</v>
      </c>
      <c r="G122" s="11">
        <f ca="1">IF(AND($C122&lt;=2,$C122&lt;&gt;0),0,IF($C122=3,OFFSET(G122,-CFF.NumLinha,0)+1,OFFSET(G122,-CFF.NumLinha,0)))</f>
        <v>0</v>
      </c>
      <c r="H122" s="11">
        <f ca="1">IF(AND($C122&lt;=3,$C122&lt;&gt;0),0,IF($C122=4,OFFSET(H122,-CFF.NumLinha,0)+1,OFFSET(H122,-CFF.NumLinha,0)))</f>
        <v>0</v>
      </c>
      <c r="I122" s="11">
        <f ca="1">MATCH(0,OFFSET($D122,1,$C122,ROW($A$303)-ROW($A122)),0)</f>
        <v>6</v>
      </c>
      <c r="J122" s="11">
        <f ca="1">MATCH(OFFSET($D122,0,$C122)+1,OFFSET($D122,1,$C122,ROW($A$303)-ROW($A122)),0)</f>
        <v>3</v>
      </c>
      <c r="K122" s="156">
        <f ca="1">ROUND(INDEX(PO!T$12:T$603,MATCH($A122,PO!$V$12:$V$603,0)),2)+10^-12</f>
        <v>9.9999999999999998E-13</v>
      </c>
      <c r="L122" s="344"/>
      <c r="M122" s="338"/>
      <c r="N122" s="336"/>
      <c r="O122" s="171" t="s">
        <v>20</v>
      </c>
      <c r="P122" s="166">
        <f t="shared" ref="P122:W122" ca="1" si="545">IF($B122,ROUND(P121*$N120,2),ROUND(SUMIF(OFFSET($B122,1,0,$D122),TRUE,OFFSET(P122,1,0,$D122))/SUMIF(OFFSET($B122,1,0,$D122),TRUE,OFFSET($K122,1,0,$D122))*$N120,2))</f>
        <v>0</v>
      </c>
      <c r="Q122" s="144">
        <f t="shared" ca="1" si="545"/>
        <v>0</v>
      </c>
      <c r="R122" s="144">
        <f t="shared" ca="1" si="545"/>
        <v>0</v>
      </c>
      <c r="S122" s="144">
        <f t="shared" ca="1" si="545"/>
        <v>0</v>
      </c>
      <c r="T122" s="144">
        <f t="shared" ca="1" si="545"/>
        <v>0</v>
      </c>
      <c r="U122" s="144">
        <f t="shared" ca="1" si="545"/>
        <v>0</v>
      </c>
      <c r="V122" s="144">
        <f t="shared" ca="1" si="545"/>
        <v>0</v>
      </c>
      <c r="W122" s="174">
        <f t="shared" ca="1" si="545"/>
        <v>0</v>
      </c>
      <c r="X122" s="163"/>
      <c r="AC122" s="144">
        <f t="shared" ref="AC122" ca="1" si="546">IF($B122,ROUND(AC121*$N120,2),ROUND(SUMIF(OFFSET($B122,1,0,$D122),TRUE,OFFSET(AC122,1,0,$D122))/SUMIF(OFFSET($B122,1,0,$D122),TRUE,OFFSET($K122,1,0,$D122))*$N120,2))</f>
        <v>0</v>
      </c>
    </row>
    <row r="123" spans="1:29" customFormat="1" ht="14.25" customHeight="1" x14ac:dyDescent="0.25">
      <c r="A123" s="1"/>
      <c r="B123" s="1"/>
      <c r="C123" s="1"/>
      <c r="D123" s="1"/>
      <c r="E123" s="1"/>
      <c r="F123" s="1"/>
      <c r="G123" s="1"/>
      <c r="H123" s="1"/>
      <c r="I123" s="1"/>
      <c r="J123" s="1"/>
      <c r="K123" s="1"/>
      <c r="L123" s="343" t="str">
        <f ca="1">INDEX(PO!K$12:K$603,MATCH($A125,PO!$V$12:$V$603,0))</f>
        <v>9.2.</v>
      </c>
      <c r="M123" s="337" t="str">
        <f ca="1">INDEX(PO!N$12:N$603,MATCH($A125,PO!$V$12:$V$603,0))</f>
        <v>MURETA</v>
      </c>
      <c r="N123" s="335">
        <f t="shared" ref="N123" ca="1" si="547">IF(ROUND(K125,2)=0,K125,ROUND(K125,2))</f>
        <v>9.9999999999999998E-13</v>
      </c>
      <c r="O123" s="187" t="s">
        <v>143</v>
      </c>
      <c r="P123" s="192">
        <f t="shared" ref="P123" ca="1" si="548">IF($B125,0,P124-IF(ISNUMBER(O124),O124,0))</f>
        <v>0</v>
      </c>
      <c r="Q123" s="193">
        <f t="shared" ref="Q123" ca="1" si="549">IF($B125,0,Q124-IF(ISNUMBER(P124),P124,0))</f>
        <v>0</v>
      </c>
      <c r="R123" s="193">
        <f t="shared" ref="R123" ca="1" si="550">IF($B125,0,R124-IF(ISNUMBER(Q124),Q124,0))</f>
        <v>0</v>
      </c>
      <c r="S123" s="193">
        <f t="shared" ref="S123" ca="1" si="551">IF($B125,0,S124-IF(ISNUMBER(R124),R124,0))</f>
        <v>0</v>
      </c>
      <c r="T123" s="193">
        <f t="shared" ref="T123" ca="1" si="552">IF($B125,0,T124-IF(ISNUMBER(S124),S124,0))</f>
        <v>0</v>
      </c>
      <c r="U123" s="193">
        <f t="shared" ref="U123" ca="1" si="553">IF($B125,0,U124-IF(ISNUMBER(T124),T124,0))</f>
        <v>0</v>
      </c>
      <c r="V123" s="193">
        <v>0.5</v>
      </c>
      <c r="W123" s="194">
        <v>0.5</v>
      </c>
      <c r="X123" s="163"/>
      <c r="AC123" s="188">
        <f t="shared" ref="AC123" ca="1" si="554">IF($B125,0,AC124-IF(ISNUMBER(AB124),AB124,0))</f>
        <v>0</v>
      </c>
    </row>
    <row r="124" spans="1:29" customFormat="1" ht="13.8" x14ac:dyDescent="0.25">
      <c r="A124" s="11"/>
      <c r="B124" s="11"/>
      <c r="C124" s="11"/>
      <c r="D124" s="11"/>
      <c r="E124" s="11"/>
      <c r="F124" s="11"/>
      <c r="G124" s="11"/>
      <c r="H124" s="11"/>
      <c r="I124" s="11"/>
      <c r="J124" s="11"/>
      <c r="K124" s="11"/>
      <c r="L124" s="344"/>
      <c r="M124" s="338"/>
      <c r="N124" s="336"/>
      <c r="O124" s="145" t="s">
        <v>145</v>
      </c>
      <c r="P124" s="165">
        <f t="shared" ref="P124" ca="1" si="555">MIN(IF($B125,P123+IF(ISNUMBER(O124),O124,0),P125/$N123),1)</f>
        <v>0</v>
      </c>
      <c r="Q124" s="143">
        <f t="shared" ref="Q124" ca="1" si="556">MIN(IF($B125,Q123+IF(ISNUMBER(P124),P124,0),Q125/$N123),1)</f>
        <v>0</v>
      </c>
      <c r="R124" s="143">
        <f t="shared" ref="R124" ca="1" si="557">MIN(IF($B125,R123+IF(ISNUMBER(Q124),Q124,0),R125/$N123),1)</f>
        <v>0</v>
      </c>
      <c r="S124" s="143">
        <f t="shared" ref="S124" ca="1" si="558">MIN(IF($B125,S123+IF(ISNUMBER(R124),R124,0),S125/$N123),1)</f>
        <v>0</v>
      </c>
      <c r="T124" s="143">
        <f t="shared" ref="T124" ca="1" si="559">MIN(IF($B125,T123+IF(ISNUMBER(S124),S124,0),T125/$N123),1)</f>
        <v>0</v>
      </c>
      <c r="U124" s="143">
        <f t="shared" ref="U124" ca="1" si="560">MIN(IF($B125,U123+IF(ISNUMBER(T124),T124,0),U125/$N123),1)</f>
        <v>0</v>
      </c>
      <c r="V124" s="143">
        <f t="shared" ref="V124" ca="1" si="561">MIN(IF($B125,V123+IF(ISNUMBER(U124),U124,0),V125/$N123),1)</f>
        <v>0.5</v>
      </c>
      <c r="W124" s="143">
        <f t="shared" ref="W124" ca="1" si="562">MIN(IF($B125,W123+IF(ISNUMBER(V124),V124,0),W125/$N123),1)</f>
        <v>1</v>
      </c>
      <c r="X124" s="163"/>
      <c r="AC124" s="143">
        <f t="shared" ref="AC124" ca="1" si="563">MIN(IF($B125,AC123+IF(ISNUMBER(AB124),AB124,0),AC125/$N123),1)</f>
        <v>0</v>
      </c>
    </row>
    <row r="125" spans="1:29" customFormat="1" ht="13.8" x14ac:dyDescent="0.25">
      <c r="A125" s="11">
        <f ca="1">OFFSET(A125,-CFF.NumLinha,0)+1</f>
        <v>36</v>
      </c>
      <c r="B125" s="11" t="b">
        <f ca="1">$C125&gt;=OFFSET($C125,CFF.NumLinha,0)</f>
        <v>1</v>
      </c>
      <c r="C125" s="11">
        <f ca="1">INDEX(PO!A$12:A$603,MATCH($A125,PO!$V$12:$V$603,0))</f>
        <v>2</v>
      </c>
      <c r="D125" s="11">
        <f t="shared" ref="D125:D156" ca="1" si="564">IF(ISERROR(J125),I125,SMALL(I125:J125,1))-1</f>
        <v>2</v>
      </c>
      <c r="E125" s="11">
        <f ca="1">IF($C125=1,OFFSET(E125,-CFF.NumLinha,0)+1,OFFSET(E125,-CFF.NumLinha,0))</f>
        <v>9</v>
      </c>
      <c r="F125" s="11">
        <f ca="1">IF($C125=1,0,IF($C125=2,OFFSET(F125,-CFF.NumLinha,0)+1,OFFSET(F125,-CFF.NumLinha,0)))</f>
        <v>2</v>
      </c>
      <c r="G125" s="11">
        <f ca="1">IF(AND($C125&lt;=2,$C125&lt;&gt;0),0,IF($C125=3,OFFSET(G125,-CFF.NumLinha,0)+1,OFFSET(G125,-CFF.NumLinha,0)))</f>
        <v>0</v>
      </c>
      <c r="H125" s="11">
        <f ca="1">IF(AND($C125&lt;=3,$C125&lt;&gt;0),0,IF($C125=4,OFFSET(H125,-CFF.NumLinha,0)+1,OFFSET(H125,-CFF.NumLinha,0)))</f>
        <v>0</v>
      </c>
      <c r="I125" s="11">
        <f ca="1">MATCH(0,OFFSET($D125,1,$C125,ROW($A$303)-ROW($A125)),0)</f>
        <v>3</v>
      </c>
      <c r="J125" s="11">
        <f ca="1">MATCH(OFFSET($D125,0,$C125)+1,OFFSET($D125,1,$C125,ROW($A$303)-ROW($A125)),0)</f>
        <v>21</v>
      </c>
      <c r="K125" s="156">
        <f ca="1">ROUND(INDEX(PO!T$12:T$603,MATCH($A125,PO!$V$12:$V$603,0)),2)+10^-12</f>
        <v>9.9999999999999998E-13</v>
      </c>
      <c r="L125" s="344"/>
      <c r="M125" s="338"/>
      <c r="N125" s="336"/>
      <c r="O125" s="171" t="s">
        <v>20</v>
      </c>
      <c r="P125" s="166">
        <f t="shared" ref="P125:W125" ca="1" si="565">IF($B125,ROUND(P124*$N123,2),ROUND(SUMIF(OFFSET($B125,1,0,$D125),TRUE,OFFSET(P125,1,0,$D125))/SUMIF(OFFSET($B125,1,0,$D125),TRUE,OFFSET($K125,1,0,$D125))*$N123,2))</f>
        <v>0</v>
      </c>
      <c r="Q125" s="144">
        <f t="shared" ca="1" si="565"/>
        <v>0</v>
      </c>
      <c r="R125" s="144">
        <f t="shared" ca="1" si="565"/>
        <v>0</v>
      </c>
      <c r="S125" s="144">
        <f t="shared" ca="1" si="565"/>
        <v>0</v>
      </c>
      <c r="T125" s="144">
        <f t="shared" ca="1" si="565"/>
        <v>0</v>
      </c>
      <c r="U125" s="144">
        <f t="shared" ca="1" si="565"/>
        <v>0</v>
      </c>
      <c r="V125" s="144">
        <f t="shared" ca="1" si="565"/>
        <v>0</v>
      </c>
      <c r="W125" s="174">
        <f t="shared" ca="1" si="565"/>
        <v>0</v>
      </c>
      <c r="X125" s="163"/>
      <c r="AC125" s="144">
        <f t="shared" ref="AC125" ca="1" si="566">IF($B125,ROUND(AC124*$N123,2),ROUND(SUMIF(OFFSET($B125,1,0,$D125),TRUE,OFFSET(AC125,1,0,$D125))/SUMIF(OFFSET($B125,1,0,$D125),TRUE,OFFSET($K125,1,0,$D125))*$N123,2))</f>
        <v>0</v>
      </c>
    </row>
    <row r="126" spans="1:29" customFormat="1" ht="14.25" customHeight="1" x14ac:dyDescent="0.25">
      <c r="A126" s="1"/>
      <c r="B126" s="1"/>
      <c r="C126" s="1"/>
      <c r="D126" s="1"/>
      <c r="E126" s="1"/>
      <c r="F126" s="1"/>
      <c r="G126" s="1"/>
      <c r="H126" s="1"/>
      <c r="I126" s="1"/>
      <c r="J126" s="1"/>
      <c r="K126" s="1"/>
      <c r="L126" s="343" t="str">
        <f ca="1">INDEX(PO!K$12:K$603,MATCH($A128,PO!$V$12:$V$603,0))</f>
        <v>10.</v>
      </c>
      <c r="M126" s="337" t="str">
        <f ca="1">INDEX(PO!N$12:N$603,MATCH($A128,PO!$V$12:$V$603,0))</f>
        <v>SISTEMAS DE PISO</v>
      </c>
      <c r="N126" s="335">
        <f t="shared" ref="N126" ca="1" si="567">IF(ROUND(K128,2)=0,K128,ROUND(K128,2))</f>
        <v>9.9999999999999998E-13</v>
      </c>
      <c r="O126" s="187" t="s">
        <v>143</v>
      </c>
      <c r="P126" s="192">
        <f t="shared" ref="P126" ca="1" si="568">IF($B128,0,P127-IF(ISNUMBER(O127),O127,0))</f>
        <v>0</v>
      </c>
      <c r="Q126" s="193">
        <f t="shared" ref="Q126" ca="1" si="569">IF($B128,0,Q127-IF(ISNUMBER(P127),P127,0))</f>
        <v>0</v>
      </c>
      <c r="R126" s="193">
        <f t="shared" ref="R126" ca="1" si="570">IF($B128,0,R127-IF(ISNUMBER(Q127),Q127,0))</f>
        <v>0</v>
      </c>
      <c r="S126" s="193">
        <f t="shared" ref="S126" ca="1" si="571">IF($B128,0,S127-IF(ISNUMBER(R127),R127,0))</f>
        <v>0</v>
      </c>
      <c r="T126" s="193">
        <f t="shared" ref="T126" ca="1" si="572">IF($B128,0,T127-IF(ISNUMBER(S127),S127,0))</f>
        <v>0</v>
      </c>
      <c r="U126" s="193">
        <f t="shared" ref="U126" ca="1" si="573">IF($B128,0,U127-IF(ISNUMBER(T127),T127,0))</f>
        <v>0</v>
      </c>
      <c r="V126" s="193">
        <f t="shared" ref="V126" ca="1" si="574">IF($B128,0,V127-IF(ISNUMBER(U127),U127,0))</f>
        <v>0</v>
      </c>
      <c r="W126" s="194">
        <f t="shared" ref="W126" ca="1" si="575">IF($B128,0,W127-IF(ISNUMBER(V127),V127,0))</f>
        <v>0</v>
      </c>
      <c r="X126" s="163"/>
      <c r="AC126" s="188">
        <f t="shared" ref="AC126" ca="1" si="576">IF($B128,0,AC127-IF(ISNUMBER(AB127),AB127,0))</f>
        <v>0</v>
      </c>
    </row>
    <row r="127" spans="1:29" customFormat="1" ht="13.8" x14ac:dyDescent="0.25">
      <c r="A127" s="11"/>
      <c r="B127" s="11"/>
      <c r="C127" s="11"/>
      <c r="D127" s="11"/>
      <c r="E127" s="11"/>
      <c r="F127" s="11"/>
      <c r="G127" s="11"/>
      <c r="H127" s="11"/>
      <c r="I127" s="11"/>
      <c r="J127" s="11"/>
      <c r="K127" s="11"/>
      <c r="L127" s="344"/>
      <c r="M127" s="338"/>
      <c r="N127" s="336"/>
      <c r="O127" s="145" t="s">
        <v>145</v>
      </c>
      <c r="P127" s="165">
        <f t="shared" ref="P127" ca="1" si="577">MIN(IF($B128,P126+IF(ISNUMBER(O127),O127,0),P128/$N126),1)</f>
        <v>0</v>
      </c>
      <c r="Q127" s="143">
        <f t="shared" ref="Q127" ca="1" si="578">MIN(IF($B128,Q126+IF(ISNUMBER(P127),P127,0),Q128/$N126),1)</f>
        <v>0</v>
      </c>
      <c r="R127" s="143">
        <f t="shared" ref="R127" ca="1" si="579">MIN(IF($B128,R126+IF(ISNUMBER(Q127),Q127,0),R128/$N126),1)</f>
        <v>0</v>
      </c>
      <c r="S127" s="143">
        <f t="shared" ref="S127" ca="1" si="580">MIN(IF($B128,S126+IF(ISNUMBER(R127),R127,0),S128/$N126),1)</f>
        <v>0</v>
      </c>
      <c r="T127" s="143">
        <f t="shared" ref="T127" ca="1" si="581">MIN(IF($B128,T126+IF(ISNUMBER(S127),S127,0),T128/$N126),1)</f>
        <v>0</v>
      </c>
      <c r="U127" s="143">
        <f t="shared" ref="U127" ca="1" si="582">MIN(IF($B128,U126+IF(ISNUMBER(T127),T127,0),U128/$N126),1)</f>
        <v>0</v>
      </c>
      <c r="V127" s="143">
        <f t="shared" ref="V127" ca="1" si="583">MIN(IF($B128,V126+IF(ISNUMBER(U127),U127,0),V128/$N126),1)</f>
        <v>0</v>
      </c>
      <c r="W127" s="143">
        <f t="shared" ref="W127" ca="1" si="584">MIN(IF($B128,W126+IF(ISNUMBER(V127),V127,0),W128/$N126),1)</f>
        <v>0</v>
      </c>
      <c r="X127" s="163"/>
      <c r="AC127" s="143">
        <f t="shared" ref="AC127" ca="1" si="585">MIN(IF($B128,AC126+IF(ISNUMBER(AB127),AB127,0),AC128/$N126),1)</f>
        <v>0</v>
      </c>
    </row>
    <row r="128" spans="1:29" customFormat="1" ht="13.8" x14ac:dyDescent="0.25">
      <c r="A128" s="11">
        <f ca="1">OFFSET(A128,-CFF.NumLinha,0)+1</f>
        <v>37</v>
      </c>
      <c r="B128" s="11" t="b">
        <f ca="1">$C128&gt;=OFFSET($C128,CFF.NumLinha,0)</f>
        <v>0</v>
      </c>
      <c r="C128" s="11">
        <f ca="1">INDEX(PO!A$12:A$603,MATCH($A128,PO!$V$12:$V$603,0))</f>
        <v>1</v>
      </c>
      <c r="D128" s="11">
        <f t="shared" ref="D128:D159" ca="1" si="586">IF(ISERROR(J128),I128,SMALL(I128:J128,1))-1</f>
        <v>8</v>
      </c>
      <c r="E128" s="11">
        <f ca="1">IF($C128=1,OFFSET(E128,-CFF.NumLinha,0)+1,OFFSET(E128,-CFF.NumLinha,0))</f>
        <v>10</v>
      </c>
      <c r="F128" s="11">
        <f ca="1">IF($C128=1,0,IF($C128=2,OFFSET(F128,-CFF.NumLinha,0)+1,OFFSET(F128,-CFF.NumLinha,0)))</f>
        <v>0</v>
      </c>
      <c r="G128" s="11">
        <f ca="1">IF(AND($C128&lt;=2,$C128&lt;&gt;0),0,IF($C128=3,OFFSET(G128,-CFF.NumLinha,0)+1,OFFSET(G128,-CFF.NumLinha,0)))</f>
        <v>0</v>
      </c>
      <c r="H128" s="11">
        <f ca="1">IF(AND($C128&lt;=3,$C128&lt;&gt;0),0,IF($C128=4,OFFSET(H128,-CFF.NumLinha,0)+1,OFFSET(H128,-CFF.NumLinha,0)))</f>
        <v>0</v>
      </c>
      <c r="I128" s="11">
        <f ca="1">MATCH(0,OFFSET($D128,1,$C128,ROW($A$303)-ROW($A128)),0)</f>
        <v>175</v>
      </c>
      <c r="J128" s="11">
        <f ca="1">MATCH(OFFSET($D128,0,$C128)+1,OFFSET($D128,1,$C128,ROW($A$303)-ROW($A128)),0)</f>
        <v>9</v>
      </c>
      <c r="K128" s="156">
        <f ca="1">ROUND(INDEX(PO!T$12:T$603,MATCH($A128,PO!$V$12:$V$603,0)),2)+10^-12</f>
        <v>9.9999999999999998E-13</v>
      </c>
      <c r="L128" s="344"/>
      <c r="M128" s="338"/>
      <c r="N128" s="336"/>
      <c r="O128" s="171" t="s">
        <v>20</v>
      </c>
      <c r="P128" s="166">
        <f t="shared" ref="P128:W128" ca="1" si="587">IF($B128,ROUND(P127*$N126,2),ROUND(SUMIF(OFFSET($B128,1,0,$D128),TRUE,OFFSET(P128,1,0,$D128))/SUMIF(OFFSET($B128,1,0,$D128),TRUE,OFFSET($K128,1,0,$D128))*$N126,2))</f>
        <v>0</v>
      </c>
      <c r="Q128" s="144">
        <f t="shared" ca="1" si="587"/>
        <v>0</v>
      </c>
      <c r="R128" s="144">
        <f t="shared" ca="1" si="587"/>
        <v>0</v>
      </c>
      <c r="S128" s="144">
        <f t="shared" ca="1" si="587"/>
        <v>0</v>
      </c>
      <c r="T128" s="144">
        <f t="shared" ca="1" si="587"/>
        <v>0</v>
      </c>
      <c r="U128" s="144">
        <f t="shared" ca="1" si="587"/>
        <v>0</v>
      </c>
      <c r="V128" s="144">
        <f t="shared" ca="1" si="587"/>
        <v>0</v>
      </c>
      <c r="W128" s="174">
        <f t="shared" ca="1" si="587"/>
        <v>0</v>
      </c>
      <c r="X128" s="163"/>
      <c r="AC128" s="144">
        <f t="shared" ref="AC128" ca="1" si="588">IF($B128,ROUND(AC127*$N126,2),ROUND(SUMIF(OFFSET($B128,1,0,$D128),TRUE,OFFSET(AC128,1,0,$D128))/SUMIF(OFFSET($B128,1,0,$D128),TRUE,OFFSET($K128,1,0,$D128))*$N126,2))</f>
        <v>0</v>
      </c>
    </row>
    <row r="129" spans="1:29" customFormat="1" ht="14.25" customHeight="1" x14ac:dyDescent="0.25">
      <c r="A129" s="1"/>
      <c r="B129" s="1"/>
      <c r="C129" s="1"/>
      <c r="D129" s="1"/>
      <c r="E129" s="1"/>
      <c r="F129" s="1"/>
      <c r="G129" s="1"/>
      <c r="H129" s="1"/>
      <c r="I129" s="1"/>
      <c r="J129" s="1"/>
      <c r="K129" s="1"/>
      <c r="L129" s="343" t="str">
        <f ca="1">INDEX(PO!K$12:K$603,MATCH($A131,PO!$V$12:$V$603,0))</f>
        <v>10.1.</v>
      </c>
      <c r="M129" s="337" t="str">
        <f ca="1">INDEX(PO!N$12:N$603,MATCH($A131,PO!$V$12:$V$603,0))</f>
        <v>PAVIMENTAÇÃO INTERNA</v>
      </c>
      <c r="N129" s="335">
        <f t="shared" ref="N129" ca="1" si="589">IF(ROUND(K131,2)=0,K131,ROUND(K131,2))</f>
        <v>9.9999999999999998E-13</v>
      </c>
      <c r="O129" s="187" t="s">
        <v>143</v>
      </c>
      <c r="P129" s="192">
        <f t="shared" ref="P129" ca="1" si="590">IF($B131,0,P130-IF(ISNUMBER(O130),O130,0))</f>
        <v>0</v>
      </c>
      <c r="Q129" s="193">
        <f t="shared" ref="Q129" ca="1" si="591">IF($B131,0,Q130-IF(ISNUMBER(P130),P130,0))</f>
        <v>0</v>
      </c>
      <c r="R129" s="193">
        <f t="shared" ref="R129" ca="1" si="592">IF($B131,0,R130-IF(ISNUMBER(Q130),Q130,0))</f>
        <v>0</v>
      </c>
      <c r="S129" s="193">
        <f t="shared" ref="S129" ca="1" si="593">IF($B131,0,S130-IF(ISNUMBER(R130),R130,0))</f>
        <v>0</v>
      </c>
      <c r="T129" s="193">
        <v>0.25</v>
      </c>
      <c r="U129" s="193">
        <v>0.25</v>
      </c>
      <c r="V129" s="193">
        <v>0.25</v>
      </c>
      <c r="W129" s="194">
        <v>0.25</v>
      </c>
      <c r="X129" s="163"/>
      <c r="AC129" s="188">
        <f t="shared" ref="AC129" ca="1" si="594">IF($B131,0,AC130-IF(ISNUMBER(AB130),AB130,0))</f>
        <v>0</v>
      </c>
    </row>
    <row r="130" spans="1:29" customFormat="1" ht="13.8" x14ac:dyDescent="0.25">
      <c r="A130" s="11"/>
      <c r="B130" s="11"/>
      <c r="C130" s="11"/>
      <c r="D130" s="11"/>
      <c r="E130" s="11"/>
      <c r="F130" s="11"/>
      <c r="G130" s="11"/>
      <c r="H130" s="11"/>
      <c r="I130" s="11"/>
      <c r="J130" s="11"/>
      <c r="K130" s="11"/>
      <c r="L130" s="344"/>
      <c r="M130" s="338"/>
      <c r="N130" s="336"/>
      <c r="O130" s="145" t="s">
        <v>145</v>
      </c>
      <c r="P130" s="165">
        <f t="shared" ref="P130" ca="1" si="595">MIN(IF($B131,P129+IF(ISNUMBER(O130),O130,0),P131/$N129),1)</f>
        <v>0</v>
      </c>
      <c r="Q130" s="143">
        <f t="shared" ref="Q130" ca="1" si="596">MIN(IF($B131,Q129+IF(ISNUMBER(P130),P130,0),Q131/$N129),1)</f>
        <v>0</v>
      </c>
      <c r="R130" s="143">
        <f t="shared" ref="R130" ca="1" si="597">MIN(IF($B131,R129+IF(ISNUMBER(Q130),Q130,0),R131/$N129),1)</f>
        <v>0</v>
      </c>
      <c r="S130" s="143">
        <f t="shared" ref="S130" ca="1" si="598">MIN(IF($B131,S129+IF(ISNUMBER(R130),R130,0),S131/$N129),1)</f>
        <v>0</v>
      </c>
      <c r="T130" s="143">
        <f t="shared" ref="T130" ca="1" si="599">MIN(IF($B131,T129+IF(ISNUMBER(S130),S130,0),T131/$N129),1)</f>
        <v>0.25</v>
      </c>
      <c r="U130" s="143">
        <f t="shared" ref="U130" ca="1" si="600">MIN(IF($B131,U129+IF(ISNUMBER(T130),T130,0),U131/$N129),1)</f>
        <v>0.5</v>
      </c>
      <c r="V130" s="143">
        <f t="shared" ref="V130" ca="1" si="601">MIN(IF($B131,V129+IF(ISNUMBER(U130),U130,0),V131/$N129),1)</f>
        <v>0.75</v>
      </c>
      <c r="W130" s="143">
        <f t="shared" ref="W130" ca="1" si="602">MIN(IF($B131,W129+IF(ISNUMBER(V130),V130,0),W131/$N129),1)</f>
        <v>1</v>
      </c>
      <c r="X130" s="163"/>
      <c r="AC130" s="143">
        <f t="shared" ref="AC130" ca="1" si="603">MIN(IF($B131,AC129+IF(ISNUMBER(AB130),AB130,0),AC131/$N129),1)</f>
        <v>0</v>
      </c>
    </row>
    <row r="131" spans="1:29" customFormat="1" ht="13.8" x14ac:dyDescent="0.25">
      <c r="A131" s="11">
        <f ca="1">OFFSET(A131,-CFF.NumLinha,0)+1</f>
        <v>38</v>
      </c>
      <c r="B131" s="11" t="b">
        <f ca="1">$C131&gt;=OFFSET($C131,CFF.NumLinha,0)</f>
        <v>1</v>
      </c>
      <c r="C131" s="11">
        <f ca="1">INDEX(PO!A$12:A$603,MATCH($A131,PO!$V$12:$V$603,0))</f>
        <v>2</v>
      </c>
      <c r="D131" s="11">
        <f t="shared" ref="D131:D162" ca="1" si="604">IF(ISERROR(J131),I131,SMALL(I131:J131,1))-1</f>
        <v>2</v>
      </c>
      <c r="E131" s="11">
        <f ca="1">IF($C131=1,OFFSET(E131,-CFF.NumLinha,0)+1,OFFSET(E131,-CFF.NumLinha,0))</f>
        <v>10</v>
      </c>
      <c r="F131" s="11">
        <f ca="1">IF($C131=1,0,IF($C131=2,OFFSET(F131,-CFF.NumLinha,0)+1,OFFSET(F131,-CFF.NumLinha,0)))</f>
        <v>1</v>
      </c>
      <c r="G131" s="11">
        <f ca="1">IF(AND($C131&lt;=2,$C131&lt;&gt;0),0,IF($C131=3,OFFSET(G131,-CFF.NumLinha,0)+1,OFFSET(G131,-CFF.NumLinha,0)))</f>
        <v>0</v>
      </c>
      <c r="H131" s="11">
        <f ca="1">IF(AND($C131&lt;=3,$C131&lt;&gt;0),0,IF($C131=4,OFFSET(H131,-CFF.NumLinha,0)+1,OFFSET(H131,-CFF.NumLinha,0)))</f>
        <v>0</v>
      </c>
      <c r="I131" s="11">
        <f ca="1">MATCH(0,OFFSET($D131,1,$C131,ROW($A$303)-ROW($A131)),0)</f>
        <v>6</v>
      </c>
      <c r="J131" s="11">
        <f ca="1">MATCH(OFFSET($D131,0,$C131)+1,OFFSET($D131,1,$C131,ROW($A$303)-ROW($A131)),0)</f>
        <v>3</v>
      </c>
      <c r="K131" s="156">
        <f ca="1">ROUND(INDEX(PO!T$12:T$603,MATCH($A131,PO!$V$12:$V$603,0)),2)+10^-12</f>
        <v>9.9999999999999998E-13</v>
      </c>
      <c r="L131" s="344"/>
      <c r="M131" s="338"/>
      <c r="N131" s="336"/>
      <c r="O131" s="171" t="s">
        <v>20</v>
      </c>
      <c r="P131" s="166">
        <f t="shared" ref="P131:W131" ca="1" si="605">IF($B131,ROUND(P130*$N129,2),ROUND(SUMIF(OFFSET($B131,1,0,$D131),TRUE,OFFSET(P131,1,0,$D131))/SUMIF(OFFSET($B131,1,0,$D131),TRUE,OFFSET($K131,1,0,$D131))*$N129,2))</f>
        <v>0</v>
      </c>
      <c r="Q131" s="144">
        <f t="shared" ca="1" si="605"/>
        <v>0</v>
      </c>
      <c r="R131" s="144">
        <f t="shared" ca="1" si="605"/>
        <v>0</v>
      </c>
      <c r="S131" s="144">
        <f t="shared" ca="1" si="605"/>
        <v>0</v>
      </c>
      <c r="T131" s="144">
        <f t="shared" ca="1" si="605"/>
        <v>0</v>
      </c>
      <c r="U131" s="144">
        <f t="shared" ca="1" si="605"/>
        <v>0</v>
      </c>
      <c r="V131" s="144">
        <f t="shared" ca="1" si="605"/>
        <v>0</v>
      </c>
      <c r="W131" s="174">
        <f t="shared" ca="1" si="605"/>
        <v>0</v>
      </c>
      <c r="X131" s="163"/>
      <c r="AC131" s="144">
        <f t="shared" ref="AC131" ca="1" si="606">IF($B131,ROUND(AC130*$N129,2),ROUND(SUMIF(OFFSET($B131,1,0,$D131),TRUE,OFFSET(AC131,1,0,$D131))/SUMIF(OFFSET($B131,1,0,$D131),TRUE,OFFSET($K131,1,0,$D131))*$N129,2))</f>
        <v>0</v>
      </c>
    </row>
    <row r="132" spans="1:29" customFormat="1" ht="14.25" customHeight="1" x14ac:dyDescent="0.25">
      <c r="A132" s="1"/>
      <c r="B132" s="1"/>
      <c r="C132" s="1"/>
      <c r="D132" s="1"/>
      <c r="E132" s="1"/>
      <c r="F132" s="1"/>
      <c r="G132" s="1"/>
      <c r="H132" s="1"/>
      <c r="I132" s="1"/>
      <c r="J132" s="1"/>
      <c r="K132" s="1"/>
      <c r="L132" s="343" t="str">
        <f ca="1">INDEX(PO!K$12:K$603,MATCH($A134,PO!$V$12:$V$603,0))</f>
        <v>10.2.</v>
      </c>
      <c r="M132" s="337" t="str">
        <f ca="1">INDEX(PO!N$12:N$603,MATCH($A134,PO!$V$12:$V$603,0))</f>
        <v>PAVIMENTAÇÃO EXTERNA</v>
      </c>
      <c r="N132" s="335">
        <f t="shared" ref="N132" ca="1" si="607">IF(ROUND(K134,2)=0,K134,ROUND(K134,2))</f>
        <v>9.9999999999999998E-13</v>
      </c>
      <c r="O132" s="187" t="s">
        <v>143</v>
      </c>
      <c r="P132" s="192">
        <f t="shared" ref="P132" ca="1" si="608">IF($B134,0,P133-IF(ISNUMBER(O133),O133,0))</f>
        <v>0</v>
      </c>
      <c r="Q132" s="193">
        <f t="shared" ref="Q132" ca="1" si="609">IF($B134,0,Q133-IF(ISNUMBER(P133),P133,0))</f>
        <v>0</v>
      </c>
      <c r="R132" s="193">
        <f t="shared" ref="R132" ca="1" si="610">IF($B134,0,R133-IF(ISNUMBER(Q133),Q133,0))</f>
        <v>0</v>
      </c>
      <c r="S132" s="193">
        <f t="shared" ref="S132" ca="1" si="611">IF($B134,0,S133-IF(ISNUMBER(R133),R133,0))</f>
        <v>0</v>
      </c>
      <c r="T132" s="193">
        <f t="shared" ref="T132" ca="1" si="612">IF($B134,0,T133-IF(ISNUMBER(S133),S133,0))</f>
        <v>0</v>
      </c>
      <c r="U132" s="193">
        <v>0.25</v>
      </c>
      <c r="V132" s="193">
        <v>0.5</v>
      </c>
      <c r="W132" s="194">
        <v>0.25</v>
      </c>
      <c r="X132" s="163"/>
      <c r="AC132" s="188">
        <f t="shared" ref="AC132" ca="1" si="613">IF($B134,0,AC133-IF(ISNUMBER(AB133),AB133,0))</f>
        <v>0</v>
      </c>
    </row>
    <row r="133" spans="1:29" customFormat="1" ht="13.8" x14ac:dyDescent="0.25">
      <c r="A133" s="11"/>
      <c r="B133" s="11"/>
      <c r="C133" s="11"/>
      <c r="D133" s="11"/>
      <c r="E133" s="11"/>
      <c r="F133" s="11"/>
      <c r="G133" s="11"/>
      <c r="H133" s="11"/>
      <c r="I133" s="11"/>
      <c r="J133" s="11"/>
      <c r="K133" s="11"/>
      <c r="L133" s="344"/>
      <c r="M133" s="338"/>
      <c r="N133" s="336"/>
      <c r="O133" s="145" t="s">
        <v>145</v>
      </c>
      <c r="P133" s="165">
        <f t="shared" ref="P133" ca="1" si="614">MIN(IF($B134,P132+IF(ISNUMBER(O133),O133,0),P134/$N132),1)</f>
        <v>0</v>
      </c>
      <c r="Q133" s="143">
        <f t="shared" ref="Q133" ca="1" si="615">MIN(IF($B134,Q132+IF(ISNUMBER(P133),P133,0),Q134/$N132),1)</f>
        <v>0</v>
      </c>
      <c r="R133" s="143">
        <f t="shared" ref="R133" ca="1" si="616">MIN(IF($B134,R132+IF(ISNUMBER(Q133),Q133,0),R134/$N132),1)</f>
        <v>0</v>
      </c>
      <c r="S133" s="143">
        <f t="shared" ref="S133" ca="1" si="617">MIN(IF($B134,S132+IF(ISNUMBER(R133),R133,0),S134/$N132),1)</f>
        <v>0</v>
      </c>
      <c r="T133" s="143">
        <f t="shared" ref="T133" ca="1" si="618">MIN(IF($B134,T132+IF(ISNUMBER(S133),S133,0),T134/$N132),1)</f>
        <v>0</v>
      </c>
      <c r="U133" s="143">
        <f t="shared" ref="U133" ca="1" si="619">MIN(IF($B134,U132+IF(ISNUMBER(T133),T133,0),U134/$N132),1)</f>
        <v>0.25</v>
      </c>
      <c r="V133" s="143">
        <f t="shared" ref="V133" ca="1" si="620">MIN(IF($B134,V132+IF(ISNUMBER(U133),U133,0),V134/$N132),1)</f>
        <v>0.75</v>
      </c>
      <c r="W133" s="143">
        <f t="shared" ref="W133" ca="1" si="621">MIN(IF($B134,W132+IF(ISNUMBER(V133),V133,0),W134/$N132),1)</f>
        <v>1</v>
      </c>
      <c r="X133" s="163"/>
      <c r="AC133" s="143">
        <f t="shared" ref="AC133" ca="1" si="622">MIN(IF($B134,AC132+IF(ISNUMBER(AB133),AB133,0),AC134/$N132),1)</f>
        <v>0</v>
      </c>
    </row>
    <row r="134" spans="1:29" customFormat="1" ht="13.8" x14ac:dyDescent="0.25">
      <c r="A134" s="11">
        <f ca="1">OFFSET(A134,-CFF.NumLinha,0)+1</f>
        <v>39</v>
      </c>
      <c r="B134" s="11" t="b">
        <f ca="1">$C134&gt;=OFFSET($C134,CFF.NumLinha,0)</f>
        <v>1</v>
      </c>
      <c r="C134" s="11">
        <f ca="1">INDEX(PO!A$12:A$603,MATCH($A134,PO!$V$12:$V$603,0))</f>
        <v>2</v>
      </c>
      <c r="D134" s="11">
        <f t="shared" ref="D134:D165" ca="1" si="623">IF(ISERROR(J134),I134,SMALL(I134:J134,1))-1</f>
        <v>2</v>
      </c>
      <c r="E134" s="11">
        <f ca="1">IF($C134=1,OFFSET(E134,-CFF.NumLinha,0)+1,OFFSET(E134,-CFF.NumLinha,0))</f>
        <v>10</v>
      </c>
      <c r="F134" s="11">
        <f ca="1">IF($C134=1,0,IF($C134=2,OFFSET(F134,-CFF.NumLinha,0)+1,OFFSET(F134,-CFF.NumLinha,0)))</f>
        <v>2</v>
      </c>
      <c r="G134" s="11">
        <f ca="1">IF(AND($C134&lt;=2,$C134&lt;&gt;0),0,IF($C134=3,OFFSET(G134,-CFF.NumLinha,0)+1,OFFSET(G134,-CFF.NumLinha,0)))</f>
        <v>0</v>
      </c>
      <c r="H134" s="11">
        <f ca="1">IF(AND($C134&lt;=3,$C134&lt;&gt;0),0,IF($C134=4,OFFSET(H134,-CFF.NumLinha,0)+1,OFFSET(H134,-CFF.NumLinha,0)))</f>
        <v>0</v>
      </c>
      <c r="I134" s="11">
        <f ca="1">MATCH(0,OFFSET($D134,1,$C134,ROW($A$303)-ROW($A134)),0)</f>
        <v>3</v>
      </c>
      <c r="J134" s="11">
        <f ca="1">MATCH(OFFSET($D134,0,$C134)+1,OFFSET($D134,1,$C134,ROW($A$303)-ROW($A134)),0)</f>
        <v>12</v>
      </c>
      <c r="K134" s="156">
        <f ca="1">ROUND(INDEX(PO!T$12:T$603,MATCH($A134,PO!$V$12:$V$603,0)),2)+10^-12</f>
        <v>9.9999999999999998E-13</v>
      </c>
      <c r="L134" s="344"/>
      <c r="M134" s="338"/>
      <c r="N134" s="336"/>
      <c r="O134" s="171" t="s">
        <v>20</v>
      </c>
      <c r="P134" s="166">
        <f t="shared" ref="P134:W134" ca="1" si="624">IF($B134,ROUND(P133*$N132,2),ROUND(SUMIF(OFFSET($B134,1,0,$D134),TRUE,OFFSET(P134,1,0,$D134))/SUMIF(OFFSET($B134,1,0,$D134),TRUE,OFFSET($K134,1,0,$D134))*$N132,2))</f>
        <v>0</v>
      </c>
      <c r="Q134" s="144">
        <f t="shared" ca="1" si="624"/>
        <v>0</v>
      </c>
      <c r="R134" s="144">
        <f t="shared" ca="1" si="624"/>
        <v>0</v>
      </c>
      <c r="S134" s="144">
        <f t="shared" ca="1" si="624"/>
        <v>0</v>
      </c>
      <c r="T134" s="144">
        <f t="shared" ca="1" si="624"/>
        <v>0</v>
      </c>
      <c r="U134" s="144">
        <f t="shared" ca="1" si="624"/>
        <v>0</v>
      </c>
      <c r="V134" s="144">
        <f t="shared" ca="1" si="624"/>
        <v>0</v>
      </c>
      <c r="W134" s="174">
        <f t="shared" ca="1" si="624"/>
        <v>0</v>
      </c>
      <c r="X134" s="163"/>
      <c r="AC134" s="144">
        <f t="shared" ref="AC134" ca="1" si="625">IF($B134,ROUND(AC133*$N132,2),ROUND(SUMIF(OFFSET($B134,1,0,$D134),TRUE,OFFSET(AC134,1,0,$D134))/SUMIF(OFFSET($B134,1,0,$D134),TRUE,OFFSET($K134,1,0,$D134))*$N132,2))</f>
        <v>0</v>
      </c>
    </row>
    <row r="135" spans="1:29" customFormat="1" ht="14.25" customHeight="1" x14ac:dyDescent="0.25">
      <c r="A135" s="1"/>
      <c r="B135" s="1"/>
      <c r="C135" s="1"/>
      <c r="D135" s="1"/>
      <c r="E135" s="1"/>
      <c r="F135" s="1"/>
      <c r="G135" s="1"/>
      <c r="H135" s="1"/>
      <c r="I135" s="1"/>
      <c r="J135" s="1"/>
      <c r="K135" s="1"/>
      <c r="L135" s="343" t="str">
        <f ca="1">INDEX(PO!K$12:K$603,MATCH($A137,PO!$V$12:$V$603,0))</f>
        <v>11.</v>
      </c>
      <c r="M135" s="337" t="str">
        <f ca="1">INDEX(PO!N$12:N$603,MATCH($A137,PO!$V$12:$V$603,0))</f>
        <v>PINTURAS E ACABAMENTOS</v>
      </c>
      <c r="N135" s="335">
        <f t="shared" ref="N135" ca="1" si="626">IF(ROUND(K137,2)=0,K137,ROUND(K137,2))</f>
        <v>9.9999999999999998E-13</v>
      </c>
      <c r="O135" s="187" t="s">
        <v>143</v>
      </c>
      <c r="P135" s="192">
        <f t="shared" ref="P135" ca="1" si="627">IF($B137,0,P136-IF(ISNUMBER(O136),O136,0))</f>
        <v>0</v>
      </c>
      <c r="Q135" s="193">
        <f t="shared" ref="Q135" ca="1" si="628">IF($B137,0,Q136-IF(ISNUMBER(P136),P136,0))</f>
        <v>0</v>
      </c>
      <c r="R135" s="193">
        <f t="shared" ref="R135" ca="1" si="629">IF($B137,0,R136-IF(ISNUMBER(Q136),Q136,0))</f>
        <v>0</v>
      </c>
      <c r="S135" s="193">
        <f t="shared" ref="S135" ca="1" si="630">IF($B137,0,S136-IF(ISNUMBER(R136),R136,0))</f>
        <v>0</v>
      </c>
      <c r="T135" s="193">
        <f t="shared" ref="T135" ca="1" si="631">IF($B137,0,T136-IF(ISNUMBER(S136),S136,0))</f>
        <v>0</v>
      </c>
      <c r="U135" s="193">
        <f t="shared" ref="U135" ca="1" si="632">IF($B137,0,U136-IF(ISNUMBER(T136),T136,0))</f>
        <v>0</v>
      </c>
      <c r="V135" s="193">
        <f t="shared" ref="V135" ca="1" si="633">IF($B137,0,V136-IF(ISNUMBER(U136),U136,0))</f>
        <v>0</v>
      </c>
      <c r="W135" s="194">
        <f t="shared" ref="W135" ca="1" si="634">IF($B137,0,W136-IF(ISNUMBER(V136),V136,0))</f>
        <v>0</v>
      </c>
      <c r="X135" s="163"/>
      <c r="AC135" s="188">
        <f t="shared" ref="AC135" ca="1" si="635">IF($B137,0,AC136-IF(ISNUMBER(AB136),AB136,0))</f>
        <v>0</v>
      </c>
    </row>
    <row r="136" spans="1:29" customFormat="1" ht="13.8" x14ac:dyDescent="0.25">
      <c r="A136" s="11"/>
      <c r="B136" s="11"/>
      <c r="C136" s="11"/>
      <c r="D136" s="11"/>
      <c r="E136" s="11"/>
      <c r="F136" s="11"/>
      <c r="G136" s="11"/>
      <c r="H136" s="11"/>
      <c r="I136" s="11"/>
      <c r="J136" s="11"/>
      <c r="K136" s="11"/>
      <c r="L136" s="344"/>
      <c r="M136" s="338"/>
      <c r="N136" s="336"/>
      <c r="O136" s="145" t="s">
        <v>145</v>
      </c>
      <c r="P136" s="165">
        <f t="shared" ref="P136" ca="1" si="636">MIN(IF($B137,P135+IF(ISNUMBER(O136),O136,0),P137/$N135),1)</f>
        <v>0</v>
      </c>
      <c r="Q136" s="143">
        <f t="shared" ref="Q136" ca="1" si="637">MIN(IF($B137,Q135+IF(ISNUMBER(P136),P136,0),Q137/$N135),1)</f>
        <v>0</v>
      </c>
      <c r="R136" s="143">
        <f t="shared" ref="R136" ca="1" si="638">MIN(IF($B137,R135+IF(ISNUMBER(Q136),Q136,0),R137/$N135),1)</f>
        <v>0</v>
      </c>
      <c r="S136" s="143">
        <f t="shared" ref="S136" ca="1" si="639">MIN(IF($B137,S135+IF(ISNUMBER(R136),R136,0),S137/$N135),1)</f>
        <v>0</v>
      </c>
      <c r="T136" s="143">
        <f t="shared" ref="T136" ca="1" si="640">MIN(IF($B137,T135+IF(ISNUMBER(S136),S136,0),T137/$N135),1)</f>
        <v>0</v>
      </c>
      <c r="U136" s="143">
        <f t="shared" ref="U136" ca="1" si="641">MIN(IF($B137,U135+IF(ISNUMBER(T136),T136,0),U137/$N135),1)</f>
        <v>0</v>
      </c>
      <c r="V136" s="143">
        <f t="shared" ref="V136" ca="1" si="642">MIN(IF($B137,V135+IF(ISNUMBER(U136),U136,0),V137/$N135),1)</f>
        <v>0</v>
      </c>
      <c r="W136" s="143">
        <f t="shared" ref="W136" ca="1" si="643">MIN(IF($B137,W135+IF(ISNUMBER(V136),V136,0),W137/$N135),1)</f>
        <v>0</v>
      </c>
      <c r="X136" s="163"/>
      <c r="AC136" s="143">
        <f t="shared" ref="AC136" ca="1" si="644">MIN(IF($B137,AC135+IF(ISNUMBER(AB136),AB136,0),AC137/$N135),1)</f>
        <v>0</v>
      </c>
    </row>
    <row r="137" spans="1:29" customFormat="1" ht="13.8" x14ac:dyDescent="0.25">
      <c r="A137" s="11">
        <f ca="1">OFFSET(A137,-CFF.NumLinha,0)+1</f>
        <v>40</v>
      </c>
      <c r="B137" s="11" t="b">
        <f ca="1">$C137&gt;=OFFSET($C137,CFF.NumLinha,0)</f>
        <v>0</v>
      </c>
      <c r="C137" s="11">
        <f ca="1">INDEX(PO!A$12:A$603,MATCH($A137,PO!$V$12:$V$603,0))</f>
        <v>1</v>
      </c>
      <c r="D137" s="11">
        <f t="shared" ref="D137:D168" ca="1" si="645">IF(ISERROR(J137),I137,SMALL(I137:J137,1))-1</f>
        <v>14</v>
      </c>
      <c r="E137" s="11">
        <f ca="1">IF($C137=1,OFFSET(E137,-CFF.NumLinha,0)+1,OFFSET(E137,-CFF.NumLinha,0))</f>
        <v>11</v>
      </c>
      <c r="F137" s="11">
        <f ca="1">IF($C137=1,0,IF($C137=2,OFFSET(F137,-CFF.NumLinha,0)+1,OFFSET(F137,-CFF.NumLinha,0)))</f>
        <v>0</v>
      </c>
      <c r="G137" s="11">
        <f ca="1">IF(AND($C137&lt;=2,$C137&lt;&gt;0),0,IF($C137=3,OFFSET(G137,-CFF.NumLinha,0)+1,OFFSET(G137,-CFF.NumLinha,0)))</f>
        <v>0</v>
      </c>
      <c r="H137" s="11">
        <f ca="1">IF(AND($C137&lt;=3,$C137&lt;&gt;0),0,IF($C137=4,OFFSET(H137,-CFF.NumLinha,0)+1,OFFSET(H137,-CFF.NumLinha,0)))</f>
        <v>0</v>
      </c>
      <c r="I137" s="11">
        <f ca="1">MATCH(0,OFFSET($D137,1,$C137,ROW($A$303)-ROW($A137)),0)</f>
        <v>166</v>
      </c>
      <c r="J137" s="11">
        <f ca="1">MATCH(OFFSET($D137,0,$C137)+1,OFFSET($D137,1,$C137,ROW($A$303)-ROW($A137)),0)</f>
        <v>15</v>
      </c>
      <c r="K137" s="156">
        <f ca="1">ROUND(INDEX(PO!T$12:T$603,MATCH($A137,PO!$V$12:$V$603,0)),2)+10^-12</f>
        <v>9.9999999999999998E-13</v>
      </c>
      <c r="L137" s="344"/>
      <c r="M137" s="338"/>
      <c r="N137" s="336"/>
      <c r="O137" s="171" t="s">
        <v>20</v>
      </c>
      <c r="P137" s="166">
        <f t="shared" ref="P137:W137" ca="1" si="646">IF($B137,ROUND(P136*$N135,2),ROUND(SUMIF(OFFSET($B137,1,0,$D137),TRUE,OFFSET(P137,1,0,$D137))/SUMIF(OFFSET($B137,1,0,$D137),TRUE,OFFSET($K137,1,0,$D137))*$N135,2))</f>
        <v>0</v>
      </c>
      <c r="Q137" s="144">
        <f t="shared" ca="1" si="646"/>
        <v>0</v>
      </c>
      <c r="R137" s="144">
        <f t="shared" ca="1" si="646"/>
        <v>0</v>
      </c>
      <c r="S137" s="144">
        <f t="shared" ca="1" si="646"/>
        <v>0</v>
      </c>
      <c r="T137" s="144">
        <f t="shared" ca="1" si="646"/>
        <v>0</v>
      </c>
      <c r="U137" s="144">
        <f t="shared" ca="1" si="646"/>
        <v>0</v>
      </c>
      <c r="V137" s="144">
        <f t="shared" ca="1" si="646"/>
        <v>0</v>
      </c>
      <c r="W137" s="174">
        <f t="shared" ca="1" si="646"/>
        <v>0</v>
      </c>
      <c r="X137" s="163"/>
      <c r="AC137" s="144">
        <f t="shared" ref="AC137" ca="1" si="647">IF($B137,ROUND(AC136*$N135,2),ROUND(SUMIF(OFFSET($B137,1,0,$D137),TRUE,OFFSET(AC137,1,0,$D137))/SUMIF(OFFSET($B137,1,0,$D137),TRUE,OFFSET($K137,1,0,$D137))*$N135,2))</f>
        <v>0</v>
      </c>
    </row>
    <row r="138" spans="1:29" customFormat="1" ht="14.25" customHeight="1" x14ac:dyDescent="0.25">
      <c r="A138" s="1"/>
      <c r="B138" s="1"/>
      <c r="C138" s="1"/>
      <c r="D138" s="1"/>
      <c r="E138" s="1"/>
      <c r="F138" s="1"/>
      <c r="G138" s="1"/>
      <c r="H138" s="1"/>
      <c r="I138" s="1"/>
      <c r="J138" s="1"/>
      <c r="K138" s="1"/>
      <c r="L138" s="343" t="str">
        <f ca="1">INDEX(PO!K$12:K$603,MATCH($A140,PO!$V$12:$V$603,0))</f>
        <v>11.1.</v>
      </c>
      <c r="M138" s="337" t="str">
        <f ca="1">INDEX(PO!N$12:N$603,MATCH($A140,PO!$V$12:$V$603,0))</f>
        <v>PINTURA DA EDIFICAÇÃO</v>
      </c>
      <c r="N138" s="335">
        <f t="shared" ref="N138" ca="1" si="648">IF(ROUND(K140,2)=0,K140,ROUND(K140,2))</f>
        <v>9.9999999999999998E-13</v>
      </c>
      <c r="O138" s="187" t="s">
        <v>143</v>
      </c>
      <c r="P138" s="192">
        <f t="shared" ref="P138" ca="1" si="649">IF($B140,0,P139-IF(ISNUMBER(O139),O139,0))</f>
        <v>0</v>
      </c>
      <c r="Q138" s="193">
        <f t="shared" ref="Q138" ca="1" si="650">IF($B140,0,Q139-IF(ISNUMBER(P139),P139,0))</f>
        <v>0</v>
      </c>
      <c r="R138" s="193">
        <f t="shared" ref="R138" ca="1" si="651">IF($B140,0,R139-IF(ISNUMBER(Q139),Q139,0))</f>
        <v>0</v>
      </c>
      <c r="S138" s="193">
        <f t="shared" ref="S138" ca="1" si="652">IF($B140,0,S139-IF(ISNUMBER(R139),R139,0))</f>
        <v>0</v>
      </c>
      <c r="T138" s="193">
        <f t="shared" ref="T138" ca="1" si="653">IF($B140,0,T139-IF(ISNUMBER(S139),S139,0))</f>
        <v>0</v>
      </c>
      <c r="U138" s="193">
        <v>0.4</v>
      </c>
      <c r="V138" s="193">
        <v>0.3</v>
      </c>
      <c r="W138" s="194">
        <v>0.3</v>
      </c>
      <c r="X138" s="163"/>
      <c r="AC138" s="188">
        <f t="shared" ref="AC138" ca="1" si="654">IF($B140,0,AC139-IF(ISNUMBER(AB139),AB139,0))</f>
        <v>0</v>
      </c>
    </row>
    <row r="139" spans="1:29" customFormat="1" ht="13.8" x14ac:dyDescent="0.25">
      <c r="A139" s="11"/>
      <c r="B139" s="11"/>
      <c r="C139" s="11"/>
      <c r="D139" s="11"/>
      <c r="E139" s="11"/>
      <c r="F139" s="11"/>
      <c r="G139" s="11"/>
      <c r="H139" s="11"/>
      <c r="I139" s="11"/>
      <c r="J139" s="11"/>
      <c r="K139" s="11"/>
      <c r="L139" s="344"/>
      <c r="M139" s="338"/>
      <c r="N139" s="336"/>
      <c r="O139" s="145" t="s">
        <v>145</v>
      </c>
      <c r="P139" s="165">
        <f t="shared" ref="P139" ca="1" si="655">MIN(IF($B140,P138+IF(ISNUMBER(O139),O139,0),P140/$N138),1)</f>
        <v>0</v>
      </c>
      <c r="Q139" s="143">
        <f t="shared" ref="Q139" ca="1" si="656">MIN(IF($B140,Q138+IF(ISNUMBER(P139),P139,0),Q140/$N138),1)</f>
        <v>0</v>
      </c>
      <c r="R139" s="143">
        <f t="shared" ref="R139" ca="1" si="657">MIN(IF($B140,R138+IF(ISNUMBER(Q139),Q139,0),R140/$N138),1)</f>
        <v>0</v>
      </c>
      <c r="S139" s="143">
        <f t="shared" ref="S139" ca="1" si="658">MIN(IF($B140,S138+IF(ISNUMBER(R139),R139,0),S140/$N138),1)</f>
        <v>0</v>
      </c>
      <c r="T139" s="143">
        <f t="shared" ref="T139" ca="1" si="659">MIN(IF($B140,T138+IF(ISNUMBER(S139),S139,0),T140/$N138),1)</f>
        <v>0</v>
      </c>
      <c r="U139" s="143">
        <f t="shared" ref="U139" ca="1" si="660">MIN(IF($B140,U138+IF(ISNUMBER(T139),T139,0),U140/$N138),1)</f>
        <v>0.4</v>
      </c>
      <c r="V139" s="143">
        <f t="shared" ref="V139" ca="1" si="661">MIN(IF($B140,V138+IF(ISNUMBER(U139),U139,0),V140/$N138),1)</f>
        <v>0.7</v>
      </c>
      <c r="W139" s="143">
        <f t="shared" ref="W139" ca="1" si="662">MIN(IF($B140,W138+IF(ISNUMBER(V139),V139,0),W140/$N138),1)</f>
        <v>1</v>
      </c>
      <c r="X139" s="163"/>
      <c r="AC139" s="143">
        <f t="shared" ref="AC139" ca="1" si="663">MIN(IF($B140,AC138+IF(ISNUMBER(AB139),AB139,0),AC140/$N138),1)</f>
        <v>0</v>
      </c>
    </row>
    <row r="140" spans="1:29" customFormat="1" ht="13.8" x14ac:dyDescent="0.25">
      <c r="A140" s="11">
        <f ca="1">OFFSET(A140,-CFF.NumLinha,0)+1</f>
        <v>41</v>
      </c>
      <c r="B140" s="11" t="b">
        <f ca="1">$C140&gt;=OFFSET($C140,CFF.NumLinha,0)</f>
        <v>1</v>
      </c>
      <c r="C140" s="11">
        <f ca="1">INDEX(PO!A$12:A$603,MATCH($A140,PO!$V$12:$V$603,0))</f>
        <v>2</v>
      </c>
      <c r="D140" s="11">
        <f t="shared" ref="D140:D171" ca="1" si="664">IF(ISERROR(J140),I140,SMALL(I140:J140,1))-1</f>
        <v>2</v>
      </c>
      <c r="E140" s="11">
        <f ca="1">IF($C140=1,OFFSET(E140,-CFF.NumLinha,0)+1,OFFSET(E140,-CFF.NumLinha,0))</f>
        <v>11</v>
      </c>
      <c r="F140" s="11">
        <f ca="1">IF($C140=1,0,IF($C140=2,OFFSET(F140,-CFF.NumLinha,0)+1,OFFSET(F140,-CFF.NumLinha,0)))</f>
        <v>1</v>
      </c>
      <c r="G140" s="11">
        <f ca="1">IF(AND($C140&lt;=2,$C140&lt;&gt;0),0,IF($C140=3,OFFSET(G140,-CFF.NumLinha,0)+1,OFFSET(G140,-CFF.NumLinha,0)))</f>
        <v>0</v>
      </c>
      <c r="H140" s="11">
        <f ca="1">IF(AND($C140&lt;=3,$C140&lt;&gt;0),0,IF($C140=4,OFFSET(H140,-CFF.NumLinha,0)+1,OFFSET(H140,-CFF.NumLinha,0)))</f>
        <v>0</v>
      </c>
      <c r="I140" s="11">
        <f ca="1">MATCH(0,OFFSET($D140,1,$C140,ROW($A$303)-ROW($A140)),0)</f>
        <v>12</v>
      </c>
      <c r="J140" s="11">
        <f ca="1">MATCH(OFFSET($D140,0,$C140)+1,OFFSET($D140,1,$C140,ROW($A$303)-ROW($A140)),0)</f>
        <v>3</v>
      </c>
      <c r="K140" s="156">
        <f ca="1">ROUND(INDEX(PO!T$12:T$603,MATCH($A140,PO!$V$12:$V$603,0)),2)+10^-12</f>
        <v>9.9999999999999998E-13</v>
      </c>
      <c r="L140" s="344"/>
      <c r="M140" s="338"/>
      <c r="N140" s="336"/>
      <c r="O140" s="171" t="s">
        <v>20</v>
      </c>
      <c r="P140" s="166">
        <f t="shared" ref="P140:W140" ca="1" si="665">IF($B140,ROUND(P139*$N138,2),ROUND(SUMIF(OFFSET($B140,1,0,$D140),TRUE,OFFSET(P140,1,0,$D140))/SUMIF(OFFSET($B140,1,0,$D140),TRUE,OFFSET($K140,1,0,$D140))*$N138,2))</f>
        <v>0</v>
      </c>
      <c r="Q140" s="144">
        <f t="shared" ca="1" si="665"/>
        <v>0</v>
      </c>
      <c r="R140" s="144">
        <f t="shared" ca="1" si="665"/>
        <v>0</v>
      </c>
      <c r="S140" s="144">
        <f t="shared" ca="1" si="665"/>
        <v>0</v>
      </c>
      <c r="T140" s="144">
        <f t="shared" ca="1" si="665"/>
        <v>0</v>
      </c>
      <c r="U140" s="144">
        <f t="shared" ca="1" si="665"/>
        <v>0</v>
      </c>
      <c r="V140" s="144">
        <f t="shared" ca="1" si="665"/>
        <v>0</v>
      </c>
      <c r="W140" s="174">
        <f t="shared" ca="1" si="665"/>
        <v>0</v>
      </c>
      <c r="X140" s="163"/>
      <c r="AC140" s="144">
        <f t="shared" ref="AC140" ca="1" si="666">IF($B140,ROUND(AC139*$N138,2),ROUND(SUMIF(OFFSET($B140,1,0,$D140),TRUE,OFFSET(AC140,1,0,$D140))/SUMIF(OFFSET($B140,1,0,$D140),TRUE,OFFSET($K140,1,0,$D140))*$N138,2))</f>
        <v>0</v>
      </c>
    </row>
    <row r="141" spans="1:29" customFormat="1" ht="14.25" customHeight="1" x14ac:dyDescent="0.25">
      <c r="A141" s="1"/>
      <c r="B141" s="1"/>
      <c r="C141" s="1"/>
      <c r="D141" s="1"/>
      <c r="E141" s="1"/>
      <c r="F141" s="1"/>
      <c r="G141" s="1"/>
      <c r="H141" s="1"/>
      <c r="I141" s="1"/>
      <c r="J141" s="1"/>
      <c r="K141" s="1"/>
      <c r="L141" s="343" t="str">
        <f ca="1">INDEX(PO!K$12:K$603,MATCH($A143,PO!$V$12:$V$603,0))</f>
        <v>11.2.</v>
      </c>
      <c r="M141" s="337" t="str">
        <f ca="1">INDEX(PO!N$12:N$603,MATCH($A143,PO!$V$12:$V$603,0))</f>
        <v>PINTURA DE FORRO</v>
      </c>
      <c r="N141" s="335">
        <f t="shared" ref="N141" ca="1" si="667">IF(ROUND(K143,2)=0,K143,ROUND(K143,2))</f>
        <v>9.9999999999999998E-13</v>
      </c>
      <c r="O141" s="187" t="s">
        <v>143</v>
      </c>
      <c r="P141" s="192">
        <f t="shared" ref="P141" ca="1" si="668">IF($B143,0,P142-IF(ISNUMBER(O142),O142,0))</f>
        <v>0</v>
      </c>
      <c r="Q141" s="193">
        <f t="shared" ref="Q141" ca="1" si="669">IF($B143,0,Q142-IF(ISNUMBER(P142),P142,0))</f>
        <v>0</v>
      </c>
      <c r="R141" s="193">
        <f t="shared" ref="R141" ca="1" si="670">IF($B143,0,R142-IF(ISNUMBER(Q142),Q142,0))</f>
        <v>0</v>
      </c>
      <c r="S141" s="193">
        <f t="shared" ref="S141" ca="1" si="671">IF($B143,0,S142-IF(ISNUMBER(R142),R142,0))</f>
        <v>0</v>
      </c>
      <c r="T141" s="193">
        <f t="shared" ref="T141" ca="1" si="672">IF($B143,0,T142-IF(ISNUMBER(S142),S142,0))</f>
        <v>0</v>
      </c>
      <c r="U141" s="193">
        <v>0.3</v>
      </c>
      <c r="V141" s="193">
        <v>0.3</v>
      </c>
      <c r="W141" s="194">
        <v>0.4</v>
      </c>
      <c r="X141" s="163"/>
      <c r="AC141" s="188">
        <f t="shared" ref="AC141" ca="1" si="673">IF($B143,0,AC142-IF(ISNUMBER(AB142),AB142,0))</f>
        <v>0</v>
      </c>
    </row>
    <row r="142" spans="1:29" customFormat="1" ht="13.8" x14ac:dyDescent="0.25">
      <c r="A142" s="11"/>
      <c r="B142" s="11"/>
      <c r="C142" s="11"/>
      <c r="D142" s="11"/>
      <c r="E142" s="11"/>
      <c r="F142" s="11"/>
      <c r="G142" s="11"/>
      <c r="H142" s="11"/>
      <c r="I142" s="11"/>
      <c r="J142" s="11"/>
      <c r="K142" s="11"/>
      <c r="L142" s="344"/>
      <c r="M142" s="338"/>
      <c r="N142" s="336"/>
      <c r="O142" s="145" t="s">
        <v>145</v>
      </c>
      <c r="P142" s="165">
        <f t="shared" ref="P142" ca="1" si="674">MIN(IF($B143,P141+IF(ISNUMBER(O142),O142,0),P143/$N141),1)</f>
        <v>0</v>
      </c>
      <c r="Q142" s="143">
        <f t="shared" ref="Q142" ca="1" si="675">MIN(IF($B143,Q141+IF(ISNUMBER(P142),P142,0),Q143/$N141),1)</f>
        <v>0</v>
      </c>
      <c r="R142" s="143">
        <f t="shared" ref="R142" ca="1" si="676">MIN(IF($B143,R141+IF(ISNUMBER(Q142),Q142,0),R143/$N141),1)</f>
        <v>0</v>
      </c>
      <c r="S142" s="143">
        <f t="shared" ref="S142" ca="1" si="677">MIN(IF($B143,S141+IF(ISNUMBER(R142),R142,0),S143/$N141),1)</f>
        <v>0</v>
      </c>
      <c r="T142" s="143">
        <f t="shared" ref="T142" ca="1" si="678">MIN(IF($B143,T141+IF(ISNUMBER(S142),S142,0),T143/$N141),1)</f>
        <v>0</v>
      </c>
      <c r="U142" s="143">
        <f t="shared" ref="U142" ca="1" si="679">MIN(IF($B143,U141+IF(ISNUMBER(T142),T142,0),U143/$N141),1)</f>
        <v>0.3</v>
      </c>
      <c r="V142" s="143">
        <f t="shared" ref="V142" ca="1" si="680">MIN(IF($B143,V141+IF(ISNUMBER(U142),U142,0),V143/$N141),1)</f>
        <v>0.6</v>
      </c>
      <c r="W142" s="143">
        <f t="shared" ref="W142" ca="1" si="681">MIN(IF($B143,W141+IF(ISNUMBER(V142),V142,0),W143/$N141),1)</f>
        <v>1</v>
      </c>
      <c r="X142" s="163"/>
      <c r="AC142" s="143">
        <f t="shared" ref="AC142" ca="1" si="682">MIN(IF($B143,AC141+IF(ISNUMBER(AB142),AB142,0),AC143/$N141),1)</f>
        <v>0</v>
      </c>
    </row>
    <row r="143" spans="1:29" customFormat="1" ht="13.8" x14ac:dyDescent="0.25">
      <c r="A143" s="11">
        <f ca="1">OFFSET(A143,-CFF.NumLinha,0)+1</f>
        <v>42</v>
      </c>
      <c r="B143" s="11" t="b">
        <f ca="1">$C143&gt;=OFFSET($C143,CFF.NumLinha,0)</f>
        <v>1</v>
      </c>
      <c r="C143" s="11">
        <f ca="1">INDEX(PO!A$12:A$603,MATCH($A143,PO!$V$12:$V$603,0))</f>
        <v>2</v>
      </c>
      <c r="D143" s="11">
        <f t="shared" ref="D143:D174" ca="1" si="683">IF(ISERROR(J143),I143,SMALL(I143:J143,1))-1</f>
        <v>2</v>
      </c>
      <c r="E143" s="11">
        <f ca="1">IF($C143=1,OFFSET(E143,-CFF.NumLinha,0)+1,OFFSET(E143,-CFF.NumLinha,0))</f>
        <v>11</v>
      </c>
      <c r="F143" s="11">
        <f ca="1">IF($C143=1,0,IF($C143=2,OFFSET(F143,-CFF.NumLinha,0)+1,OFFSET(F143,-CFF.NumLinha,0)))</f>
        <v>2</v>
      </c>
      <c r="G143" s="11">
        <f ca="1">IF(AND($C143&lt;=2,$C143&lt;&gt;0),0,IF($C143=3,OFFSET(G143,-CFF.NumLinha,0)+1,OFFSET(G143,-CFF.NumLinha,0)))</f>
        <v>0</v>
      </c>
      <c r="H143" s="11">
        <f ca="1">IF(AND($C143&lt;=3,$C143&lt;&gt;0),0,IF($C143=4,OFFSET(H143,-CFF.NumLinha,0)+1,OFFSET(H143,-CFF.NumLinha,0)))</f>
        <v>0</v>
      </c>
      <c r="I143" s="11">
        <f ca="1">MATCH(0,OFFSET($D143,1,$C143,ROW($A$303)-ROW($A143)),0)</f>
        <v>9</v>
      </c>
      <c r="J143" s="11">
        <f ca="1">MATCH(OFFSET($D143,0,$C143)+1,OFFSET($D143,1,$C143,ROW($A$303)-ROW($A143)),0)</f>
        <v>3</v>
      </c>
      <c r="K143" s="156">
        <f ca="1">ROUND(INDEX(PO!T$12:T$603,MATCH($A143,PO!$V$12:$V$603,0)),2)+10^-12</f>
        <v>9.9999999999999998E-13</v>
      </c>
      <c r="L143" s="344"/>
      <c r="M143" s="338"/>
      <c r="N143" s="336"/>
      <c r="O143" s="171" t="s">
        <v>20</v>
      </c>
      <c r="P143" s="166">
        <f t="shared" ref="P143:W143" ca="1" si="684">IF($B143,ROUND(P142*$N141,2),ROUND(SUMIF(OFFSET($B143,1,0,$D143),TRUE,OFFSET(P143,1,0,$D143))/SUMIF(OFFSET($B143,1,0,$D143),TRUE,OFFSET($K143,1,0,$D143))*$N141,2))</f>
        <v>0</v>
      </c>
      <c r="Q143" s="144">
        <f t="shared" ca="1" si="684"/>
        <v>0</v>
      </c>
      <c r="R143" s="144">
        <f t="shared" ca="1" si="684"/>
        <v>0</v>
      </c>
      <c r="S143" s="144">
        <f t="shared" ca="1" si="684"/>
        <v>0</v>
      </c>
      <c r="T143" s="144">
        <f t="shared" ca="1" si="684"/>
        <v>0</v>
      </c>
      <c r="U143" s="144">
        <f t="shared" ca="1" si="684"/>
        <v>0</v>
      </c>
      <c r="V143" s="144">
        <f t="shared" ca="1" si="684"/>
        <v>0</v>
      </c>
      <c r="W143" s="174">
        <f t="shared" ca="1" si="684"/>
        <v>0</v>
      </c>
      <c r="X143" s="163"/>
      <c r="AC143" s="144">
        <f t="shared" ref="AC143" ca="1" si="685">IF($B143,ROUND(AC142*$N141,2),ROUND(SUMIF(OFFSET($B143,1,0,$D143),TRUE,OFFSET(AC143,1,0,$D143))/SUMIF(OFFSET($B143,1,0,$D143),TRUE,OFFSET($K143,1,0,$D143))*$N141,2))</f>
        <v>0</v>
      </c>
    </row>
    <row r="144" spans="1:29" customFormat="1" ht="14.25" customHeight="1" x14ac:dyDescent="0.25">
      <c r="A144" s="1"/>
      <c r="B144" s="1"/>
      <c r="C144" s="1"/>
      <c r="D144" s="1"/>
      <c r="E144" s="1"/>
      <c r="F144" s="1"/>
      <c r="G144" s="1"/>
      <c r="H144" s="1"/>
      <c r="I144" s="1"/>
      <c r="J144" s="1"/>
      <c r="K144" s="1"/>
      <c r="L144" s="343" t="str">
        <f ca="1">INDEX(PO!K$12:K$603,MATCH($A146,PO!$V$12:$V$603,0))</f>
        <v>11.3.</v>
      </c>
      <c r="M144" s="337" t="str">
        <f ca="1">INDEX(PO!N$12:N$603,MATCH($A146,PO!$V$12:$V$603,0))</f>
        <v>PINTURA DIVERSOS</v>
      </c>
      <c r="N144" s="335">
        <f t="shared" ref="N144" ca="1" si="686">IF(ROUND(K146,2)=0,K146,ROUND(K146,2))</f>
        <v>9.9999999999999998E-13</v>
      </c>
      <c r="O144" s="187" t="s">
        <v>143</v>
      </c>
      <c r="P144" s="192">
        <f t="shared" ref="P144" ca="1" si="687">IF($B146,0,P145-IF(ISNUMBER(O145),O145,0))</f>
        <v>0</v>
      </c>
      <c r="Q144" s="193">
        <f t="shared" ref="Q144" ca="1" si="688">IF($B146,0,Q145-IF(ISNUMBER(P145),P145,0))</f>
        <v>0</v>
      </c>
      <c r="R144" s="193">
        <f t="shared" ref="R144" ca="1" si="689">IF($B146,0,R145-IF(ISNUMBER(Q145),Q145,0))</f>
        <v>0</v>
      </c>
      <c r="S144" s="193">
        <f t="shared" ref="S144" ca="1" si="690">IF($B146,0,S145-IF(ISNUMBER(R145),R145,0))</f>
        <v>0</v>
      </c>
      <c r="T144" s="193">
        <f t="shared" ref="T144" ca="1" si="691">IF($B146,0,T145-IF(ISNUMBER(S145),S145,0))</f>
        <v>0</v>
      </c>
      <c r="U144" s="193">
        <f t="shared" ref="U144" ca="1" si="692">IF($B146,0,U145-IF(ISNUMBER(T145),T145,0))</f>
        <v>0</v>
      </c>
      <c r="V144" s="193">
        <v>0.5</v>
      </c>
      <c r="W144" s="194">
        <v>0.5</v>
      </c>
      <c r="X144" s="163"/>
      <c r="AC144" s="188">
        <f t="shared" ref="AC144" ca="1" si="693">IF($B146,0,AC145-IF(ISNUMBER(AB145),AB145,0))</f>
        <v>0</v>
      </c>
    </row>
    <row r="145" spans="1:29" customFormat="1" ht="13.8" x14ac:dyDescent="0.25">
      <c r="A145" s="11"/>
      <c r="B145" s="11"/>
      <c r="C145" s="11"/>
      <c r="D145" s="11"/>
      <c r="E145" s="11"/>
      <c r="F145" s="11"/>
      <c r="G145" s="11"/>
      <c r="H145" s="11"/>
      <c r="I145" s="11"/>
      <c r="J145" s="11"/>
      <c r="K145" s="11"/>
      <c r="L145" s="344"/>
      <c r="M145" s="338"/>
      <c r="N145" s="336"/>
      <c r="O145" s="145" t="s">
        <v>145</v>
      </c>
      <c r="P145" s="165">
        <f t="shared" ref="P145" ca="1" si="694">MIN(IF($B146,P144+IF(ISNUMBER(O145),O145,0),P146/$N144),1)</f>
        <v>0</v>
      </c>
      <c r="Q145" s="143">
        <f t="shared" ref="Q145" ca="1" si="695">MIN(IF($B146,Q144+IF(ISNUMBER(P145),P145,0),Q146/$N144),1)</f>
        <v>0</v>
      </c>
      <c r="R145" s="143">
        <f t="shared" ref="R145" ca="1" si="696">MIN(IF($B146,R144+IF(ISNUMBER(Q145),Q145,0),R146/$N144),1)</f>
        <v>0</v>
      </c>
      <c r="S145" s="143">
        <f t="shared" ref="S145" ca="1" si="697">MIN(IF($B146,S144+IF(ISNUMBER(R145),R145,0),S146/$N144),1)</f>
        <v>0</v>
      </c>
      <c r="T145" s="143">
        <f t="shared" ref="T145" ca="1" si="698">MIN(IF($B146,T144+IF(ISNUMBER(S145),S145,0),T146/$N144),1)</f>
        <v>0</v>
      </c>
      <c r="U145" s="143">
        <f t="shared" ref="U145" ca="1" si="699">MIN(IF($B146,U144+IF(ISNUMBER(T145),T145,0),U146/$N144),1)</f>
        <v>0</v>
      </c>
      <c r="V145" s="143">
        <f t="shared" ref="V145" ca="1" si="700">MIN(IF($B146,V144+IF(ISNUMBER(U145),U145,0),V146/$N144),1)</f>
        <v>0.5</v>
      </c>
      <c r="W145" s="143">
        <f t="shared" ref="W145" ca="1" si="701">MIN(IF($B146,W144+IF(ISNUMBER(V145),V145,0),W146/$N144),1)</f>
        <v>1</v>
      </c>
      <c r="X145" s="163"/>
      <c r="AC145" s="143">
        <f t="shared" ref="AC145" ca="1" si="702">MIN(IF($B146,AC144+IF(ISNUMBER(AB145),AB145,0),AC146/$N144),1)</f>
        <v>0</v>
      </c>
    </row>
    <row r="146" spans="1:29" customFormat="1" ht="13.8" x14ac:dyDescent="0.25">
      <c r="A146" s="11">
        <f ca="1">OFFSET(A146,-CFF.NumLinha,0)+1</f>
        <v>43</v>
      </c>
      <c r="B146" s="11" t="b">
        <f ca="1">$C146&gt;=OFFSET($C146,CFF.NumLinha,0)</f>
        <v>1</v>
      </c>
      <c r="C146" s="11">
        <f ca="1">INDEX(PO!A$12:A$603,MATCH($A146,PO!$V$12:$V$603,0))</f>
        <v>2</v>
      </c>
      <c r="D146" s="11">
        <f t="shared" ref="D146:D177" ca="1" si="703">IF(ISERROR(J146),I146,SMALL(I146:J146,1))-1</f>
        <v>2</v>
      </c>
      <c r="E146" s="11">
        <f ca="1">IF($C146=1,OFFSET(E146,-CFF.NumLinha,0)+1,OFFSET(E146,-CFF.NumLinha,0))</f>
        <v>11</v>
      </c>
      <c r="F146" s="11">
        <f ca="1">IF($C146=1,0,IF($C146=2,OFFSET(F146,-CFF.NumLinha,0)+1,OFFSET(F146,-CFF.NumLinha,0)))</f>
        <v>3</v>
      </c>
      <c r="G146" s="11">
        <f ca="1">IF(AND($C146&lt;=2,$C146&lt;&gt;0),0,IF($C146=3,OFFSET(G146,-CFF.NumLinha,0)+1,OFFSET(G146,-CFF.NumLinha,0)))</f>
        <v>0</v>
      </c>
      <c r="H146" s="11">
        <f ca="1">IF(AND($C146&lt;=3,$C146&lt;&gt;0),0,IF($C146=4,OFFSET(H146,-CFF.NumLinha,0)+1,OFFSET(H146,-CFF.NumLinha,0)))</f>
        <v>0</v>
      </c>
      <c r="I146" s="11">
        <f ca="1">MATCH(0,OFFSET($D146,1,$C146,ROW($A$303)-ROW($A146)),0)</f>
        <v>6</v>
      </c>
      <c r="J146" s="11">
        <f ca="1">MATCH(OFFSET($D146,0,$C146)+1,OFFSET($D146,1,$C146,ROW($A$303)-ROW($A146)),0)</f>
        <v>3</v>
      </c>
      <c r="K146" s="156">
        <f ca="1">ROUND(INDEX(PO!T$12:T$603,MATCH($A146,PO!$V$12:$V$603,0)),2)+10^-12</f>
        <v>9.9999999999999998E-13</v>
      </c>
      <c r="L146" s="344"/>
      <c r="M146" s="338"/>
      <c r="N146" s="336"/>
      <c r="O146" s="171" t="s">
        <v>20</v>
      </c>
      <c r="P146" s="166">
        <f t="shared" ref="P146:W146" ca="1" si="704">IF($B146,ROUND(P145*$N144,2),ROUND(SUMIF(OFFSET($B146,1,0,$D146),TRUE,OFFSET(P146,1,0,$D146))/SUMIF(OFFSET($B146,1,0,$D146),TRUE,OFFSET($K146,1,0,$D146))*$N144,2))</f>
        <v>0</v>
      </c>
      <c r="Q146" s="144">
        <f t="shared" ca="1" si="704"/>
        <v>0</v>
      </c>
      <c r="R146" s="144">
        <f t="shared" ca="1" si="704"/>
        <v>0</v>
      </c>
      <c r="S146" s="144">
        <f t="shared" ca="1" si="704"/>
        <v>0</v>
      </c>
      <c r="T146" s="144">
        <f t="shared" ca="1" si="704"/>
        <v>0</v>
      </c>
      <c r="U146" s="144">
        <f t="shared" ca="1" si="704"/>
        <v>0</v>
      </c>
      <c r="V146" s="144">
        <f t="shared" ca="1" si="704"/>
        <v>0</v>
      </c>
      <c r="W146" s="174">
        <f t="shared" ca="1" si="704"/>
        <v>0</v>
      </c>
      <c r="X146" s="163"/>
      <c r="AC146" s="144">
        <f t="shared" ref="AC146" ca="1" si="705">IF($B146,ROUND(AC145*$N144,2),ROUND(SUMIF(OFFSET($B146,1,0,$D146),TRUE,OFFSET(AC146,1,0,$D146))/SUMIF(OFFSET($B146,1,0,$D146),TRUE,OFFSET($K146,1,0,$D146))*$N144,2))</f>
        <v>0</v>
      </c>
    </row>
    <row r="147" spans="1:29" customFormat="1" ht="14.25" customHeight="1" x14ac:dyDescent="0.25">
      <c r="A147" s="1"/>
      <c r="B147" s="1"/>
      <c r="C147" s="1"/>
      <c r="D147" s="1"/>
      <c r="E147" s="1"/>
      <c r="F147" s="1"/>
      <c r="G147" s="1"/>
      <c r="H147" s="1"/>
      <c r="I147" s="1"/>
      <c r="J147" s="1"/>
      <c r="K147" s="1"/>
      <c r="L147" s="343" t="str">
        <f ca="1">INDEX(PO!K$12:K$603,MATCH($A149,PO!$V$12:$V$603,0))</f>
        <v>11.4.</v>
      </c>
      <c r="M147" s="337" t="str">
        <f ca="1">INDEX(PO!N$12:N$603,MATCH($A149,PO!$V$12:$V$603,0))</f>
        <v>MURETA</v>
      </c>
      <c r="N147" s="335">
        <f t="shared" ref="N147" ca="1" si="706">IF(ROUND(K149,2)=0,K149,ROUND(K149,2))</f>
        <v>9.9999999999999998E-13</v>
      </c>
      <c r="O147" s="187" t="s">
        <v>143</v>
      </c>
      <c r="P147" s="192">
        <f t="shared" ref="P147" ca="1" si="707">IF($B149,0,P148-IF(ISNUMBER(O148),O148,0))</f>
        <v>0</v>
      </c>
      <c r="Q147" s="193">
        <f t="shared" ref="Q147" ca="1" si="708">IF($B149,0,Q148-IF(ISNUMBER(P148),P148,0))</f>
        <v>0</v>
      </c>
      <c r="R147" s="193">
        <f t="shared" ref="R147" ca="1" si="709">IF($B149,0,R148-IF(ISNUMBER(Q148),Q148,0))</f>
        <v>0</v>
      </c>
      <c r="S147" s="193">
        <f t="shared" ref="S147" ca="1" si="710">IF($B149,0,S148-IF(ISNUMBER(R148),R148,0))</f>
        <v>0</v>
      </c>
      <c r="T147" s="193">
        <f t="shared" ref="T147" ca="1" si="711">IF($B149,0,T148-IF(ISNUMBER(S148),S148,0))</f>
        <v>0</v>
      </c>
      <c r="U147" s="193">
        <v>0.25</v>
      </c>
      <c r="V147" s="193">
        <v>0.5</v>
      </c>
      <c r="W147" s="194">
        <v>0.25</v>
      </c>
      <c r="X147" s="163"/>
      <c r="AC147" s="188">
        <f t="shared" ref="AC147" ca="1" si="712">IF($B149,0,AC148-IF(ISNUMBER(AB148),AB148,0))</f>
        <v>0</v>
      </c>
    </row>
    <row r="148" spans="1:29" customFormat="1" ht="13.8" x14ac:dyDescent="0.25">
      <c r="A148" s="11"/>
      <c r="B148" s="11"/>
      <c r="C148" s="11"/>
      <c r="D148" s="11"/>
      <c r="E148" s="11"/>
      <c r="F148" s="11"/>
      <c r="G148" s="11"/>
      <c r="H148" s="11"/>
      <c r="I148" s="11"/>
      <c r="J148" s="11"/>
      <c r="K148" s="11"/>
      <c r="L148" s="344"/>
      <c r="M148" s="338"/>
      <c r="N148" s="336"/>
      <c r="O148" s="145" t="s">
        <v>145</v>
      </c>
      <c r="P148" s="165">
        <f t="shared" ref="P148" ca="1" si="713">MIN(IF($B149,P147+IF(ISNUMBER(O148),O148,0),P149/$N147),1)</f>
        <v>0</v>
      </c>
      <c r="Q148" s="143">
        <f t="shared" ref="Q148" ca="1" si="714">MIN(IF($B149,Q147+IF(ISNUMBER(P148),P148,0),Q149/$N147),1)</f>
        <v>0</v>
      </c>
      <c r="R148" s="143">
        <f t="shared" ref="R148" ca="1" si="715">MIN(IF($B149,R147+IF(ISNUMBER(Q148),Q148,0),R149/$N147),1)</f>
        <v>0</v>
      </c>
      <c r="S148" s="143">
        <f t="shared" ref="S148" ca="1" si="716">MIN(IF($B149,S147+IF(ISNUMBER(R148),R148,0),S149/$N147),1)</f>
        <v>0</v>
      </c>
      <c r="T148" s="143">
        <f t="shared" ref="T148" ca="1" si="717">MIN(IF($B149,T147+IF(ISNUMBER(S148),S148,0),T149/$N147),1)</f>
        <v>0</v>
      </c>
      <c r="U148" s="143">
        <f t="shared" ref="U148" ca="1" si="718">MIN(IF($B149,U147+IF(ISNUMBER(T148),T148,0),U149/$N147),1)</f>
        <v>0.25</v>
      </c>
      <c r="V148" s="143">
        <f t="shared" ref="V148" ca="1" si="719">MIN(IF($B149,V147+IF(ISNUMBER(U148),U148,0),V149/$N147),1)</f>
        <v>0.75</v>
      </c>
      <c r="W148" s="143">
        <f t="shared" ref="W148" ca="1" si="720">MIN(IF($B149,W147+IF(ISNUMBER(V148),V148,0),W149/$N147),1)</f>
        <v>1</v>
      </c>
      <c r="X148" s="163"/>
      <c r="AC148" s="143">
        <f t="shared" ref="AC148" ca="1" si="721">MIN(IF($B149,AC147+IF(ISNUMBER(AB148),AB148,0),AC149/$N147),1)</f>
        <v>0</v>
      </c>
    </row>
    <row r="149" spans="1:29" customFormat="1" ht="13.8" x14ac:dyDescent="0.25">
      <c r="A149" s="11">
        <f ca="1">OFFSET(A149,-CFF.NumLinha,0)+1</f>
        <v>44</v>
      </c>
      <c r="B149" s="11" t="b">
        <f ca="1">$C149&gt;=OFFSET($C149,CFF.NumLinha,0)</f>
        <v>1</v>
      </c>
      <c r="C149" s="11">
        <f ca="1">INDEX(PO!A$12:A$603,MATCH($A149,PO!$V$12:$V$603,0))</f>
        <v>2</v>
      </c>
      <c r="D149" s="11">
        <f t="shared" ref="D149:D180" ca="1" si="722">IF(ISERROR(J149),I149,SMALL(I149:J149,1))-1</f>
        <v>2</v>
      </c>
      <c r="E149" s="11">
        <f ca="1">IF($C149=1,OFFSET(E149,-CFF.NumLinha,0)+1,OFFSET(E149,-CFF.NumLinha,0))</f>
        <v>11</v>
      </c>
      <c r="F149" s="11">
        <f ca="1">IF($C149=1,0,IF($C149=2,OFFSET(F149,-CFF.NumLinha,0)+1,OFFSET(F149,-CFF.NumLinha,0)))</f>
        <v>4</v>
      </c>
      <c r="G149" s="11">
        <f ca="1">IF(AND($C149&lt;=2,$C149&lt;&gt;0),0,IF($C149=3,OFFSET(G149,-CFF.NumLinha,0)+1,OFFSET(G149,-CFF.NumLinha,0)))</f>
        <v>0</v>
      </c>
      <c r="H149" s="11">
        <f ca="1">IF(AND($C149&lt;=3,$C149&lt;&gt;0),0,IF($C149=4,OFFSET(H149,-CFF.NumLinha,0)+1,OFFSET(H149,-CFF.NumLinha,0)))</f>
        <v>0</v>
      </c>
      <c r="I149" s="11">
        <f ca="1">MATCH(0,OFFSET($D149,1,$C149,ROW($A$303)-ROW($A149)),0)</f>
        <v>3</v>
      </c>
      <c r="J149" s="11">
        <f ca="1">MATCH(OFFSET($D149,0,$C149)+1,OFFSET($D149,1,$C149,ROW($A$303)-ROW($A149)),0)</f>
        <v>54</v>
      </c>
      <c r="K149" s="156">
        <f ca="1">ROUND(INDEX(PO!T$12:T$603,MATCH($A149,PO!$V$12:$V$603,0)),2)+10^-12</f>
        <v>9.9999999999999998E-13</v>
      </c>
      <c r="L149" s="344"/>
      <c r="M149" s="338"/>
      <c r="N149" s="336"/>
      <c r="O149" s="171" t="s">
        <v>20</v>
      </c>
      <c r="P149" s="166">
        <f t="shared" ref="P149:W149" ca="1" si="723">IF($B149,ROUND(P148*$N147,2),ROUND(SUMIF(OFFSET($B149,1,0,$D149),TRUE,OFFSET(P149,1,0,$D149))/SUMIF(OFFSET($B149,1,0,$D149),TRUE,OFFSET($K149,1,0,$D149))*$N147,2))</f>
        <v>0</v>
      </c>
      <c r="Q149" s="144">
        <f t="shared" ca="1" si="723"/>
        <v>0</v>
      </c>
      <c r="R149" s="144">
        <f t="shared" ca="1" si="723"/>
        <v>0</v>
      </c>
      <c r="S149" s="144">
        <f t="shared" ca="1" si="723"/>
        <v>0</v>
      </c>
      <c r="T149" s="144">
        <f t="shared" ca="1" si="723"/>
        <v>0</v>
      </c>
      <c r="U149" s="144">
        <f t="shared" ca="1" si="723"/>
        <v>0</v>
      </c>
      <c r="V149" s="144">
        <f t="shared" ca="1" si="723"/>
        <v>0</v>
      </c>
      <c r="W149" s="174">
        <f t="shared" ca="1" si="723"/>
        <v>0</v>
      </c>
      <c r="X149" s="163"/>
      <c r="AC149" s="144">
        <f t="shared" ref="AC149" ca="1" si="724">IF($B149,ROUND(AC148*$N147,2),ROUND(SUMIF(OFFSET($B149,1,0,$D149),TRUE,OFFSET(AC149,1,0,$D149))/SUMIF(OFFSET($B149,1,0,$D149),TRUE,OFFSET($K149,1,0,$D149))*$N147,2))</f>
        <v>0</v>
      </c>
    </row>
    <row r="150" spans="1:29" customFormat="1" ht="14.25" customHeight="1" x14ac:dyDescent="0.25">
      <c r="A150" s="1"/>
      <c r="B150" s="1"/>
      <c r="C150" s="1"/>
      <c r="D150" s="1"/>
      <c r="E150" s="1"/>
      <c r="F150" s="1"/>
      <c r="G150" s="1"/>
      <c r="H150" s="1"/>
      <c r="I150" s="1"/>
      <c r="J150" s="1"/>
      <c r="K150" s="1"/>
      <c r="L150" s="343" t="str">
        <f ca="1">INDEX(PO!K$12:K$603,MATCH($A152,PO!$V$12:$V$603,0))</f>
        <v>12.</v>
      </c>
      <c r="M150" s="337" t="str">
        <f ca="1">INDEX(PO!N$12:N$603,MATCH($A152,PO!$V$12:$V$603,0))</f>
        <v>INSTALAÇÕES HIDRÁULICAS</v>
      </c>
      <c r="N150" s="335">
        <f t="shared" ref="N150" ca="1" si="725">IF(ROUND(K152,2)=0,K152,ROUND(K152,2))</f>
        <v>9.9999999999999998E-13</v>
      </c>
      <c r="O150" s="187" t="s">
        <v>143</v>
      </c>
      <c r="P150" s="192">
        <f t="shared" ref="P150" ca="1" si="726">IF($B152,0,P151-IF(ISNUMBER(O151),O151,0))</f>
        <v>0</v>
      </c>
      <c r="Q150" s="193">
        <f t="shared" ref="Q150" ca="1" si="727">IF($B152,0,Q151-IF(ISNUMBER(P151),P151,0))</f>
        <v>0</v>
      </c>
      <c r="R150" s="193">
        <f t="shared" ref="R150" ca="1" si="728">IF($B152,0,R151-IF(ISNUMBER(Q151),Q151,0))</f>
        <v>0</v>
      </c>
      <c r="S150" s="193">
        <f t="shared" ref="S150" ca="1" si="729">IF($B152,0,S151-IF(ISNUMBER(R151),R151,0))</f>
        <v>0</v>
      </c>
      <c r="T150" s="193">
        <f t="shared" ref="T150" ca="1" si="730">IF($B152,0,T151-IF(ISNUMBER(S151),S151,0))</f>
        <v>0</v>
      </c>
      <c r="U150" s="193">
        <f t="shared" ref="U150" ca="1" si="731">IF($B152,0,U151-IF(ISNUMBER(T151),T151,0))</f>
        <v>0</v>
      </c>
      <c r="V150" s="193">
        <f t="shared" ref="V150" ca="1" si="732">IF($B152,0,V151-IF(ISNUMBER(U151),U151,0))</f>
        <v>0</v>
      </c>
      <c r="W150" s="194">
        <f t="shared" ref="W150" ca="1" si="733">IF($B152,0,W151-IF(ISNUMBER(V151),V151,0))</f>
        <v>0</v>
      </c>
      <c r="X150" s="163"/>
      <c r="AC150" s="188">
        <f t="shared" ref="AC150" ca="1" si="734">IF($B152,0,AC151-IF(ISNUMBER(AB151),AB151,0))</f>
        <v>0</v>
      </c>
    </row>
    <row r="151" spans="1:29" customFormat="1" ht="13.8" x14ac:dyDescent="0.25">
      <c r="A151" s="11"/>
      <c r="B151" s="11"/>
      <c r="C151" s="11"/>
      <c r="D151" s="11"/>
      <c r="E151" s="11"/>
      <c r="F151" s="11"/>
      <c r="G151" s="11"/>
      <c r="H151" s="11"/>
      <c r="I151" s="11"/>
      <c r="J151" s="11"/>
      <c r="K151" s="11"/>
      <c r="L151" s="344"/>
      <c r="M151" s="338"/>
      <c r="N151" s="336"/>
      <c r="O151" s="145" t="s">
        <v>145</v>
      </c>
      <c r="P151" s="165">
        <f t="shared" ref="P151" ca="1" si="735">MIN(IF($B152,P150+IF(ISNUMBER(O151),O151,0),P152/$N150),1)</f>
        <v>0</v>
      </c>
      <c r="Q151" s="143">
        <f t="shared" ref="Q151" ca="1" si="736">MIN(IF($B152,Q150+IF(ISNUMBER(P151),P151,0),Q152/$N150),1)</f>
        <v>0</v>
      </c>
      <c r="R151" s="143">
        <f t="shared" ref="R151" ca="1" si="737">MIN(IF($B152,R150+IF(ISNUMBER(Q151),Q151,0),R152/$N150),1)</f>
        <v>0</v>
      </c>
      <c r="S151" s="143">
        <f t="shared" ref="S151" ca="1" si="738">MIN(IF($B152,S150+IF(ISNUMBER(R151),R151,0),S152/$N150),1)</f>
        <v>0</v>
      </c>
      <c r="T151" s="143">
        <f t="shared" ref="T151" ca="1" si="739">MIN(IF($B152,T150+IF(ISNUMBER(S151),S151,0),T152/$N150),1)</f>
        <v>0</v>
      </c>
      <c r="U151" s="143">
        <f t="shared" ref="U151" ca="1" si="740">MIN(IF($B152,U150+IF(ISNUMBER(T151),T151,0),U152/$N150),1)</f>
        <v>0</v>
      </c>
      <c r="V151" s="143">
        <f t="shared" ref="V151" ca="1" si="741">MIN(IF($B152,V150+IF(ISNUMBER(U151),U151,0),V152/$N150),1)</f>
        <v>0</v>
      </c>
      <c r="W151" s="143">
        <f t="shared" ref="W151" ca="1" si="742">MIN(IF($B152,W150+IF(ISNUMBER(V151),V151,0),W152/$N150),1)</f>
        <v>0</v>
      </c>
      <c r="X151" s="163"/>
      <c r="AC151" s="143">
        <f t="shared" ref="AC151" ca="1" si="743">MIN(IF($B152,AC150+IF(ISNUMBER(AB151),AB151,0),AC152/$N150),1)</f>
        <v>0</v>
      </c>
    </row>
    <row r="152" spans="1:29" customFormat="1" ht="13.8" x14ac:dyDescent="0.25">
      <c r="A152" s="11">
        <f ca="1">OFFSET(A152,-CFF.NumLinha,0)+1</f>
        <v>45</v>
      </c>
      <c r="B152" s="11" t="b">
        <f ca="1">$C152&gt;=OFFSET($C152,CFF.NumLinha,0)</f>
        <v>0</v>
      </c>
      <c r="C152" s="11">
        <f ca="1">INDEX(PO!A$12:A$603,MATCH($A152,PO!$V$12:$V$603,0))</f>
        <v>1</v>
      </c>
      <c r="D152" s="11">
        <f t="shared" ref="D152:D183" ca="1" si="744">IF(ISERROR(J152),I152,SMALL(I152:J152,1))-1</f>
        <v>11</v>
      </c>
      <c r="E152" s="11">
        <f ca="1">IF($C152=1,OFFSET(E152,-CFF.NumLinha,0)+1,OFFSET(E152,-CFF.NumLinha,0))</f>
        <v>12</v>
      </c>
      <c r="F152" s="11">
        <f ca="1">IF($C152=1,0,IF($C152=2,OFFSET(F152,-CFF.NumLinha,0)+1,OFFSET(F152,-CFF.NumLinha,0)))</f>
        <v>0</v>
      </c>
      <c r="G152" s="11">
        <f ca="1">IF(AND($C152&lt;=2,$C152&lt;&gt;0),0,IF($C152=3,OFFSET(G152,-CFF.NumLinha,0)+1,OFFSET(G152,-CFF.NumLinha,0)))</f>
        <v>0</v>
      </c>
      <c r="H152" s="11">
        <f ca="1">IF(AND($C152&lt;=3,$C152&lt;&gt;0),0,IF($C152=4,OFFSET(H152,-CFF.NumLinha,0)+1,OFFSET(H152,-CFF.NumLinha,0)))</f>
        <v>0</v>
      </c>
      <c r="I152" s="11">
        <f ca="1">MATCH(0,OFFSET($D152,1,$C152,ROW($A$303)-ROW($A152)),0)</f>
        <v>151</v>
      </c>
      <c r="J152" s="11">
        <f ca="1">MATCH(OFFSET($D152,0,$C152)+1,OFFSET($D152,1,$C152,ROW($A$303)-ROW($A152)),0)</f>
        <v>12</v>
      </c>
      <c r="K152" s="156">
        <f ca="1">ROUND(INDEX(PO!T$12:T$603,MATCH($A152,PO!$V$12:$V$603,0)),2)+10^-12</f>
        <v>9.9999999999999998E-13</v>
      </c>
      <c r="L152" s="344"/>
      <c r="M152" s="338"/>
      <c r="N152" s="336"/>
      <c r="O152" s="171" t="s">
        <v>20</v>
      </c>
      <c r="P152" s="166">
        <f t="shared" ref="P152:W152" ca="1" si="745">IF($B152,ROUND(P151*$N150,2),ROUND(SUMIF(OFFSET($B152,1,0,$D152),TRUE,OFFSET(P152,1,0,$D152))/SUMIF(OFFSET($B152,1,0,$D152),TRUE,OFFSET($K152,1,0,$D152))*$N150,2))</f>
        <v>0</v>
      </c>
      <c r="Q152" s="144">
        <f t="shared" ca="1" si="745"/>
        <v>0</v>
      </c>
      <c r="R152" s="144">
        <f t="shared" ca="1" si="745"/>
        <v>0</v>
      </c>
      <c r="S152" s="144">
        <f t="shared" ca="1" si="745"/>
        <v>0</v>
      </c>
      <c r="T152" s="144">
        <f t="shared" ca="1" si="745"/>
        <v>0</v>
      </c>
      <c r="U152" s="144">
        <f t="shared" ca="1" si="745"/>
        <v>0</v>
      </c>
      <c r="V152" s="144">
        <f t="shared" ca="1" si="745"/>
        <v>0</v>
      </c>
      <c r="W152" s="174">
        <f t="shared" ca="1" si="745"/>
        <v>0</v>
      </c>
      <c r="X152" s="163"/>
      <c r="AC152" s="144">
        <f t="shared" ref="AC152" ca="1" si="746">IF($B152,ROUND(AC151*$N150,2),ROUND(SUMIF(OFFSET($B152,1,0,$D152),TRUE,OFFSET(AC152,1,0,$D152))/SUMIF(OFFSET($B152,1,0,$D152),TRUE,OFFSET($K152,1,0,$D152))*$N150,2))</f>
        <v>0</v>
      </c>
    </row>
    <row r="153" spans="1:29" customFormat="1" ht="14.25" customHeight="1" x14ac:dyDescent="0.25">
      <c r="A153" s="1"/>
      <c r="B153" s="1"/>
      <c r="C153" s="1"/>
      <c r="D153" s="1"/>
      <c r="E153" s="1"/>
      <c r="F153" s="1"/>
      <c r="G153" s="1"/>
      <c r="H153" s="1"/>
      <c r="I153" s="1"/>
      <c r="J153" s="1"/>
      <c r="K153" s="1"/>
      <c r="L153" s="343" t="str">
        <f ca="1">INDEX(PO!K$12:K$603,MATCH($A155,PO!$V$12:$V$603,0))</f>
        <v>12.1.</v>
      </c>
      <c r="M153" s="337" t="str">
        <f ca="1">INDEX(PO!N$12:N$603,MATCH($A155,PO!$V$12:$V$603,0))</f>
        <v>TUBULAÇÕES E CONEXÕES PVC</v>
      </c>
      <c r="N153" s="335">
        <f t="shared" ref="N153" ca="1" si="747">IF(ROUND(K155,2)=0,K155,ROUND(K155,2))</f>
        <v>9.9999999999999998E-13</v>
      </c>
      <c r="O153" s="187" t="s">
        <v>143</v>
      </c>
      <c r="P153" s="192">
        <f t="shared" ref="P153" ca="1" si="748">IF($B155,0,P154-IF(ISNUMBER(O154),O154,0))</f>
        <v>0</v>
      </c>
      <c r="Q153" s="193">
        <f t="shared" ref="Q153" ca="1" si="749">IF($B155,0,Q154-IF(ISNUMBER(P154),P154,0))</f>
        <v>0</v>
      </c>
      <c r="R153" s="193">
        <f t="shared" ref="R153" ca="1" si="750">IF($B155,0,R154-IF(ISNUMBER(Q154),Q154,0))</f>
        <v>0</v>
      </c>
      <c r="S153" s="193">
        <f t="shared" ref="S153" ca="1" si="751">IF($B155,0,S154-IF(ISNUMBER(R154),R154,0))</f>
        <v>0</v>
      </c>
      <c r="T153" s="193">
        <v>0.25</v>
      </c>
      <c r="U153" s="193">
        <v>0.25</v>
      </c>
      <c r="V153" s="193">
        <v>0.25</v>
      </c>
      <c r="W153" s="194">
        <v>0.25</v>
      </c>
      <c r="X153" s="163"/>
      <c r="AC153" s="188">
        <f t="shared" ref="AC153" ca="1" si="752">IF($B155,0,AC154-IF(ISNUMBER(AB154),AB154,0))</f>
        <v>0</v>
      </c>
    </row>
    <row r="154" spans="1:29" customFormat="1" ht="13.8" x14ac:dyDescent="0.25">
      <c r="A154" s="11"/>
      <c r="B154" s="11"/>
      <c r="C154" s="11"/>
      <c r="D154" s="11"/>
      <c r="E154" s="11"/>
      <c r="F154" s="11"/>
      <c r="G154" s="11"/>
      <c r="H154" s="11"/>
      <c r="I154" s="11"/>
      <c r="J154" s="11"/>
      <c r="K154" s="11"/>
      <c r="L154" s="344"/>
      <c r="M154" s="338"/>
      <c r="N154" s="336"/>
      <c r="O154" s="145" t="s">
        <v>145</v>
      </c>
      <c r="P154" s="165">
        <f t="shared" ref="P154" ca="1" si="753">MIN(IF($B155,P153+IF(ISNUMBER(O154),O154,0),P155/$N153),1)</f>
        <v>0</v>
      </c>
      <c r="Q154" s="143">
        <f t="shared" ref="Q154" ca="1" si="754">MIN(IF($B155,Q153+IF(ISNUMBER(P154),P154,0),Q155/$N153),1)</f>
        <v>0</v>
      </c>
      <c r="R154" s="143">
        <f t="shared" ref="R154" ca="1" si="755">MIN(IF($B155,R153+IF(ISNUMBER(Q154),Q154,0),R155/$N153),1)</f>
        <v>0</v>
      </c>
      <c r="S154" s="143">
        <f t="shared" ref="S154" ca="1" si="756">MIN(IF($B155,S153+IF(ISNUMBER(R154),R154,0),S155/$N153),1)</f>
        <v>0</v>
      </c>
      <c r="T154" s="143">
        <f t="shared" ref="T154" ca="1" si="757">MIN(IF($B155,T153+IF(ISNUMBER(S154),S154,0),T155/$N153),1)</f>
        <v>0.25</v>
      </c>
      <c r="U154" s="143">
        <f t="shared" ref="U154" ca="1" si="758">MIN(IF($B155,U153+IF(ISNUMBER(T154),T154,0),U155/$N153),1)</f>
        <v>0.5</v>
      </c>
      <c r="V154" s="143">
        <f t="shared" ref="V154" ca="1" si="759">MIN(IF($B155,V153+IF(ISNUMBER(U154),U154,0),V155/$N153),1)</f>
        <v>0.75</v>
      </c>
      <c r="W154" s="143">
        <f t="shared" ref="W154" ca="1" si="760">MIN(IF($B155,W153+IF(ISNUMBER(V154),V154,0),W155/$N153),1)</f>
        <v>1</v>
      </c>
      <c r="X154" s="163"/>
      <c r="AC154" s="143">
        <f t="shared" ref="AC154" ca="1" si="761">MIN(IF($B155,AC153+IF(ISNUMBER(AB154),AB154,0),AC155/$N153),1)</f>
        <v>0</v>
      </c>
    </row>
    <row r="155" spans="1:29" customFormat="1" ht="13.8" x14ac:dyDescent="0.25">
      <c r="A155" s="11">
        <f ca="1">OFFSET(A155,-CFF.NumLinha,0)+1</f>
        <v>46</v>
      </c>
      <c r="B155" s="11" t="b">
        <f ca="1">$C155&gt;=OFFSET($C155,CFF.NumLinha,0)</f>
        <v>1</v>
      </c>
      <c r="C155" s="11">
        <f ca="1">INDEX(PO!A$12:A$603,MATCH($A155,PO!$V$12:$V$603,0))</f>
        <v>2</v>
      </c>
      <c r="D155" s="11">
        <f t="shared" ref="D155:D186" ca="1" si="762">IF(ISERROR(J155),I155,SMALL(I155:J155,1))-1</f>
        <v>2</v>
      </c>
      <c r="E155" s="11">
        <f ca="1">IF($C155=1,OFFSET(E155,-CFF.NumLinha,0)+1,OFFSET(E155,-CFF.NumLinha,0))</f>
        <v>12</v>
      </c>
      <c r="F155" s="11">
        <f ca="1">IF($C155=1,0,IF($C155=2,OFFSET(F155,-CFF.NumLinha,0)+1,OFFSET(F155,-CFF.NumLinha,0)))</f>
        <v>1</v>
      </c>
      <c r="G155" s="11">
        <f ca="1">IF(AND($C155&lt;=2,$C155&lt;&gt;0),0,IF($C155=3,OFFSET(G155,-CFF.NumLinha,0)+1,OFFSET(G155,-CFF.NumLinha,0)))</f>
        <v>0</v>
      </c>
      <c r="H155" s="11">
        <f ca="1">IF(AND($C155&lt;=3,$C155&lt;&gt;0),0,IF($C155=4,OFFSET(H155,-CFF.NumLinha,0)+1,OFFSET(H155,-CFF.NumLinha,0)))</f>
        <v>0</v>
      </c>
      <c r="I155" s="11">
        <f ca="1">MATCH(0,OFFSET($D155,1,$C155,ROW($A$303)-ROW($A155)),0)</f>
        <v>9</v>
      </c>
      <c r="J155" s="11">
        <f ca="1">MATCH(OFFSET($D155,0,$C155)+1,OFFSET($D155,1,$C155,ROW($A$303)-ROW($A155)),0)</f>
        <v>3</v>
      </c>
      <c r="K155" s="156">
        <f ca="1">ROUND(INDEX(PO!T$12:T$603,MATCH($A155,PO!$V$12:$V$603,0)),2)+10^-12</f>
        <v>9.9999999999999998E-13</v>
      </c>
      <c r="L155" s="344"/>
      <c r="M155" s="338"/>
      <c r="N155" s="336"/>
      <c r="O155" s="171" t="s">
        <v>20</v>
      </c>
      <c r="P155" s="166">
        <f t="shared" ref="P155:W155" ca="1" si="763">IF($B155,ROUND(P154*$N153,2),ROUND(SUMIF(OFFSET($B155,1,0,$D155),TRUE,OFFSET(P155,1,0,$D155))/SUMIF(OFFSET($B155,1,0,$D155),TRUE,OFFSET($K155,1,0,$D155))*$N153,2))</f>
        <v>0</v>
      </c>
      <c r="Q155" s="144">
        <f t="shared" ca="1" si="763"/>
        <v>0</v>
      </c>
      <c r="R155" s="144">
        <f t="shared" ca="1" si="763"/>
        <v>0</v>
      </c>
      <c r="S155" s="144">
        <f t="shared" ca="1" si="763"/>
        <v>0</v>
      </c>
      <c r="T155" s="144">
        <f t="shared" ca="1" si="763"/>
        <v>0</v>
      </c>
      <c r="U155" s="144">
        <f t="shared" ca="1" si="763"/>
        <v>0</v>
      </c>
      <c r="V155" s="144">
        <f t="shared" ca="1" si="763"/>
        <v>0</v>
      </c>
      <c r="W155" s="174">
        <f t="shared" ca="1" si="763"/>
        <v>0</v>
      </c>
      <c r="X155" s="163"/>
      <c r="AC155" s="144">
        <f t="shared" ref="AC155" ca="1" si="764">IF($B155,ROUND(AC154*$N153,2),ROUND(SUMIF(OFFSET($B155,1,0,$D155),TRUE,OFFSET(AC155,1,0,$D155))/SUMIF(OFFSET($B155,1,0,$D155),TRUE,OFFSET($K155,1,0,$D155))*$N153,2))</f>
        <v>0</v>
      </c>
    </row>
    <row r="156" spans="1:29" customFormat="1" ht="14.25" customHeight="1" x14ac:dyDescent="0.25">
      <c r="A156" s="1"/>
      <c r="B156" s="1"/>
      <c r="C156" s="1"/>
      <c r="D156" s="1"/>
      <c r="E156" s="1"/>
      <c r="F156" s="1"/>
      <c r="G156" s="1"/>
      <c r="H156" s="1"/>
      <c r="I156" s="1"/>
      <c r="J156" s="1"/>
      <c r="K156" s="1"/>
      <c r="L156" s="343" t="str">
        <f ca="1">INDEX(PO!K$12:K$603,MATCH($A158,PO!$V$12:$V$603,0))</f>
        <v>12.2.</v>
      </c>
      <c r="M156" s="337" t="str">
        <f ca="1">INDEX(PO!N$12:N$603,MATCH($A158,PO!$V$12:$V$603,0))</f>
        <v>TUBULAÇÕES E CONEXÕES METAIS</v>
      </c>
      <c r="N156" s="335">
        <f t="shared" ref="N156" ca="1" si="765">IF(ROUND(K158,2)=0,K158,ROUND(K158,2))</f>
        <v>9.9999999999999998E-13</v>
      </c>
      <c r="O156" s="187" t="s">
        <v>143</v>
      </c>
      <c r="P156" s="192">
        <f t="shared" ref="P156" ca="1" si="766">IF($B158,0,P157-IF(ISNUMBER(O157),O157,0))</f>
        <v>0</v>
      </c>
      <c r="Q156" s="193">
        <f t="shared" ref="Q156" ca="1" si="767">IF($B158,0,Q157-IF(ISNUMBER(P157),P157,0))</f>
        <v>0</v>
      </c>
      <c r="R156" s="193">
        <f t="shared" ref="R156" ca="1" si="768">IF($B158,0,R157-IF(ISNUMBER(Q157),Q157,0))</f>
        <v>0</v>
      </c>
      <c r="S156" s="193">
        <f t="shared" ref="S156" ca="1" si="769">IF($B158,0,S157-IF(ISNUMBER(R157),R157,0))</f>
        <v>0</v>
      </c>
      <c r="T156" s="193">
        <v>0.25</v>
      </c>
      <c r="U156" s="193">
        <v>0.25</v>
      </c>
      <c r="V156" s="193">
        <v>0.25</v>
      </c>
      <c r="W156" s="194">
        <v>0.25</v>
      </c>
      <c r="X156" s="163"/>
      <c r="AC156" s="188">
        <f t="shared" ref="AC156" ca="1" si="770">IF($B158,0,AC157-IF(ISNUMBER(AB157),AB157,0))</f>
        <v>0</v>
      </c>
    </row>
    <row r="157" spans="1:29" customFormat="1" ht="13.8" x14ac:dyDescent="0.25">
      <c r="A157" s="11"/>
      <c r="B157" s="11"/>
      <c r="C157" s="11"/>
      <c r="D157" s="11"/>
      <c r="E157" s="11"/>
      <c r="F157" s="11"/>
      <c r="G157" s="11"/>
      <c r="H157" s="11"/>
      <c r="I157" s="11"/>
      <c r="J157" s="11"/>
      <c r="K157" s="11"/>
      <c r="L157" s="344"/>
      <c r="M157" s="338"/>
      <c r="N157" s="336"/>
      <c r="O157" s="145" t="s">
        <v>145</v>
      </c>
      <c r="P157" s="165">
        <f t="shared" ref="P157" ca="1" si="771">MIN(IF($B158,P156+IF(ISNUMBER(O157),O157,0),P158/$N156),1)</f>
        <v>0</v>
      </c>
      <c r="Q157" s="143">
        <f t="shared" ref="Q157" ca="1" si="772">MIN(IF($B158,Q156+IF(ISNUMBER(P157),P157,0),Q158/$N156),1)</f>
        <v>0</v>
      </c>
      <c r="R157" s="143">
        <f t="shared" ref="R157" ca="1" si="773">MIN(IF($B158,R156+IF(ISNUMBER(Q157),Q157,0),R158/$N156),1)</f>
        <v>0</v>
      </c>
      <c r="S157" s="143">
        <f t="shared" ref="S157" ca="1" si="774">MIN(IF($B158,S156+IF(ISNUMBER(R157),R157,0),S158/$N156),1)</f>
        <v>0</v>
      </c>
      <c r="T157" s="143">
        <f t="shared" ref="T157" ca="1" si="775">MIN(IF($B158,T156+IF(ISNUMBER(S157),S157,0),T158/$N156),1)</f>
        <v>0.25</v>
      </c>
      <c r="U157" s="143">
        <f t="shared" ref="U157" ca="1" si="776">MIN(IF($B158,U156+IF(ISNUMBER(T157),T157,0),U158/$N156),1)</f>
        <v>0.5</v>
      </c>
      <c r="V157" s="143">
        <f t="shared" ref="V157" ca="1" si="777">MIN(IF($B158,V156+IF(ISNUMBER(U157),U157,0),V158/$N156),1)</f>
        <v>0.75</v>
      </c>
      <c r="W157" s="143">
        <f t="shared" ref="W157" ca="1" si="778">MIN(IF($B158,W156+IF(ISNUMBER(V157),V157,0),W158/$N156),1)</f>
        <v>1</v>
      </c>
      <c r="X157" s="163"/>
      <c r="AC157" s="143">
        <f t="shared" ref="AC157" ca="1" si="779">MIN(IF($B158,AC156+IF(ISNUMBER(AB157),AB157,0),AC158/$N156),1)</f>
        <v>0</v>
      </c>
    </row>
    <row r="158" spans="1:29" customFormat="1" ht="13.8" x14ac:dyDescent="0.25">
      <c r="A158" s="11">
        <f ca="1">OFFSET(A158,-CFF.NumLinha,0)+1</f>
        <v>47</v>
      </c>
      <c r="B158" s="11" t="b">
        <f ca="1">$C158&gt;=OFFSET($C158,CFF.NumLinha,0)</f>
        <v>1</v>
      </c>
      <c r="C158" s="11">
        <f ca="1">INDEX(PO!A$12:A$603,MATCH($A158,PO!$V$12:$V$603,0))</f>
        <v>2</v>
      </c>
      <c r="D158" s="11">
        <f t="shared" ref="D158:D189" ca="1" si="780">IF(ISERROR(J158),I158,SMALL(I158:J158,1))-1</f>
        <v>2</v>
      </c>
      <c r="E158" s="11">
        <f ca="1">IF($C158=1,OFFSET(E158,-CFF.NumLinha,0)+1,OFFSET(E158,-CFF.NumLinha,0))</f>
        <v>12</v>
      </c>
      <c r="F158" s="11">
        <f ca="1">IF($C158=1,0,IF($C158=2,OFFSET(F158,-CFF.NumLinha,0)+1,OFFSET(F158,-CFF.NumLinha,0)))</f>
        <v>2</v>
      </c>
      <c r="G158" s="11">
        <f ca="1">IF(AND($C158&lt;=2,$C158&lt;&gt;0),0,IF($C158=3,OFFSET(G158,-CFF.NumLinha,0)+1,OFFSET(G158,-CFF.NumLinha,0)))</f>
        <v>0</v>
      </c>
      <c r="H158" s="11">
        <f ca="1">IF(AND($C158&lt;=3,$C158&lt;&gt;0),0,IF($C158=4,OFFSET(H158,-CFF.NumLinha,0)+1,OFFSET(H158,-CFF.NumLinha,0)))</f>
        <v>0</v>
      </c>
      <c r="I158" s="11">
        <f ca="1">MATCH(0,OFFSET($D158,1,$C158,ROW($A$303)-ROW($A158)),0)</f>
        <v>6</v>
      </c>
      <c r="J158" s="11">
        <f ca="1">MATCH(OFFSET($D158,0,$C158)+1,OFFSET($D158,1,$C158,ROW($A$303)-ROW($A158)),0)</f>
        <v>3</v>
      </c>
      <c r="K158" s="156">
        <f ca="1">ROUND(INDEX(PO!T$12:T$603,MATCH($A158,PO!$V$12:$V$603,0)),2)+10^-12</f>
        <v>9.9999999999999998E-13</v>
      </c>
      <c r="L158" s="344"/>
      <c r="M158" s="338"/>
      <c r="N158" s="336"/>
      <c r="O158" s="171" t="s">
        <v>20</v>
      </c>
      <c r="P158" s="166">
        <f t="shared" ref="P158:W158" ca="1" si="781">IF($B158,ROUND(P157*$N156,2),ROUND(SUMIF(OFFSET($B158,1,0,$D158),TRUE,OFFSET(P158,1,0,$D158))/SUMIF(OFFSET($B158,1,0,$D158),TRUE,OFFSET($K158,1,0,$D158))*$N156,2))</f>
        <v>0</v>
      </c>
      <c r="Q158" s="144">
        <f t="shared" ca="1" si="781"/>
        <v>0</v>
      </c>
      <c r="R158" s="144">
        <f t="shared" ca="1" si="781"/>
        <v>0</v>
      </c>
      <c r="S158" s="144">
        <f t="shared" ca="1" si="781"/>
        <v>0</v>
      </c>
      <c r="T158" s="144">
        <f t="shared" ca="1" si="781"/>
        <v>0</v>
      </c>
      <c r="U158" s="144">
        <f t="shared" ca="1" si="781"/>
        <v>0</v>
      </c>
      <c r="V158" s="144">
        <f t="shared" ca="1" si="781"/>
        <v>0</v>
      </c>
      <c r="W158" s="174">
        <f t="shared" ca="1" si="781"/>
        <v>0</v>
      </c>
      <c r="X158" s="163"/>
      <c r="AC158" s="144">
        <f t="shared" ref="AC158" ca="1" si="782">IF($B158,ROUND(AC157*$N156,2),ROUND(SUMIF(OFFSET($B158,1,0,$D158),TRUE,OFFSET(AC158,1,0,$D158))/SUMIF(OFFSET($B158,1,0,$D158),TRUE,OFFSET($K158,1,0,$D158))*$N156,2))</f>
        <v>0</v>
      </c>
    </row>
    <row r="159" spans="1:29" customFormat="1" ht="14.25" customHeight="1" x14ac:dyDescent="0.25">
      <c r="A159" s="1"/>
      <c r="B159" s="1"/>
      <c r="C159" s="1"/>
      <c r="D159" s="1"/>
      <c r="E159" s="1"/>
      <c r="F159" s="1"/>
      <c r="G159" s="1"/>
      <c r="H159" s="1"/>
      <c r="I159" s="1"/>
      <c r="J159" s="1"/>
      <c r="K159" s="1"/>
      <c r="L159" s="343" t="str">
        <f ca="1">INDEX(PO!K$12:K$603,MATCH($A161,PO!$V$12:$V$603,0))</f>
        <v>12.3.</v>
      </c>
      <c r="M159" s="337" t="str">
        <f ca="1">INDEX(PO!N$12:N$603,MATCH($A161,PO!$V$12:$V$603,0))</f>
        <v xml:space="preserve">RESERVATÓRIO </v>
      </c>
      <c r="N159" s="335">
        <f t="shared" ref="N159" ca="1" si="783">IF(ROUND(K161,2)=0,K161,ROUND(K161,2))</f>
        <v>9.9999999999999998E-13</v>
      </c>
      <c r="O159" s="187" t="s">
        <v>143</v>
      </c>
      <c r="P159" s="192">
        <f t="shared" ref="P159" ca="1" si="784">IF($B161,0,P160-IF(ISNUMBER(O160),O160,0))</f>
        <v>0</v>
      </c>
      <c r="Q159" s="193">
        <f t="shared" ref="Q159" ca="1" si="785">IF($B161,0,Q160-IF(ISNUMBER(P160),P160,0))</f>
        <v>0</v>
      </c>
      <c r="R159" s="193">
        <f t="shared" ref="R159" ca="1" si="786">IF($B161,0,R160-IF(ISNUMBER(Q160),Q160,0))</f>
        <v>0</v>
      </c>
      <c r="S159" s="193">
        <f t="shared" ref="S159" ca="1" si="787">IF($B161,0,S160-IF(ISNUMBER(R160),R160,0))</f>
        <v>0</v>
      </c>
      <c r="T159" s="193">
        <v>0.25</v>
      </c>
      <c r="U159" s="193">
        <v>0.25</v>
      </c>
      <c r="V159" s="193">
        <v>0.25</v>
      </c>
      <c r="W159" s="194">
        <v>0.25</v>
      </c>
      <c r="X159" s="163"/>
      <c r="AC159" s="188">
        <f t="shared" ref="AC159" ca="1" si="788">IF($B161,0,AC160-IF(ISNUMBER(AB160),AB160,0))</f>
        <v>0</v>
      </c>
    </row>
    <row r="160" spans="1:29" customFormat="1" ht="13.8" x14ac:dyDescent="0.25">
      <c r="A160" s="11"/>
      <c r="B160" s="11"/>
      <c r="C160" s="11"/>
      <c r="D160" s="11"/>
      <c r="E160" s="11"/>
      <c r="F160" s="11"/>
      <c r="G160" s="11"/>
      <c r="H160" s="11"/>
      <c r="I160" s="11"/>
      <c r="J160" s="11"/>
      <c r="K160" s="11"/>
      <c r="L160" s="344"/>
      <c r="M160" s="338"/>
      <c r="N160" s="336"/>
      <c r="O160" s="145" t="s">
        <v>145</v>
      </c>
      <c r="P160" s="165">
        <f t="shared" ref="P160" ca="1" si="789">MIN(IF($B161,P159+IF(ISNUMBER(O160),O160,0),P161/$N159),1)</f>
        <v>0</v>
      </c>
      <c r="Q160" s="143">
        <f t="shared" ref="Q160" ca="1" si="790">MIN(IF($B161,Q159+IF(ISNUMBER(P160),P160,0),Q161/$N159),1)</f>
        <v>0</v>
      </c>
      <c r="R160" s="143">
        <f t="shared" ref="R160" ca="1" si="791">MIN(IF($B161,R159+IF(ISNUMBER(Q160),Q160,0),R161/$N159),1)</f>
        <v>0</v>
      </c>
      <c r="S160" s="143">
        <f t="shared" ref="S160" ca="1" si="792">MIN(IF($B161,S159+IF(ISNUMBER(R160),R160,0),S161/$N159),1)</f>
        <v>0</v>
      </c>
      <c r="T160" s="143">
        <f t="shared" ref="T160" ca="1" si="793">MIN(IF($B161,T159+IF(ISNUMBER(S160),S160,0),T161/$N159),1)</f>
        <v>0.25</v>
      </c>
      <c r="U160" s="143">
        <f t="shared" ref="U160" ca="1" si="794">MIN(IF($B161,U159+IF(ISNUMBER(T160),T160,0),U161/$N159),1)</f>
        <v>0.5</v>
      </c>
      <c r="V160" s="143">
        <f t="shared" ref="V160" ca="1" si="795">MIN(IF($B161,V159+IF(ISNUMBER(U160),U160,0),V161/$N159),1)</f>
        <v>0.75</v>
      </c>
      <c r="W160" s="143">
        <f t="shared" ref="W160" ca="1" si="796">MIN(IF($B161,W159+IF(ISNUMBER(V160),V160,0),W161/$N159),1)</f>
        <v>1</v>
      </c>
      <c r="X160" s="163"/>
      <c r="AC160" s="143">
        <f t="shared" ref="AC160" ca="1" si="797">MIN(IF($B161,AC159+IF(ISNUMBER(AB160),AB160,0),AC161/$N159),1)</f>
        <v>0</v>
      </c>
    </row>
    <row r="161" spans="1:29" customFormat="1" ht="13.8" x14ac:dyDescent="0.25">
      <c r="A161" s="11">
        <f ca="1">OFFSET(A161,-CFF.NumLinha,0)+1</f>
        <v>48</v>
      </c>
      <c r="B161" s="11" t="b">
        <f ca="1">$C161&gt;=OFFSET($C161,CFF.NumLinha,0)</f>
        <v>1</v>
      </c>
      <c r="C161" s="11">
        <f ca="1">INDEX(PO!A$12:A$603,MATCH($A161,PO!$V$12:$V$603,0))</f>
        <v>2</v>
      </c>
      <c r="D161" s="11">
        <f t="shared" ref="D161:D192" ca="1" si="798">IF(ISERROR(J161),I161,SMALL(I161:J161,1))-1</f>
        <v>2</v>
      </c>
      <c r="E161" s="11">
        <f ca="1">IF($C161=1,OFFSET(E161,-CFF.NumLinha,0)+1,OFFSET(E161,-CFF.NumLinha,0))</f>
        <v>12</v>
      </c>
      <c r="F161" s="11">
        <f ca="1">IF($C161=1,0,IF($C161=2,OFFSET(F161,-CFF.NumLinha,0)+1,OFFSET(F161,-CFF.NumLinha,0)))</f>
        <v>3</v>
      </c>
      <c r="G161" s="11">
        <f ca="1">IF(AND($C161&lt;=2,$C161&lt;&gt;0),0,IF($C161=3,OFFSET(G161,-CFF.NumLinha,0)+1,OFFSET(G161,-CFF.NumLinha,0)))</f>
        <v>0</v>
      </c>
      <c r="H161" s="11">
        <f ca="1">IF(AND($C161&lt;=3,$C161&lt;&gt;0),0,IF($C161=4,OFFSET(H161,-CFF.NumLinha,0)+1,OFFSET(H161,-CFF.NumLinha,0)))</f>
        <v>0</v>
      </c>
      <c r="I161" s="11">
        <f ca="1">MATCH(0,OFFSET($D161,1,$C161,ROW($A$303)-ROW($A161)),0)</f>
        <v>3</v>
      </c>
      <c r="J161" s="11">
        <f ca="1">MATCH(OFFSET($D161,0,$C161)+1,OFFSET($D161,1,$C161,ROW($A$303)-ROW($A161)),0)</f>
        <v>39</v>
      </c>
      <c r="K161" s="156">
        <f ca="1">ROUND(INDEX(PO!T$12:T$603,MATCH($A161,PO!$V$12:$V$603,0)),2)+10^-12</f>
        <v>9.9999999999999998E-13</v>
      </c>
      <c r="L161" s="344"/>
      <c r="M161" s="338"/>
      <c r="N161" s="336"/>
      <c r="O161" s="171" t="s">
        <v>20</v>
      </c>
      <c r="P161" s="166">
        <f t="shared" ref="P161:W161" ca="1" si="799">IF($B161,ROUND(P160*$N159,2),ROUND(SUMIF(OFFSET($B161,1,0,$D161),TRUE,OFFSET(P161,1,0,$D161))/SUMIF(OFFSET($B161,1,0,$D161),TRUE,OFFSET($K161,1,0,$D161))*$N159,2))</f>
        <v>0</v>
      </c>
      <c r="Q161" s="144">
        <f t="shared" ca="1" si="799"/>
        <v>0</v>
      </c>
      <c r="R161" s="144">
        <f t="shared" ca="1" si="799"/>
        <v>0</v>
      </c>
      <c r="S161" s="144">
        <f t="shared" ca="1" si="799"/>
        <v>0</v>
      </c>
      <c r="T161" s="144">
        <f t="shared" ca="1" si="799"/>
        <v>0</v>
      </c>
      <c r="U161" s="144">
        <f t="shared" ca="1" si="799"/>
        <v>0</v>
      </c>
      <c r="V161" s="144">
        <f t="shared" ca="1" si="799"/>
        <v>0</v>
      </c>
      <c r="W161" s="174">
        <f t="shared" ca="1" si="799"/>
        <v>0</v>
      </c>
      <c r="X161" s="163"/>
      <c r="AC161" s="144">
        <f t="shared" ref="AC161" ca="1" si="800">IF($B161,ROUND(AC160*$N159,2),ROUND(SUMIF(OFFSET($B161,1,0,$D161),TRUE,OFFSET(AC161,1,0,$D161))/SUMIF(OFFSET($B161,1,0,$D161),TRUE,OFFSET($K161,1,0,$D161))*$N159,2))</f>
        <v>0</v>
      </c>
    </row>
    <row r="162" spans="1:29" customFormat="1" ht="14.25" customHeight="1" x14ac:dyDescent="0.25">
      <c r="A162" s="1"/>
      <c r="B162" s="1"/>
      <c r="C162" s="1"/>
      <c r="D162" s="1"/>
      <c r="E162" s="1"/>
      <c r="F162" s="1"/>
      <c r="G162" s="1"/>
      <c r="H162" s="1"/>
      <c r="I162" s="1"/>
      <c r="J162" s="1"/>
      <c r="K162" s="1"/>
      <c r="L162" s="343" t="str">
        <f ca="1">INDEX(PO!K$12:K$603,MATCH($A164,PO!$V$12:$V$603,0))</f>
        <v>13.</v>
      </c>
      <c r="M162" s="337" t="str">
        <f ca="1">INDEX(PO!N$12:N$603,MATCH($A164,PO!$V$12:$V$603,0))</f>
        <v>DRENAGEM DE ÁGUAS PLUVIAIS</v>
      </c>
      <c r="N162" s="335">
        <f t="shared" ref="N162" ca="1" si="801">IF(ROUND(K164,2)=0,K164,ROUND(K164,2))</f>
        <v>9.9999999999999998E-13</v>
      </c>
      <c r="O162" s="187" t="s">
        <v>143</v>
      </c>
      <c r="P162" s="192">
        <f t="shared" ref="P162" ca="1" si="802">IF($B164,0,P163-IF(ISNUMBER(O163),O163,0))</f>
        <v>0</v>
      </c>
      <c r="Q162" s="193">
        <f t="shared" ref="Q162" ca="1" si="803">IF($B164,0,Q163-IF(ISNUMBER(P163),P163,0))</f>
        <v>0</v>
      </c>
      <c r="R162" s="193">
        <f t="shared" ref="R162" ca="1" si="804">IF($B164,0,R163-IF(ISNUMBER(Q163),Q163,0))</f>
        <v>0</v>
      </c>
      <c r="S162" s="193">
        <f t="shared" ref="S162" ca="1" si="805">IF($B164,0,S163-IF(ISNUMBER(R163),R163,0))</f>
        <v>0</v>
      </c>
      <c r="T162" s="193">
        <f t="shared" ref="T162" ca="1" si="806">IF($B164,0,T163-IF(ISNUMBER(S163),S163,0))</f>
        <v>0</v>
      </c>
      <c r="U162" s="193">
        <f t="shared" ref="U162" ca="1" si="807">IF($B164,0,U163-IF(ISNUMBER(T163),T163,0))</f>
        <v>0</v>
      </c>
      <c r="V162" s="193">
        <f t="shared" ref="V162" ca="1" si="808">IF($B164,0,V163-IF(ISNUMBER(U163),U163,0))</f>
        <v>0</v>
      </c>
      <c r="W162" s="194">
        <f t="shared" ref="W162" ca="1" si="809">IF($B164,0,W163-IF(ISNUMBER(V163),V163,0))</f>
        <v>0</v>
      </c>
      <c r="X162" s="163"/>
      <c r="AC162" s="188">
        <f t="shared" ref="AC162" ca="1" si="810">IF($B164,0,AC163-IF(ISNUMBER(AB163),AB163,0))</f>
        <v>0</v>
      </c>
    </row>
    <row r="163" spans="1:29" customFormat="1" ht="13.8" x14ac:dyDescent="0.25">
      <c r="A163" s="11"/>
      <c r="B163" s="11"/>
      <c r="C163" s="11"/>
      <c r="D163" s="11"/>
      <c r="E163" s="11"/>
      <c r="F163" s="11"/>
      <c r="G163" s="11"/>
      <c r="H163" s="11"/>
      <c r="I163" s="11"/>
      <c r="J163" s="11"/>
      <c r="K163" s="11"/>
      <c r="L163" s="344"/>
      <c r="M163" s="338"/>
      <c r="N163" s="336"/>
      <c r="O163" s="145" t="s">
        <v>145</v>
      </c>
      <c r="P163" s="165">
        <f t="shared" ref="P163" ca="1" si="811">MIN(IF($B164,P162+IF(ISNUMBER(O163),O163,0),P164/$N162),1)</f>
        <v>0</v>
      </c>
      <c r="Q163" s="143">
        <f t="shared" ref="Q163" ca="1" si="812">MIN(IF($B164,Q162+IF(ISNUMBER(P163),P163,0),Q164/$N162),1)</f>
        <v>0</v>
      </c>
      <c r="R163" s="143">
        <f t="shared" ref="R163" ca="1" si="813">MIN(IF($B164,R162+IF(ISNUMBER(Q163),Q163,0),R164/$N162),1)</f>
        <v>0</v>
      </c>
      <c r="S163" s="143">
        <f t="shared" ref="S163" ca="1" si="814">MIN(IF($B164,S162+IF(ISNUMBER(R163),R163,0),S164/$N162),1)</f>
        <v>0</v>
      </c>
      <c r="T163" s="143">
        <f t="shared" ref="T163" ca="1" si="815">MIN(IF($B164,T162+IF(ISNUMBER(S163),S163,0),T164/$N162),1)</f>
        <v>0</v>
      </c>
      <c r="U163" s="143">
        <f t="shared" ref="U163" ca="1" si="816">MIN(IF($B164,U162+IF(ISNUMBER(T163),T163,0),U164/$N162),1)</f>
        <v>0</v>
      </c>
      <c r="V163" s="143">
        <f t="shared" ref="V163" ca="1" si="817">MIN(IF($B164,V162+IF(ISNUMBER(U163),U163,0),V164/$N162),1)</f>
        <v>0</v>
      </c>
      <c r="W163" s="143">
        <f t="shared" ref="W163" ca="1" si="818">MIN(IF($B164,W162+IF(ISNUMBER(V163),V163,0),W164/$N162),1)</f>
        <v>0</v>
      </c>
      <c r="X163" s="163"/>
      <c r="AC163" s="143">
        <f t="shared" ref="AC163" ca="1" si="819">MIN(IF($B164,AC162+IF(ISNUMBER(AB163),AB163,0),AC164/$N162),1)</f>
        <v>0</v>
      </c>
    </row>
    <row r="164" spans="1:29" customFormat="1" ht="13.8" x14ac:dyDescent="0.25">
      <c r="A164" s="11">
        <f ca="1">OFFSET(A164,-CFF.NumLinha,0)+1</f>
        <v>49</v>
      </c>
      <c r="B164" s="11" t="b">
        <f ca="1">$C164&gt;=OFFSET($C164,CFF.NumLinha,0)</f>
        <v>0</v>
      </c>
      <c r="C164" s="11">
        <f ca="1">INDEX(PO!A$12:A$603,MATCH($A164,PO!$V$12:$V$603,0))</f>
        <v>1</v>
      </c>
      <c r="D164" s="11">
        <f t="shared" ref="D164:D195" ca="1" si="820">IF(ISERROR(J164),I164,SMALL(I164:J164,1))-1</f>
        <v>8</v>
      </c>
      <c r="E164" s="11">
        <f ca="1">IF($C164=1,OFFSET(E164,-CFF.NumLinha,0)+1,OFFSET(E164,-CFF.NumLinha,0))</f>
        <v>13</v>
      </c>
      <c r="F164" s="11">
        <f ca="1">IF($C164=1,0,IF($C164=2,OFFSET(F164,-CFF.NumLinha,0)+1,OFFSET(F164,-CFF.NumLinha,0)))</f>
        <v>0</v>
      </c>
      <c r="G164" s="11">
        <f ca="1">IF(AND($C164&lt;=2,$C164&lt;&gt;0),0,IF($C164=3,OFFSET(G164,-CFF.NumLinha,0)+1,OFFSET(G164,-CFF.NumLinha,0)))</f>
        <v>0</v>
      </c>
      <c r="H164" s="11">
        <f ca="1">IF(AND($C164&lt;=3,$C164&lt;&gt;0),0,IF($C164=4,OFFSET(H164,-CFF.NumLinha,0)+1,OFFSET(H164,-CFF.NumLinha,0)))</f>
        <v>0</v>
      </c>
      <c r="I164" s="11">
        <f ca="1">MATCH(0,OFFSET($D164,1,$C164,ROW($A$303)-ROW($A164)),0)</f>
        <v>139</v>
      </c>
      <c r="J164" s="11">
        <f ca="1">MATCH(OFFSET($D164,0,$C164)+1,OFFSET($D164,1,$C164,ROW($A$303)-ROW($A164)),0)</f>
        <v>9</v>
      </c>
      <c r="K164" s="156">
        <f ca="1">ROUND(INDEX(PO!T$12:T$603,MATCH($A164,PO!$V$12:$V$603,0)),2)+10^-12</f>
        <v>9.9999999999999998E-13</v>
      </c>
      <c r="L164" s="344"/>
      <c r="M164" s="338"/>
      <c r="N164" s="336"/>
      <c r="O164" s="171" t="s">
        <v>20</v>
      </c>
      <c r="P164" s="166">
        <f t="shared" ref="P164:W164" ca="1" si="821">IF($B164,ROUND(P163*$N162,2),ROUND(SUMIF(OFFSET($B164,1,0,$D164),TRUE,OFFSET(P164,1,0,$D164))/SUMIF(OFFSET($B164,1,0,$D164),TRUE,OFFSET($K164,1,0,$D164))*$N162,2))</f>
        <v>0</v>
      </c>
      <c r="Q164" s="144">
        <f t="shared" ca="1" si="821"/>
        <v>0</v>
      </c>
      <c r="R164" s="144">
        <f t="shared" ca="1" si="821"/>
        <v>0</v>
      </c>
      <c r="S164" s="144">
        <f t="shared" ca="1" si="821"/>
        <v>0</v>
      </c>
      <c r="T164" s="144">
        <f t="shared" ca="1" si="821"/>
        <v>0</v>
      </c>
      <c r="U164" s="144">
        <f t="shared" ca="1" si="821"/>
        <v>0</v>
      </c>
      <c r="V164" s="144">
        <f t="shared" ca="1" si="821"/>
        <v>0</v>
      </c>
      <c r="W164" s="174">
        <f t="shared" ca="1" si="821"/>
        <v>0</v>
      </c>
      <c r="X164" s="163"/>
      <c r="AC164" s="144">
        <f t="shared" ref="AC164" ca="1" si="822">IF($B164,ROUND(AC163*$N162,2),ROUND(SUMIF(OFFSET($B164,1,0,$D164),TRUE,OFFSET(AC164,1,0,$D164))/SUMIF(OFFSET($B164,1,0,$D164),TRUE,OFFSET($K164,1,0,$D164))*$N162,2))</f>
        <v>0</v>
      </c>
    </row>
    <row r="165" spans="1:29" customFormat="1" ht="14.25" customHeight="1" x14ac:dyDescent="0.25">
      <c r="A165" s="1"/>
      <c r="B165" s="1"/>
      <c r="C165" s="1"/>
      <c r="D165" s="1"/>
      <c r="E165" s="1"/>
      <c r="F165" s="1"/>
      <c r="G165" s="1"/>
      <c r="H165" s="1"/>
      <c r="I165" s="1"/>
      <c r="J165" s="1"/>
      <c r="K165" s="1"/>
      <c r="L165" s="343" t="str">
        <f ca="1">INDEX(PO!K$12:K$603,MATCH($A167,PO!$V$12:$V$603,0))</f>
        <v>13.1.</v>
      </c>
      <c r="M165" s="337" t="str">
        <f ca="1">INDEX(PO!N$12:N$603,MATCH($A167,PO!$V$12:$V$603,0))</f>
        <v>TUBULAÇÃO E CONEXÕES DE PVC</v>
      </c>
      <c r="N165" s="335">
        <f t="shared" ref="N165" ca="1" si="823">IF(ROUND(K167,2)=0,K167,ROUND(K167,2))</f>
        <v>9.9999999999999998E-13</v>
      </c>
      <c r="O165" s="187" t="s">
        <v>143</v>
      </c>
      <c r="P165" s="192">
        <f t="shared" ref="P165" ca="1" si="824">IF($B167,0,P166-IF(ISNUMBER(O166),O166,0))</f>
        <v>0</v>
      </c>
      <c r="Q165" s="193">
        <f t="shared" ref="Q165" ca="1" si="825">IF($B167,0,Q166-IF(ISNUMBER(P166),P166,0))</f>
        <v>0</v>
      </c>
      <c r="R165" s="193">
        <f t="shared" ref="R165" ca="1" si="826">IF($B167,0,R166-IF(ISNUMBER(Q166),Q166,0))</f>
        <v>0</v>
      </c>
      <c r="S165" s="193">
        <f t="shared" ref="S165" ca="1" si="827">IF($B167,0,S166-IF(ISNUMBER(R166),R166,0))</f>
        <v>0</v>
      </c>
      <c r="T165" s="193">
        <v>0.25</v>
      </c>
      <c r="U165" s="193">
        <v>0.25</v>
      </c>
      <c r="V165" s="193">
        <v>0.25</v>
      </c>
      <c r="W165" s="194">
        <v>0.25</v>
      </c>
      <c r="X165" s="163"/>
      <c r="AC165" s="188">
        <f t="shared" ref="AC165" ca="1" si="828">IF($B167,0,AC166-IF(ISNUMBER(AB166),AB166,0))</f>
        <v>0</v>
      </c>
    </row>
    <row r="166" spans="1:29" customFormat="1" ht="13.8" x14ac:dyDescent="0.25">
      <c r="A166" s="11"/>
      <c r="B166" s="11"/>
      <c r="C166" s="11"/>
      <c r="D166" s="11"/>
      <c r="E166" s="11"/>
      <c r="F166" s="11"/>
      <c r="G166" s="11"/>
      <c r="H166" s="11"/>
      <c r="I166" s="11"/>
      <c r="J166" s="11"/>
      <c r="K166" s="11"/>
      <c r="L166" s="344"/>
      <c r="M166" s="338"/>
      <c r="N166" s="336"/>
      <c r="O166" s="145" t="s">
        <v>145</v>
      </c>
      <c r="P166" s="165">
        <f t="shared" ref="P166" ca="1" si="829">MIN(IF($B167,P165+IF(ISNUMBER(O166),O166,0),P167/$N165),1)</f>
        <v>0</v>
      </c>
      <c r="Q166" s="143">
        <f t="shared" ref="Q166" ca="1" si="830">MIN(IF($B167,Q165+IF(ISNUMBER(P166),P166,0),Q167/$N165),1)</f>
        <v>0</v>
      </c>
      <c r="R166" s="143">
        <f t="shared" ref="R166" ca="1" si="831">MIN(IF($B167,R165+IF(ISNUMBER(Q166),Q166,0),R167/$N165),1)</f>
        <v>0</v>
      </c>
      <c r="S166" s="143">
        <f t="shared" ref="S166" ca="1" si="832">MIN(IF($B167,S165+IF(ISNUMBER(R166),R166,0),S167/$N165),1)</f>
        <v>0</v>
      </c>
      <c r="T166" s="143">
        <f t="shared" ref="T166" ca="1" si="833">MIN(IF($B167,T165+IF(ISNUMBER(S166),S166,0),T167/$N165),1)</f>
        <v>0.25</v>
      </c>
      <c r="U166" s="143">
        <f t="shared" ref="U166" ca="1" si="834">MIN(IF($B167,U165+IF(ISNUMBER(T166),T166,0),U167/$N165),1)</f>
        <v>0.5</v>
      </c>
      <c r="V166" s="143">
        <f t="shared" ref="V166" ca="1" si="835">MIN(IF($B167,V165+IF(ISNUMBER(U166),U166,0),V167/$N165),1)</f>
        <v>0.75</v>
      </c>
      <c r="W166" s="143">
        <f t="shared" ref="W166" ca="1" si="836">MIN(IF($B167,W165+IF(ISNUMBER(V166),V166,0),W167/$N165),1)</f>
        <v>1</v>
      </c>
      <c r="X166" s="163"/>
      <c r="AC166" s="143">
        <f t="shared" ref="AC166" ca="1" si="837">MIN(IF($B167,AC165+IF(ISNUMBER(AB166),AB166,0),AC167/$N165),1)</f>
        <v>0</v>
      </c>
    </row>
    <row r="167" spans="1:29" customFormat="1" ht="13.8" x14ac:dyDescent="0.25">
      <c r="A167" s="11">
        <f ca="1">OFFSET(A167,-CFF.NumLinha,0)+1</f>
        <v>50</v>
      </c>
      <c r="B167" s="11" t="b">
        <f ca="1">$C167&gt;=OFFSET($C167,CFF.NumLinha,0)</f>
        <v>1</v>
      </c>
      <c r="C167" s="11">
        <f ca="1">INDEX(PO!A$12:A$603,MATCH($A167,PO!$V$12:$V$603,0))</f>
        <v>2</v>
      </c>
      <c r="D167" s="11">
        <f t="shared" ref="D167:D198" ca="1" si="838">IF(ISERROR(J167),I167,SMALL(I167:J167,1))-1</f>
        <v>2</v>
      </c>
      <c r="E167" s="11">
        <f ca="1">IF($C167=1,OFFSET(E167,-CFF.NumLinha,0)+1,OFFSET(E167,-CFF.NumLinha,0))</f>
        <v>13</v>
      </c>
      <c r="F167" s="11">
        <f ca="1">IF($C167=1,0,IF($C167=2,OFFSET(F167,-CFF.NumLinha,0)+1,OFFSET(F167,-CFF.NumLinha,0)))</f>
        <v>1</v>
      </c>
      <c r="G167" s="11">
        <f ca="1">IF(AND($C167&lt;=2,$C167&lt;&gt;0),0,IF($C167=3,OFFSET(G167,-CFF.NumLinha,0)+1,OFFSET(G167,-CFF.NumLinha,0)))</f>
        <v>0</v>
      </c>
      <c r="H167" s="11">
        <f ca="1">IF(AND($C167&lt;=3,$C167&lt;&gt;0),0,IF($C167=4,OFFSET(H167,-CFF.NumLinha,0)+1,OFFSET(H167,-CFF.NumLinha,0)))</f>
        <v>0</v>
      </c>
      <c r="I167" s="11">
        <f ca="1">MATCH(0,OFFSET($D167,1,$C167,ROW($A$303)-ROW($A167)),0)</f>
        <v>6</v>
      </c>
      <c r="J167" s="11">
        <f ca="1">MATCH(OFFSET($D167,0,$C167)+1,OFFSET($D167,1,$C167,ROW($A$303)-ROW($A167)),0)</f>
        <v>3</v>
      </c>
      <c r="K167" s="156">
        <f ca="1">ROUND(INDEX(PO!T$12:T$603,MATCH($A167,PO!$V$12:$V$603,0)),2)+10^-12</f>
        <v>9.9999999999999998E-13</v>
      </c>
      <c r="L167" s="344"/>
      <c r="M167" s="338"/>
      <c r="N167" s="336"/>
      <c r="O167" s="171" t="s">
        <v>20</v>
      </c>
      <c r="P167" s="166">
        <f t="shared" ref="P167:W167" ca="1" si="839">IF($B167,ROUND(P166*$N165,2),ROUND(SUMIF(OFFSET($B167,1,0,$D167),TRUE,OFFSET(P167,1,0,$D167))/SUMIF(OFFSET($B167,1,0,$D167),TRUE,OFFSET($K167,1,0,$D167))*$N165,2))</f>
        <v>0</v>
      </c>
      <c r="Q167" s="144">
        <f t="shared" ca="1" si="839"/>
        <v>0</v>
      </c>
      <c r="R167" s="144">
        <f t="shared" ca="1" si="839"/>
        <v>0</v>
      </c>
      <c r="S167" s="144">
        <f t="shared" ca="1" si="839"/>
        <v>0</v>
      </c>
      <c r="T167" s="144">
        <f t="shared" ca="1" si="839"/>
        <v>0</v>
      </c>
      <c r="U167" s="144">
        <f t="shared" ca="1" si="839"/>
        <v>0</v>
      </c>
      <c r="V167" s="144">
        <f t="shared" ca="1" si="839"/>
        <v>0</v>
      </c>
      <c r="W167" s="174">
        <f t="shared" ca="1" si="839"/>
        <v>0</v>
      </c>
      <c r="X167" s="163"/>
      <c r="AC167" s="144">
        <f t="shared" ref="AC167" ca="1" si="840">IF($B167,ROUND(AC166*$N165,2),ROUND(SUMIF(OFFSET($B167,1,0,$D167),TRUE,OFFSET(AC167,1,0,$D167))/SUMIF(OFFSET($B167,1,0,$D167),TRUE,OFFSET($K167,1,0,$D167))*$N165,2))</f>
        <v>0</v>
      </c>
    </row>
    <row r="168" spans="1:29" customFormat="1" ht="14.25" customHeight="1" x14ac:dyDescent="0.25">
      <c r="A168" s="1"/>
      <c r="B168" s="1"/>
      <c r="C168" s="1"/>
      <c r="D168" s="1"/>
      <c r="E168" s="1"/>
      <c r="F168" s="1"/>
      <c r="G168" s="1"/>
      <c r="H168" s="1"/>
      <c r="I168" s="1"/>
      <c r="J168" s="1"/>
      <c r="K168" s="1"/>
      <c r="L168" s="343" t="str">
        <f ca="1">INDEX(PO!K$12:K$603,MATCH($A170,PO!$V$12:$V$603,0))</f>
        <v>13.2.</v>
      </c>
      <c r="M168" s="337" t="str">
        <f ca="1">INDEX(PO!N$12:N$603,MATCH($A170,PO!$V$12:$V$603,0))</f>
        <v>ACESSÓRIOS</v>
      </c>
      <c r="N168" s="335">
        <f t="shared" ref="N168" ca="1" si="841">IF(ROUND(K170,2)=0,K170,ROUND(K170,2))</f>
        <v>9.9999999999999998E-13</v>
      </c>
      <c r="O168" s="187" t="s">
        <v>143</v>
      </c>
      <c r="P168" s="192">
        <f t="shared" ref="P168" ca="1" si="842">IF($B170,0,P169-IF(ISNUMBER(O169),O169,0))</f>
        <v>0</v>
      </c>
      <c r="Q168" s="193">
        <f t="shared" ref="Q168" ca="1" si="843">IF($B170,0,Q169-IF(ISNUMBER(P169),P169,0))</f>
        <v>0</v>
      </c>
      <c r="R168" s="193">
        <f t="shared" ref="R168" ca="1" si="844">IF($B170,0,R169-IF(ISNUMBER(Q169),Q169,0))</f>
        <v>0</v>
      </c>
      <c r="S168" s="193">
        <f t="shared" ref="S168" ca="1" si="845">IF($B170,0,S169-IF(ISNUMBER(R169),R169,0))</f>
        <v>0</v>
      </c>
      <c r="T168" s="193">
        <v>0.25</v>
      </c>
      <c r="U168" s="193">
        <v>0.25</v>
      </c>
      <c r="V168" s="193">
        <v>0.25</v>
      </c>
      <c r="W168" s="194">
        <v>0.25</v>
      </c>
      <c r="X168" s="163"/>
      <c r="AC168" s="188">
        <f t="shared" ref="AC168" ca="1" si="846">IF($B170,0,AC169-IF(ISNUMBER(AB169),AB169,0))</f>
        <v>0</v>
      </c>
    </row>
    <row r="169" spans="1:29" customFormat="1" ht="13.8" x14ac:dyDescent="0.25">
      <c r="A169" s="11"/>
      <c r="B169" s="11"/>
      <c r="C169" s="11"/>
      <c r="D169" s="11"/>
      <c r="E169" s="11"/>
      <c r="F169" s="11"/>
      <c r="G169" s="11"/>
      <c r="H169" s="11"/>
      <c r="I169" s="11"/>
      <c r="J169" s="11"/>
      <c r="K169" s="11"/>
      <c r="L169" s="344"/>
      <c r="M169" s="338"/>
      <c r="N169" s="336"/>
      <c r="O169" s="145" t="s">
        <v>145</v>
      </c>
      <c r="P169" s="165">
        <f t="shared" ref="P169" ca="1" si="847">MIN(IF($B170,P168+IF(ISNUMBER(O169),O169,0),P170/$N168),1)</f>
        <v>0</v>
      </c>
      <c r="Q169" s="143">
        <f t="shared" ref="Q169" ca="1" si="848">MIN(IF($B170,Q168+IF(ISNUMBER(P169),P169,0),Q170/$N168),1)</f>
        <v>0</v>
      </c>
      <c r="R169" s="143">
        <f t="shared" ref="R169" ca="1" si="849">MIN(IF($B170,R168+IF(ISNUMBER(Q169),Q169,0),R170/$N168),1)</f>
        <v>0</v>
      </c>
      <c r="S169" s="143">
        <f t="shared" ref="S169" ca="1" si="850">MIN(IF($B170,S168+IF(ISNUMBER(R169),R169,0),S170/$N168),1)</f>
        <v>0</v>
      </c>
      <c r="T169" s="143">
        <f t="shared" ref="T169" ca="1" si="851">MIN(IF($B170,T168+IF(ISNUMBER(S169),S169,0),T170/$N168),1)</f>
        <v>0.25</v>
      </c>
      <c r="U169" s="143">
        <f t="shared" ref="U169" ca="1" si="852">MIN(IF($B170,U168+IF(ISNUMBER(T169),T169,0),U170/$N168),1)</f>
        <v>0.5</v>
      </c>
      <c r="V169" s="143">
        <f t="shared" ref="V169" ca="1" si="853">MIN(IF($B170,V168+IF(ISNUMBER(U169),U169,0),V170/$N168),1)</f>
        <v>0.75</v>
      </c>
      <c r="W169" s="143">
        <f t="shared" ref="W169" ca="1" si="854">MIN(IF($B170,W168+IF(ISNUMBER(V169),V169,0),W170/$N168),1)</f>
        <v>1</v>
      </c>
      <c r="X169" s="163"/>
      <c r="AC169" s="143">
        <f t="shared" ref="AC169" ca="1" si="855">MIN(IF($B170,AC168+IF(ISNUMBER(AB169),AB169,0),AC170/$N168),1)</f>
        <v>0</v>
      </c>
    </row>
    <row r="170" spans="1:29" customFormat="1" ht="13.8" x14ac:dyDescent="0.25">
      <c r="A170" s="11">
        <f ca="1">OFFSET(A170,-CFF.NumLinha,0)+1</f>
        <v>51</v>
      </c>
      <c r="B170" s="11" t="b">
        <f ca="1">$C170&gt;=OFFSET($C170,CFF.NumLinha,0)</f>
        <v>1</v>
      </c>
      <c r="C170" s="11">
        <f ca="1">INDEX(PO!A$12:A$603,MATCH($A170,PO!$V$12:$V$603,0))</f>
        <v>2</v>
      </c>
      <c r="D170" s="11">
        <f t="shared" ref="D170:D201" ca="1" si="856">IF(ISERROR(J170),I170,SMALL(I170:J170,1))-1</f>
        <v>2</v>
      </c>
      <c r="E170" s="11">
        <f ca="1">IF($C170=1,OFFSET(E170,-CFF.NumLinha,0)+1,OFFSET(E170,-CFF.NumLinha,0))</f>
        <v>13</v>
      </c>
      <c r="F170" s="11">
        <f ca="1">IF($C170=1,0,IF($C170=2,OFFSET(F170,-CFF.NumLinha,0)+1,OFFSET(F170,-CFF.NumLinha,0)))</f>
        <v>2</v>
      </c>
      <c r="G170" s="11">
        <f ca="1">IF(AND($C170&lt;=2,$C170&lt;&gt;0),0,IF($C170=3,OFFSET(G170,-CFF.NumLinha,0)+1,OFFSET(G170,-CFF.NumLinha,0)))</f>
        <v>0</v>
      </c>
      <c r="H170" s="11">
        <f ca="1">IF(AND($C170&lt;=3,$C170&lt;&gt;0),0,IF($C170=4,OFFSET(H170,-CFF.NumLinha,0)+1,OFFSET(H170,-CFF.NumLinha,0)))</f>
        <v>0</v>
      </c>
      <c r="I170" s="11">
        <f ca="1">MATCH(0,OFFSET($D170,1,$C170,ROW($A$303)-ROW($A170)),0)</f>
        <v>3</v>
      </c>
      <c r="J170" s="11">
        <f ca="1">MATCH(OFFSET($D170,0,$C170)+1,OFFSET($D170,1,$C170,ROW($A$303)-ROW($A170)),0)</f>
        <v>27</v>
      </c>
      <c r="K170" s="156">
        <f ca="1">ROUND(INDEX(PO!T$12:T$603,MATCH($A170,PO!$V$12:$V$603,0)),2)+10^-12</f>
        <v>9.9999999999999998E-13</v>
      </c>
      <c r="L170" s="344"/>
      <c r="M170" s="338"/>
      <c r="N170" s="336"/>
      <c r="O170" s="171" t="s">
        <v>20</v>
      </c>
      <c r="P170" s="166">
        <f t="shared" ref="P170:W170" ca="1" si="857">IF($B170,ROUND(P169*$N168,2),ROUND(SUMIF(OFFSET($B170,1,0,$D170),TRUE,OFFSET(P170,1,0,$D170))/SUMIF(OFFSET($B170,1,0,$D170),TRUE,OFFSET($K170,1,0,$D170))*$N168,2))</f>
        <v>0</v>
      </c>
      <c r="Q170" s="144">
        <f t="shared" ca="1" si="857"/>
        <v>0</v>
      </c>
      <c r="R170" s="144">
        <f t="shared" ca="1" si="857"/>
        <v>0</v>
      </c>
      <c r="S170" s="144">
        <f t="shared" ca="1" si="857"/>
        <v>0</v>
      </c>
      <c r="T170" s="144">
        <f t="shared" ca="1" si="857"/>
        <v>0</v>
      </c>
      <c r="U170" s="144">
        <f t="shared" ca="1" si="857"/>
        <v>0</v>
      </c>
      <c r="V170" s="144">
        <f t="shared" ca="1" si="857"/>
        <v>0</v>
      </c>
      <c r="W170" s="174">
        <f t="shared" ca="1" si="857"/>
        <v>0</v>
      </c>
      <c r="X170" s="163"/>
      <c r="AC170" s="144">
        <f t="shared" ref="AC170" ca="1" si="858">IF($B170,ROUND(AC169*$N168,2),ROUND(SUMIF(OFFSET($B170,1,0,$D170),TRUE,OFFSET(AC170,1,0,$D170))/SUMIF(OFFSET($B170,1,0,$D170),TRUE,OFFSET($K170,1,0,$D170))*$N168,2))</f>
        <v>0</v>
      </c>
    </row>
    <row r="171" spans="1:29" customFormat="1" ht="14.25" customHeight="1" x14ac:dyDescent="0.25">
      <c r="A171" s="1"/>
      <c r="B171" s="1"/>
      <c r="C171" s="1"/>
      <c r="D171" s="1"/>
      <c r="E171" s="1"/>
      <c r="F171" s="1"/>
      <c r="G171" s="1"/>
      <c r="H171" s="1"/>
      <c r="I171" s="1"/>
      <c r="J171" s="1"/>
      <c r="K171" s="1"/>
      <c r="L171" s="343" t="str">
        <f ca="1">INDEX(PO!K$12:K$603,MATCH($A173,PO!$V$12:$V$603,0))</f>
        <v>14.</v>
      </c>
      <c r="M171" s="337" t="str">
        <f ca="1">INDEX(PO!N$12:N$603,MATCH($A173,PO!$V$12:$V$603,0))</f>
        <v>INSTALAÇÃO SANITÁRIA</v>
      </c>
      <c r="N171" s="335">
        <f t="shared" ref="N171" ca="1" si="859">IF(ROUND(K173,2)=0,K173,ROUND(K173,2))</f>
        <v>9.9999999999999998E-13</v>
      </c>
      <c r="O171" s="187" t="s">
        <v>143</v>
      </c>
      <c r="P171" s="192">
        <f t="shared" ref="P171" ca="1" si="860">IF($B173,0,P172-IF(ISNUMBER(O172),O172,0))</f>
        <v>0</v>
      </c>
      <c r="Q171" s="193">
        <f t="shared" ref="Q171" ca="1" si="861">IF($B173,0,Q172-IF(ISNUMBER(P172),P172,0))</f>
        <v>0</v>
      </c>
      <c r="R171" s="193">
        <f t="shared" ref="R171" ca="1" si="862">IF($B173,0,R172-IF(ISNUMBER(Q172),Q172,0))</f>
        <v>0</v>
      </c>
      <c r="S171" s="193">
        <f t="shared" ref="S171" ca="1" si="863">IF($B173,0,S172-IF(ISNUMBER(R172),R172,0))</f>
        <v>0</v>
      </c>
      <c r="T171" s="193">
        <f t="shared" ref="T171" ca="1" si="864">IF($B173,0,T172-IF(ISNUMBER(S172),S172,0))</f>
        <v>0</v>
      </c>
      <c r="U171" s="193">
        <f t="shared" ref="U171" ca="1" si="865">IF($B173,0,U172-IF(ISNUMBER(T172),T172,0))</f>
        <v>0</v>
      </c>
      <c r="V171" s="193">
        <f t="shared" ref="V171" ca="1" si="866">IF($B173,0,V172-IF(ISNUMBER(U172),U172,0))</f>
        <v>0</v>
      </c>
      <c r="W171" s="194">
        <f t="shared" ref="W171" ca="1" si="867">IF($B173,0,W172-IF(ISNUMBER(V172),V172,0))</f>
        <v>0</v>
      </c>
      <c r="X171" s="163"/>
      <c r="AC171" s="188">
        <f t="shared" ref="AC171" ca="1" si="868">IF($B173,0,AC172-IF(ISNUMBER(AB172),AB172,0))</f>
        <v>0</v>
      </c>
    </row>
    <row r="172" spans="1:29" customFormat="1" ht="13.8" x14ac:dyDescent="0.25">
      <c r="A172" s="11"/>
      <c r="B172" s="11"/>
      <c r="C172" s="11"/>
      <c r="D172" s="11"/>
      <c r="E172" s="11"/>
      <c r="F172" s="11"/>
      <c r="G172" s="11"/>
      <c r="H172" s="11"/>
      <c r="I172" s="11"/>
      <c r="J172" s="11"/>
      <c r="K172" s="11"/>
      <c r="L172" s="344"/>
      <c r="M172" s="338"/>
      <c r="N172" s="336"/>
      <c r="O172" s="145" t="s">
        <v>145</v>
      </c>
      <c r="P172" s="165">
        <f t="shared" ref="P172" ca="1" si="869">MIN(IF($B173,P171+IF(ISNUMBER(O172),O172,0),P173/$N171),1)</f>
        <v>0</v>
      </c>
      <c r="Q172" s="143">
        <f t="shared" ref="Q172" ca="1" si="870">MIN(IF($B173,Q171+IF(ISNUMBER(P172),P172,0),Q173/$N171),1)</f>
        <v>0</v>
      </c>
      <c r="R172" s="143">
        <f t="shared" ref="R172" ca="1" si="871">MIN(IF($B173,R171+IF(ISNUMBER(Q172),Q172,0),R173/$N171),1)</f>
        <v>0</v>
      </c>
      <c r="S172" s="143">
        <f t="shared" ref="S172" ca="1" si="872">MIN(IF($B173,S171+IF(ISNUMBER(R172),R172,0),S173/$N171),1)</f>
        <v>0</v>
      </c>
      <c r="T172" s="143">
        <f t="shared" ref="T172" ca="1" si="873">MIN(IF($B173,T171+IF(ISNUMBER(S172),S172,0),T173/$N171),1)</f>
        <v>0</v>
      </c>
      <c r="U172" s="143">
        <f t="shared" ref="U172" ca="1" si="874">MIN(IF($B173,U171+IF(ISNUMBER(T172),T172,0),U173/$N171),1)</f>
        <v>0</v>
      </c>
      <c r="V172" s="143">
        <f t="shared" ref="V172" ca="1" si="875">MIN(IF($B173,V171+IF(ISNUMBER(U172),U172,0),V173/$N171),1)</f>
        <v>0</v>
      </c>
      <c r="W172" s="143">
        <f t="shared" ref="W172" ca="1" si="876">MIN(IF($B173,W171+IF(ISNUMBER(V172),V172,0),W173/$N171),1)</f>
        <v>0</v>
      </c>
      <c r="X172" s="163"/>
      <c r="AC172" s="143">
        <f t="shared" ref="AC172" ca="1" si="877">MIN(IF($B173,AC171+IF(ISNUMBER(AB172),AB172,0),AC173/$N171),1)</f>
        <v>0</v>
      </c>
    </row>
    <row r="173" spans="1:29" customFormat="1" ht="13.8" x14ac:dyDescent="0.25">
      <c r="A173" s="11">
        <f ca="1">OFFSET(A173,-CFF.NumLinha,0)+1</f>
        <v>52</v>
      </c>
      <c r="B173" s="11" t="b">
        <f ca="1">$C173&gt;=OFFSET($C173,CFF.NumLinha,0)</f>
        <v>0</v>
      </c>
      <c r="C173" s="11">
        <f ca="1">INDEX(PO!A$12:A$603,MATCH($A173,PO!$V$12:$V$603,0))</f>
        <v>1</v>
      </c>
      <c r="D173" s="11">
        <f t="shared" ref="D173:D204" ca="1" si="878">IF(ISERROR(J173),I173,SMALL(I173:J173,1))-1</f>
        <v>8</v>
      </c>
      <c r="E173" s="11">
        <f ca="1">IF($C173=1,OFFSET(E173,-CFF.NumLinha,0)+1,OFFSET(E173,-CFF.NumLinha,0))</f>
        <v>14</v>
      </c>
      <c r="F173" s="11">
        <f ca="1">IF($C173=1,0,IF($C173=2,OFFSET(F173,-CFF.NumLinha,0)+1,OFFSET(F173,-CFF.NumLinha,0)))</f>
        <v>0</v>
      </c>
      <c r="G173" s="11">
        <f ca="1">IF(AND($C173&lt;=2,$C173&lt;&gt;0),0,IF($C173=3,OFFSET(G173,-CFF.NumLinha,0)+1,OFFSET(G173,-CFF.NumLinha,0)))</f>
        <v>0</v>
      </c>
      <c r="H173" s="11">
        <f ca="1">IF(AND($C173&lt;=3,$C173&lt;&gt;0),0,IF($C173=4,OFFSET(H173,-CFF.NumLinha,0)+1,OFFSET(H173,-CFF.NumLinha,0)))</f>
        <v>0</v>
      </c>
      <c r="I173" s="11">
        <f ca="1">MATCH(0,OFFSET($D173,1,$C173,ROW($A$303)-ROW($A173)),0)</f>
        <v>130</v>
      </c>
      <c r="J173" s="11">
        <f ca="1">MATCH(OFFSET($D173,0,$C173)+1,OFFSET($D173,1,$C173,ROW($A$303)-ROW($A173)),0)</f>
        <v>9</v>
      </c>
      <c r="K173" s="156">
        <f ca="1">ROUND(INDEX(PO!T$12:T$603,MATCH($A173,PO!$V$12:$V$603,0)),2)+10^-12</f>
        <v>9.9999999999999998E-13</v>
      </c>
      <c r="L173" s="344"/>
      <c r="M173" s="338"/>
      <c r="N173" s="336"/>
      <c r="O173" s="171" t="s">
        <v>20</v>
      </c>
      <c r="P173" s="166">
        <f t="shared" ref="P173:W173" ca="1" si="879">IF($B173,ROUND(P172*$N171,2),ROUND(SUMIF(OFFSET($B173,1,0,$D173),TRUE,OFFSET(P173,1,0,$D173))/SUMIF(OFFSET($B173,1,0,$D173),TRUE,OFFSET($K173,1,0,$D173))*$N171,2))</f>
        <v>0</v>
      </c>
      <c r="Q173" s="144">
        <f t="shared" ca="1" si="879"/>
        <v>0</v>
      </c>
      <c r="R173" s="144">
        <f t="shared" ca="1" si="879"/>
        <v>0</v>
      </c>
      <c r="S173" s="144">
        <f t="shared" ca="1" si="879"/>
        <v>0</v>
      </c>
      <c r="T173" s="144">
        <f t="shared" ca="1" si="879"/>
        <v>0</v>
      </c>
      <c r="U173" s="144">
        <f t="shared" ca="1" si="879"/>
        <v>0</v>
      </c>
      <c r="V173" s="144">
        <f t="shared" ca="1" si="879"/>
        <v>0</v>
      </c>
      <c r="W173" s="174">
        <f t="shared" ca="1" si="879"/>
        <v>0</v>
      </c>
      <c r="X173" s="163"/>
      <c r="AC173" s="144">
        <f t="shared" ref="AC173" ca="1" si="880">IF($B173,ROUND(AC172*$N171,2),ROUND(SUMIF(OFFSET($B173,1,0,$D173),TRUE,OFFSET(AC173,1,0,$D173))/SUMIF(OFFSET($B173,1,0,$D173),TRUE,OFFSET($K173,1,0,$D173))*$N171,2))</f>
        <v>0</v>
      </c>
    </row>
    <row r="174" spans="1:29" customFormat="1" ht="14.25" customHeight="1" x14ac:dyDescent="0.25">
      <c r="A174" s="1"/>
      <c r="B174" s="1"/>
      <c r="C174" s="1"/>
      <c r="D174" s="1"/>
      <c r="E174" s="1"/>
      <c r="F174" s="1"/>
      <c r="G174" s="1"/>
      <c r="H174" s="1"/>
      <c r="I174" s="1"/>
      <c r="J174" s="1"/>
      <c r="K174" s="1"/>
      <c r="L174" s="343" t="str">
        <f ca="1">INDEX(PO!K$12:K$603,MATCH($A176,PO!$V$12:$V$603,0))</f>
        <v>14.1.</v>
      </c>
      <c r="M174" s="337" t="str">
        <f ca="1">INDEX(PO!N$12:N$603,MATCH($A176,PO!$V$12:$V$603,0))</f>
        <v xml:space="preserve">TUBULAÇÃO E CONEXÕES  </v>
      </c>
      <c r="N174" s="335">
        <f t="shared" ref="N174" ca="1" si="881">IF(ROUND(K176,2)=0,K176,ROUND(K176,2))</f>
        <v>9.9999999999999998E-13</v>
      </c>
      <c r="O174" s="187" t="s">
        <v>143</v>
      </c>
      <c r="P174" s="192">
        <f t="shared" ref="P174" ca="1" si="882">IF($B176,0,P175-IF(ISNUMBER(O175),O175,0))</f>
        <v>0</v>
      </c>
      <c r="Q174" s="193">
        <f t="shared" ref="Q174" ca="1" si="883">IF($B176,0,Q175-IF(ISNUMBER(P175),P175,0))</f>
        <v>0</v>
      </c>
      <c r="R174" s="193">
        <f t="shared" ref="R174" ca="1" si="884">IF($B176,0,R175-IF(ISNUMBER(Q175),Q175,0))</f>
        <v>0</v>
      </c>
      <c r="S174" s="193">
        <f t="shared" ref="S174" ca="1" si="885">IF($B176,0,S175-IF(ISNUMBER(R175),R175,0))</f>
        <v>0</v>
      </c>
      <c r="T174" s="193">
        <v>0.25</v>
      </c>
      <c r="U174" s="193">
        <v>0.25</v>
      </c>
      <c r="V174" s="193">
        <v>0.25</v>
      </c>
      <c r="W174" s="194">
        <v>0.25</v>
      </c>
      <c r="X174" s="163"/>
      <c r="AC174" s="188">
        <f t="shared" ref="AC174" ca="1" si="886">IF($B176,0,AC175-IF(ISNUMBER(AB175),AB175,0))</f>
        <v>0</v>
      </c>
    </row>
    <row r="175" spans="1:29" customFormat="1" ht="13.8" x14ac:dyDescent="0.25">
      <c r="A175" s="11"/>
      <c r="B175" s="11"/>
      <c r="C175" s="11"/>
      <c r="D175" s="11"/>
      <c r="E175" s="11"/>
      <c r="F175" s="11"/>
      <c r="G175" s="11"/>
      <c r="H175" s="11"/>
      <c r="I175" s="11"/>
      <c r="J175" s="11"/>
      <c r="K175" s="11"/>
      <c r="L175" s="344"/>
      <c r="M175" s="338"/>
      <c r="N175" s="336"/>
      <c r="O175" s="145" t="s">
        <v>145</v>
      </c>
      <c r="P175" s="165">
        <f t="shared" ref="P175" ca="1" si="887">MIN(IF($B176,P174+IF(ISNUMBER(O175),O175,0),P176/$N174),1)</f>
        <v>0</v>
      </c>
      <c r="Q175" s="143">
        <f t="shared" ref="Q175" ca="1" si="888">MIN(IF($B176,Q174+IF(ISNUMBER(P175),P175,0),Q176/$N174),1)</f>
        <v>0</v>
      </c>
      <c r="R175" s="143">
        <f t="shared" ref="R175" ca="1" si="889">MIN(IF($B176,R174+IF(ISNUMBER(Q175),Q175,0),R176/$N174),1)</f>
        <v>0</v>
      </c>
      <c r="S175" s="143">
        <f t="shared" ref="S175" ca="1" si="890">MIN(IF($B176,S174+IF(ISNUMBER(R175),R175,0),S176/$N174),1)</f>
        <v>0</v>
      </c>
      <c r="T175" s="143">
        <f t="shared" ref="T175" ca="1" si="891">MIN(IF($B176,T174+IF(ISNUMBER(S175),S175,0),T176/$N174),1)</f>
        <v>0.25</v>
      </c>
      <c r="U175" s="143">
        <f t="shared" ref="U175" ca="1" si="892">MIN(IF($B176,U174+IF(ISNUMBER(T175),T175,0),U176/$N174),1)</f>
        <v>0.5</v>
      </c>
      <c r="V175" s="143">
        <f t="shared" ref="V175" ca="1" si="893">MIN(IF($B176,V174+IF(ISNUMBER(U175),U175,0),V176/$N174),1)</f>
        <v>0.75</v>
      </c>
      <c r="W175" s="143">
        <f t="shared" ref="W175" ca="1" si="894">MIN(IF($B176,W174+IF(ISNUMBER(V175),V175,0),W176/$N174),1)</f>
        <v>1</v>
      </c>
      <c r="X175" s="163"/>
      <c r="AC175" s="143">
        <f t="shared" ref="AC175" ca="1" si="895">MIN(IF($B176,AC174+IF(ISNUMBER(AB175),AB175,0),AC176/$N174),1)</f>
        <v>0</v>
      </c>
    </row>
    <row r="176" spans="1:29" customFormat="1" ht="13.8" x14ac:dyDescent="0.25">
      <c r="A176" s="11">
        <f ca="1">OFFSET(A176,-CFF.NumLinha,0)+1</f>
        <v>53</v>
      </c>
      <c r="B176" s="11" t="b">
        <f ca="1">$C176&gt;=OFFSET($C176,CFF.NumLinha,0)</f>
        <v>1</v>
      </c>
      <c r="C176" s="11">
        <f ca="1">INDEX(PO!A$12:A$603,MATCH($A176,PO!$V$12:$V$603,0))</f>
        <v>2</v>
      </c>
      <c r="D176" s="11">
        <f t="shared" ref="D176:D207" ca="1" si="896">IF(ISERROR(J176),I176,SMALL(I176:J176,1))-1</f>
        <v>2</v>
      </c>
      <c r="E176" s="11">
        <f ca="1">IF($C176=1,OFFSET(E176,-CFF.NumLinha,0)+1,OFFSET(E176,-CFF.NumLinha,0))</f>
        <v>14</v>
      </c>
      <c r="F176" s="11">
        <f ca="1">IF($C176=1,0,IF($C176=2,OFFSET(F176,-CFF.NumLinha,0)+1,OFFSET(F176,-CFF.NumLinha,0)))</f>
        <v>1</v>
      </c>
      <c r="G176" s="11">
        <f ca="1">IF(AND($C176&lt;=2,$C176&lt;&gt;0),0,IF($C176=3,OFFSET(G176,-CFF.NumLinha,0)+1,OFFSET(G176,-CFF.NumLinha,0)))</f>
        <v>0</v>
      </c>
      <c r="H176" s="11">
        <f ca="1">IF(AND($C176&lt;=3,$C176&lt;&gt;0),0,IF($C176=4,OFFSET(H176,-CFF.NumLinha,0)+1,OFFSET(H176,-CFF.NumLinha,0)))</f>
        <v>0</v>
      </c>
      <c r="I176" s="11">
        <f ca="1">MATCH(0,OFFSET($D176,1,$C176,ROW($A$303)-ROW($A176)),0)</f>
        <v>6</v>
      </c>
      <c r="J176" s="11">
        <f ca="1">MATCH(OFFSET($D176,0,$C176)+1,OFFSET($D176,1,$C176,ROW($A$303)-ROW($A176)),0)</f>
        <v>3</v>
      </c>
      <c r="K176" s="156">
        <f ca="1">ROUND(INDEX(PO!T$12:T$603,MATCH($A176,PO!$V$12:$V$603,0)),2)+10^-12</f>
        <v>9.9999999999999998E-13</v>
      </c>
      <c r="L176" s="344"/>
      <c r="M176" s="338"/>
      <c r="N176" s="336"/>
      <c r="O176" s="171" t="s">
        <v>20</v>
      </c>
      <c r="P176" s="166">
        <f t="shared" ref="P176:W176" ca="1" si="897">IF($B176,ROUND(P175*$N174,2),ROUND(SUMIF(OFFSET($B176,1,0,$D176),TRUE,OFFSET(P176,1,0,$D176))/SUMIF(OFFSET($B176,1,0,$D176),TRUE,OFFSET($K176,1,0,$D176))*$N174,2))</f>
        <v>0</v>
      </c>
      <c r="Q176" s="144">
        <f t="shared" ca="1" si="897"/>
        <v>0</v>
      </c>
      <c r="R176" s="144">
        <f t="shared" ca="1" si="897"/>
        <v>0</v>
      </c>
      <c r="S176" s="144">
        <f t="shared" ca="1" si="897"/>
        <v>0</v>
      </c>
      <c r="T176" s="144">
        <f t="shared" ca="1" si="897"/>
        <v>0</v>
      </c>
      <c r="U176" s="144">
        <f t="shared" ca="1" si="897"/>
        <v>0</v>
      </c>
      <c r="V176" s="144">
        <f t="shared" ca="1" si="897"/>
        <v>0</v>
      </c>
      <c r="W176" s="174">
        <f t="shared" ca="1" si="897"/>
        <v>0</v>
      </c>
      <c r="X176" s="163"/>
      <c r="AC176" s="144">
        <f t="shared" ref="AC176" ca="1" si="898">IF($B176,ROUND(AC175*$N174,2),ROUND(SUMIF(OFFSET($B176,1,0,$D176),TRUE,OFFSET(AC176,1,0,$D176))/SUMIF(OFFSET($B176,1,0,$D176),TRUE,OFFSET($K176,1,0,$D176))*$N174,2))</f>
        <v>0</v>
      </c>
    </row>
    <row r="177" spans="1:29" customFormat="1" ht="14.25" customHeight="1" x14ac:dyDescent="0.25">
      <c r="A177" s="1"/>
      <c r="B177" s="1"/>
      <c r="C177" s="1"/>
      <c r="D177" s="1"/>
      <c r="E177" s="1"/>
      <c r="F177" s="1"/>
      <c r="G177" s="1"/>
      <c r="H177" s="1"/>
      <c r="I177" s="1"/>
      <c r="J177" s="1"/>
      <c r="K177" s="1"/>
      <c r="L177" s="343" t="str">
        <f ca="1">INDEX(PO!K$12:K$603,MATCH($A179,PO!$V$12:$V$603,0))</f>
        <v>14.2.</v>
      </c>
      <c r="M177" s="337" t="str">
        <f ca="1">INDEX(PO!N$12:N$603,MATCH($A179,PO!$V$12:$V$603,0))</f>
        <v>UNIDADE DE TRATAMENTO</v>
      </c>
      <c r="N177" s="335">
        <f t="shared" ref="N177" ca="1" si="899">IF(ROUND(K179,2)=0,K179,ROUND(K179,2))</f>
        <v>9.9999999999999998E-13</v>
      </c>
      <c r="O177" s="187" t="s">
        <v>143</v>
      </c>
      <c r="P177" s="192">
        <f t="shared" ref="P177" ca="1" si="900">IF($B179,0,P178-IF(ISNUMBER(O178),O178,0))</f>
        <v>0</v>
      </c>
      <c r="Q177" s="193">
        <f t="shared" ref="Q177" ca="1" si="901">IF($B179,0,Q178-IF(ISNUMBER(P178),P178,0))</f>
        <v>0</v>
      </c>
      <c r="R177" s="193">
        <f t="shared" ref="R177" ca="1" si="902">IF($B179,0,R178-IF(ISNUMBER(Q178),Q178,0))</f>
        <v>0</v>
      </c>
      <c r="S177" s="193">
        <f t="shared" ref="S177" ca="1" si="903">IF($B179,0,S178-IF(ISNUMBER(R178),R178,0))</f>
        <v>0</v>
      </c>
      <c r="T177" s="193">
        <v>0.25</v>
      </c>
      <c r="U177" s="193">
        <v>0.25</v>
      </c>
      <c r="V177" s="193">
        <v>0.25</v>
      </c>
      <c r="W177" s="194">
        <v>0.25</v>
      </c>
      <c r="X177" s="163"/>
      <c r="AC177" s="188">
        <f t="shared" ref="AC177" ca="1" si="904">IF($B179,0,AC178-IF(ISNUMBER(AB178),AB178,0))</f>
        <v>0</v>
      </c>
    </row>
    <row r="178" spans="1:29" customFormat="1" ht="13.8" x14ac:dyDescent="0.25">
      <c r="A178" s="11"/>
      <c r="B178" s="11"/>
      <c r="C178" s="11"/>
      <c r="D178" s="11"/>
      <c r="E178" s="11"/>
      <c r="F178" s="11"/>
      <c r="G178" s="11"/>
      <c r="H178" s="11"/>
      <c r="I178" s="11"/>
      <c r="J178" s="11"/>
      <c r="K178" s="11"/>
      <c r="L178" s="344"/>
      <c r="M178" s="338"/>
      <c r="N178" s="336"/>
      <c r="O178" s="145" t="s">
        <v>145</v>
      </c>
      <c r="P178" s="165">
        <f t="shared" ref="P178" ca="1" si="905">MIN(IF($B179,P177+IF(ISNUMBER(O178),O178,0),P179/$N177),1)</f>
        <v>0</v>
      </c>
      <c r="Q178" s="143">
        <f t="shared" ref="Q178" ca="1" si="906">MIN(IF($B179,Q177+IF(ISNUMBER(P178),P178,0),Q179/$N177),1)</f>
        <v>0</v>
      </c>
      <c r="R178" s="143">
        <f t="shared" ref="R178" ca="1" si="907">MIN(IF($B179,R177+IF(ISNUMBER(Q178),Q178,0),R179/$N177),1)</f>
        <v>0</v>
      </c>
      <c r="S178" s="143">
        <f t="shared" ref="S178" ca="1" si="908">MIN(IF($B179,S177+IF(ISNUMBER(R178),R178,0),S179/$N177),1)</f>
        <v>0</v>
      </c>
      <c r="T178" s="143">
        <f t="shared" ref="T178" ca="1" si="909">MIN(IF($B179,T177+IF(ISNUMBER(S178),S178,0),T179/$N177),1)</f>
        <v>0.25</v>
      </c>
      <c r="U178" s="143">
        <f t="shared" ref="U178" ca="1" si="910">MIN(IF($B179,U177+IF(ISNUMBER(T178),T178,0),U179/$N177),1)</f>
        <v>0.5</v>
      </c>
      <c r="V178" s="143">
        <f t="shared" ref="V178" ca="1" si="911">MIN(IF($B179,V177+IF(ISNUMBER(U178),U178,0),V179/$N177),1)</f>
        <v>0.75</v>
      </c>
      <c r="W178" s="143">
        <f t="shared" ref="W178" ca="1" si="912">MIN(IF($B179,W177+IF(ISNUMBER(V178),V178,0),W179/$N177),1)</f>
        <v>1</v>
      </c>
      <c r="X178" s="163"/>
      <c r="AC178" s="143">
        <f t="shared" ref="AC178" ca="1" si="913">MIN(IF($B179,AC177+IF(ISNUMBER(AB178),AB178,0),AC179/$N177),1)</f>
        <v>0</v>
      </c>
    </row>
    <row r="179" spans="1:29" customFormat="1" ht="13.8" x14ac:dyDescent="0.25">
      <c r="A179" s="11">
        <f ca="1">OFFSET(A179,-CFF.NumLinha,0)+1</f>
        <v>54</v>
      </c>
      <c r="B179" s="11" t="b">
        <f ca="1">$C179&gt;=OFFSET($C179,CFF.NumLinha,0)</f>
        <v>1</v>
      </c>
      <c r="C179" s="11">
        <f ca="1">INDEX(PO!A$12:A$603,MATCH($A179,PO!$V$12:$V$603,0))</f>
        <v>2</v>
      </c>
      <c r="D179" s="11">
        <f t="shared" ref="D179:D210" ca="1" si="914">IF(ISERROR(J179),I179,SMALL(I179:J179,1))-1</f>
        <v>2</v>
      </c>
      <c r="E179" s="11">
        <f ca="1">IF($C179=1,OFFSET(E179,-CFF.NumLinha,0)+1,OFFSET(E179,-CFF.NumLinha,0))</f>
        <v>14</v>
      </c>
      <c r="F179" s="11">
        <f ca="1">IF($C179=1,0,IF($C179=2,OFFSET(F179,-CFF.NumLinha,0)+1,OFFSET(F179,-CFF.NumLinha,0)))</f>
        <v>2</v>
      </c>
      <c r="G179" s="11">
        <f ca="1">IF(AND($C179&lt;=2,$C179&lt;&gt;0),0,IF($C179=3,OFFSET(G179,-CFF.NumLinha,0)+1,OFFSET(G179,-CFF.NumLinha,0)))</f>
        <v>0</v>
      </c>
      <c r="H179" s="11">
        <f ca="1">IF(AND($C179&lt;=3,$C179&lt;&gt;0),0,IF($C179=4,OFFSET(H179,-CFF.NumLinha,0)+1,OFFSET(H179,-CFF.NumLinha,0)))</f>
        <v>0</v>
      </c>
      <c r="I179" s="11">
        <f ca="1">MATCH(0,OFFSET($D179,1,$C179,ROW($A$303)-ROW($A179)),0)</f>
        <v>3</v>
      </c>
      <c r="J179" s="11">
        <f ca="1">MATCH(OFFSET($D179,0,$C179)+1,OFFSET($D179,1,$C179,ROW($A$303)-ROW($A179)),0)</f>
        <v>18</v>
      </c>
      <c r="K179" s="156">
        <f ca="1">ROUND(INDEX(PO!T$12:T$603,MATCH($A179,PO!$V$12:$V$603,0)),2)+10^-12</f>
        <v>9.9999999999999998E-13</v>
      </c>
      <c r="L179" s="344"/>
      <c r="M179" s="338"/>
      <c r="N179" s="336"/>
      <c r="O179" s="171" t="s">
        <v>20</v>
      </c>
      <c r="P179" s="166">
        <f t="shared" ref="P179:W179" ca="1" si="915">IF($B179,ROUND(P178*$N177,2),ROUND(SUMIF(OFFSET($B179,1,0,$D179),TRUE,OFFSET(P179,1,0,$D179))/SUMIF(OFFSET($B179,1,0,$D179),TRUE,OFFSET($K179,1,0,$D179))*$N177,2))</f>
        <v>0</v>
      </c>
      <c r="Q179" s="144">
        <f t="shared" ca="1" si="915"/>
        <v>0</v>
      </c>
      <c r="R179" s="144">
        <f t="shared" ca="1" si="915"/>
        <v>0</v>
      </c>
      <c r="S179" s="144">
        <f t="shared" ca="1" si="915"/>
        <v>0</v>
      </c>
      <c r="T179" s="144">
        <f t="shared" ca="1" si="915"/>
        <v>0</v>
      </c>
      <c r="U179" s="144">
        <f t="shared" ca="1" si="915"/>
        <v>0</v>
      </c>
      <c r="V179" s="144">
        <f t="shared" ca="1" si="915"/>
        <v>0</v>
      </c>
      <c r="W179" s="174">
        <f t="shared" ca="1" si="915"/>
        <v>0</v>
      </c>
      <c r="X179" s="163"/>
      <c r="AC179" s="144">
        <f t="shared" ref="AC179" ca="1" si="916">IF($B179,ROUND(AC178*$N177,2),ROUND(SUMIF(OFFSET($B179,1,0,$D179),TRUE,OFFSET(AC179,1,0,$D179))/SUMIF(OFFSET($B179,1,0,$D179),TRUE,OFFSET($K179,1,0,$D179))*$N177,2))</f>
        <v>0</v>
      </c>
    </row>
    <row r="180" spans="1:29" customFormat="1" ht="14.25" customHeight="1" x14ac:dyDescent="0.25">
      <c r="A180" s="1"/>
      <c r="B180" s="1"/>
      <c r="C180" s="1"/>
      <c r="D180" s="1"/>
      <c r="E180" s="1"/>
      <c r="F180" s="1"/>
      <c r="G180" s="1"/>
      <c r="H180" s="1"/>
      <c r="I180" s="1"/>
      <c r="J180" s="1"/>
      <c r="K180" s="1"/>
      <c r="L180" s="343" t="str">
        <f ca="1">INDEX(PO!K$12:K$603,MATCH($A182,PO!$V$12:$V$603,0))</f>
        <v>15.</v>
      </c>
      <c r="M180" s="337" t="str">
        <f ca="1">INDEX(PO!N$12:N$603,MATCH($A182,PO!$V$12:$V$603,0))</f>
        <v>LOUÇAS ACESSÓRIOS E METAIS</v>
      </c>
      <c r="N180" s="335">
        <f t="shared" ref="N180" ca="1" si="917">IF(ROUND(K182,2)=0,K182,ROUND(K182,2))</f>
        <v>9.9999999999999998E-13</v>
      </c>
      <c r="O180" s="187" t="s">
        <v>143</v>
      </c>
      <c r="P180" s="192">
        <f t="shared" ref="P180" ca="1" si="918">IF($B182,0,P181-IF(ISNUMBER(O181),O181,0))</f>
        <v>0</v>
      </c>
      <c r="Q180" s="193">
        <f t="shared" ref="Q180" ca="1" si="919">IF($B182,0,Q181-IF(ISNUMBER(P181),P181,0))</f>
        <v>0</v>
      </c>
      <c r="R180" s="193">
        <f t="shared" ref="R180" ca="1" si="920">IF($B182,0,R181-IF(ISNUMBER(Q181),Q181,0))</f>
        <v>0</v>
      </c>
      <c r="S180" s="193">
        <f t="shared" ref="S180" ca="1" si="921">IF($B182,0,S181-IF(ISNUMBER(R181),R181,0))</f>
        <v>0</v>
      </c>
      <c r="T180" s="193">
        <v>0.25</v>
      </c>
      <c r="U180" s="193">
        <v>0.25</v>
      </c>
      <c r="V180" s="193">
        <v>0.25</v>
      </c>
      <c r="W180" s="194">
        <v>0.25</v>
      </c>
      <c r="X180" s="163"/>
      <c r="AC180" s="188">
        <f t="shared" ref="AC180" ca="1" si="922">IF($B182,0,AC181-IF(ISNUMBER(AB181),AB181,0))</f>
        <v>0</v>
      </c>
    </row>
    <row r="181" spans="1:29" customFormat="1" ht="13.8" x14ac:dyDescent="0.25">
      <c r="A181" s="11"/>
      <c r="B181" s="11"/>
      <c r="C181" s="11"/>
      <c r="D181" s="11"/>
      <c r="E181" s="11"/>
      <c r="F181" s="11"/>
      <c r="G181" s="11"/>
      <c r="H181" s="11"/>
      <c r="I181" s="11"/>
      <c r="J181" s="11"/>
      <c r="K181" s="11"/>
      <c r="L181" s="344"/>
      <c r="M181" s="338"/>
      <c r="N181" s="336"/>
      <c r="O181" s="145" t="s">
        <v>145</v>
      </c>
      <c r="P181" s="165">
        <f t="shared" ref="P181" ca="1" si="923">MIN(IF($B182,P180+IF(ISNUMBER(O181),O181,0),P182/$N180),1)</f>
        <v>0</v>
      </c>
      <c r="Q181" s="143">
        <f t="shared" ref="Q181" ca="1" si="924">MIN(IF($B182,Q180+IF(ISNUMBER(P181),P181,0),Q182/$N180),1)</f>
        <v>0</v>
      </c>
      <c r="R181" s="143">
        <f t="shared" ref="R181" ca="1" si="925">MIN(IF($B182,R180+IF(ISNUMBER(Q181),Q181,0),R182/$N180),1)</f>
        <v>0</v>
      </c>
      <c r="S181" s="143">
        <f t="shared" ref="S181" ca="1" si="926">MIN(IF($B182,S180+IF(ISNUMBER(R181),R181,0),S182/$N180),1)</f>
        <v>0</v>
      </c>
      <c r="T181" s="143">
        <f t="shared" ref="T181" ca="1" si="927">MIN(IF($B182,T180+IF(ISNUMBER(S181),S181,0),T182/$N180),1)</f>
        <v>0.25</v>
      </c>
      <c r="U181" s="143">
        <f t="shared" ref="U181" ca="1" si="928">MIN(IF($B182,U180+IF(ISNUMBER(T181),T181,0),U182/$N180),1)</f>
        <v>0.5</v>
      </c>
      <c r="V181" s="143">
        <f t="shared" ref="V181" ca="1" si="929">MIN(IF($B182,V180+IF(ISNUMBER(U181),U181,0),V182/$N180),1)</f>
        <v>0.75</v>
      </c>
      <c r="W181" s="143">
        <f t="shared" ref="W181" ca="1" si="930">MIN(IF($B182,W180+IF(ISNUMBER(V181),V181,0),W182/$N180),1)</f>
        <v>1</v>
      </c>
      <c r="X181" s="163"/>
      <c r="AC181" s="143">
        <f t="shared" ref="AC181" ca="1" si="931">MIN(IF($B182,AC180+IF(ISNUMBER(AB181),AB181,0),AC182/$N180),1)</f>
        <v>0</v>
      </c>
    </row>
    <row r="182" spans="1:29" customFormat="1" ht="13.8" x14ac:dyDescent="0.25">
      <c r="A182" s="11">
        <f ca="1">OFFSET(A182,-CFF.NumLinha,0)+1</f>
        <v>55</v>
      </c>
      <c r="B182" s="11" t="b">
        <f ca="1">$C182&gt;=OFFSET($C182,CFF.NumLinha,0)</f>
        <v>1</v>
      </c>
      <c r="C182" s="11">
        <f ca="1">INDEX(PO!A$12:A$603,MATCH($A182,PO!$V$12:$V$603,0))</f>
        <v>1</v>
      </c>
      <c r="D182" s="11">
        <f t="shared" ref="D182:D213" ca="1" si="932">IF(ISERROR(J182),I182,SMALL(I182:J182,1))-1</f>
        <v>2</v>
      </c>
      <c r="E182" s="11">
        <f ca="1">IF($C182=1,OFFSET(E182,-CFF.NumLinha,0)+1,OFFSET(E182,-CFF.NumLinha,0))</f>
        <v>15</v>
      </c>
      <c r="F182" s="11">
        <f ca="1">IF($C182=1,0,IF($C182=2,OFFSET(F182,-CFF.NumLinha,0)+1,OFFSET(F182,-CFF.NumLinha,0)))</f>
        <v>0</v>
      </c>
      <c r="G182" s="11">
        <f ca="1">IF(AND($C182&lt;=2,$C182&lt;&gt;0),0,IF($C182=3,OFFSET(G182,-CFF.NumLinha,0)+1,OFFSET(G182,-CFF.NumLinha,0)))</f>
        <v>0</v>
      </c>
      <c r="H182" s="11">
        <f ca="1">IF(AND($C182&lt;=3,$C182&lt;&gt;0),0,IF($C182=4,OFFSET(H182,-CFF.NumLinha,0)+1,OFFSET(H182,-CFF.NumLinha,0)))</f>
        <v>0</v>
      </c>
      <c r="I182" s="11">
        <f ca="1">MATCH(0,OFFSET($D182,1,$C182,ROW($A$303)-ROW($A182)),0)</f>
        <v>121</v>
      </c>
      <c r="J182" s="11">
        <f ca="1">MATCH(OFFSET($D182,0,$C182)+1,OFFSET($D182,1,$C182,ROW($A$303)-ROW($A182)),0)</f>
        <v>3</v>
      </c>
      <c r="K182" s="156">
        <f ca="1">ROUND(INDEX(PO!T$12:T$603,MATCH($A182,PO!$V$12:$V$603,0)),2)+10^-12</f>
        <v>9.9999999999999998E-13</v>
      </c>
      <c r="L182" s="344"/>
      <c r="M182" s="338"/>
      <c r="N182" s="336"/>
      <c r="O182" s="171" t="s">
        <v>20</v>
      </c>
      <c r="P182" s="166">
        <f t="shared" ref="P182:W182" ca="1" si="933">IF($B182,ROUND(P181*$N180,2),ROUND(SUMIF(OFFSET($B182,1,0,$D182),TRUE,OFFSET(P182,1,0,$D182))/SUMIF(OFFSET($B182,1,0,$D182),TRUE,OFFSET($K182,1,0,$D182))*$N180,2))</f>
        <v>0</v>
      </c>
      <c r="Q182" s="144">
        <f t="shared" ca="1" si="933"/>
        <v>0</v>
      </c>
      <c r="R182" s="144">
        <f t="shared" ca="1" si="933"/>
        <v>0</v>
      </c>
      <c r="S182" s="144">
        <f t="shared" ca="1" si="933"/>
        <v>0</v>
      </c>
      <c r="T182" s="144">
        <f t="shared" ca="1" si="933"/>
        <v>0</v>
      </c>
      <c r="U182" s="144">
        <f t="shared" ca="1" si="933"/>
        <v>0</v>
      </c>
      <c r="V182" s="144">
        <f t="shared" ca="1" si="933"/>
        <v>0</v>
      </c>
      <c r="W182" s="174">
        <f t="shared" ca="1" si="933"/>
        <v>0</v>
      </c>
      <c r="X182" s="163"/>
      <c r="AC182" s="144">
        <f t="shared" ref="AC182" ca="1" si="934">IF($B182,ROUND(AC181*$N180,2),ROUND(SUMIF(OFFSET($B182,1,0,$D182),TRUE,OFFSET(AC182,1,0,$D182))/SUMIF(OFFSET($B182,1,0,$D182),TRUE,OFFSET($K182,1,0,$D182))*$N180,2))</f>
        <v>0</v>
      </c>
    </row>
    <row r="183" spans="1:29" customFormat="1" ht="14.25" customHeight="1" x14ac:dyDescent="0.25">
      <c r="A183" s="1"/>
      <c r="B183" s="1"/>
      <c r="C183" s="1"/>
      <c r="D183" s="1"/>
      <c r="E183" s="1"/>
      <c r="F183" s="1"/>
      <c r="G183" s="1"/>
      <c r="H183" s="1"/>
      <c r="I183" s="1"/>
      <c r="J183" s="1"/>
      <c r="K183" s="1"/>
      <c r="L183" s="343" t="str">
        <f ca="1">INDEX(PO!K$12:K$603,MATCH($A185,PO!$V$12:$V$603,0))</f>
        <v>16.</v>
      </c>
      <c r="M183" s="337" t="str">
        <f ca="1">INDEX(PO!N$12:N$603,MATCH($A185,PO!$V$12:$V$603,0))</f>
        <v>INSTALAÇÃO DE GÁS COMBUSTÍVEL</v>
      </c>
      <c r="N183" s="335">
        <f t="shared" ref="N183" ca="1" si="935">IF(ROUND(K185,2)=0,K185,ROUND(K185,2))</f>
        <v>9.9999999999999998E-13</v>
      </c>
      <c r="O183" s="187" t="s">
        <v>143</v>
      </c>
      <c r="P183" s="192">
        <f t="shared" ref="P183" ca="1" si="936">IF($B185,0,P184-IF(ISNUMBER(O184),O184,0))</f>
        <v>0</v>
      </c>
      <c r="Q183" s="193">
        <f t="shared" ref="Q183" ca="1" si="937">IF($B185,0,Q184-IF(ISNUMBER(P184),P184,0))</f>
        <v>0</v>
      </c>
      <c r="R183" s="193">
        <f t="shared" ref="R183" ca="1" si="938">IF($B185,0,R184-IF(ISNUMBER(Q184),Q184,0))</f>
        <v>0</v>
      </c>
      <c r="S183" s="193">
        <f t="shared" ref="S183" ca="1" si="939">IF($B185,0,S184-IF(ISNUMBER(R184),R184,0))</f>
        <v>0</v>
      </c>
      <c r="T183" s="193">
        <v>0.25</v>
      </c>
      <c r="U183" s="193">
        <v>0.25</v>
      </c>
      <c r="V183" s="193">
        <v>0.25</v>
      </c>
      <c r="W183" s="194">
        <v>0.25</v>
      </c>
      <c r="X183" s="163"/>
      <c r="AC183" s="188">
        <f t="shared" ref="AC183" ca="1" si="940">IF($B185,0,AC184-IF(ISNUMBER(AB184),AB184,0))</f>
        <v>0</v>
      </c>
    </row>
    <row r="184" spans="1:29" customFormat="1" ht="13.8" x14ac:dyDescent="0.25">
      <c r="A184" s="11"/>
      <c r="B184" s="11"/>
      <c r="C184" s="11"/>
      <c r="D184" s="11"/>
      <c r="E184" s="11"/>
      <c r="F184" s="11"/>
      <c r="G184" s="11"/>
      <c r="H184" s="11"/>
      <c r="I184" s="11"/>
      <c r="J184" s="11"/>
      <c r="K184" s="11"/>
      <c r="L184" s="344"/>
      <c r="M184" s="338"/>
      <c r="N184" s="336"/>
      <c r="O184" s="145" t="s">
        <v>145</v>
      </c>
      <c r="P184" s="165">
        <f t="shared" ref="P184" ca="1" si="941">MIN(IF($B185,P183+IF(ISNUMBER(O184),O184,0),P185/$N183),1)</f>
        <v>0</v>
      </c>
      <c r="Q184" s="143">
        <f t="shared" ref="Q184" ca="1" si="942">MIN(IF($B185,Q183+IF(ISNUMBER(P184),P184,0),Q185/$N183),1)</f>
        <v>0</v>
      </c>
      <c r="R184" s="143">
        <f t="shared" ref="R184" ca="1" si="943">MIN(IF($B185,R183+IF(ISNUMBER(Q184),Q184,0),R185/$N183),1)</f>
        <v>0</v>
      </c>
      <c r="S184" s="143">
        <f t="shared" ref="S184" ca="1" si="944">MIN(IF($B185,S183+IF(ISNUMBER(R184),R184,0),S185/$N183),1)</f>
        <v>0</v>
      </c>
      <c r="T184" s="143">
        <f t="shared" ref="T184" ca="1" si="945">MIN(IF($B185,T183+IF(ISNUMBER(S184),S184,0),T185/$N183),1)</f>
        <v>0.25</v>
      </c>
      <c r="U184" s="143">
        <f t="shared" ref="U184" ca="1" si="946">MIN(IF($B185,U183+IF(ISNUMBER(T184),T184,0),U185/$N183),1)</f>
        <v>0.5</v>
      </c>
      <c r="V184" s="143">
        <f t="shared" ref="V184" ca="1" si="947">MIN(IF($B185,V183+IF(ISNUMBER(U184),U184,0),V185/$N183),1)</f>
        <v>0.75</v>
      </c>
      <c r="W184" s="143">
        <f t="shared" ref="W184" ca="1" si="948">MIN(IF($B185,W183+IF(ISNUMBER(V184),V184,0),W185/$N183),1)</f>
        <v>1</v>
      </c>
      <c r="X184" s="163"/>
      <c r="AC184" s="143">
        <f t="shared" ref="AC184" ca="1" si="949">MIN(IF($B185,AC183+IF(ISNUMBER(AB184),AB184,0),AC185/$N183),1)</f>
        <v>0</v>
      </c>
    </row>
    <row r="185" spans="1:29" customFormat="1" ht="13.8" x14ac:dyDescent="0.25">
      <c r="A185" s="11">
        <f ca="1">OFFSET(A185,-CFF.NumLinha,0)+1</f>
        <v>56</v>
      </c>
      <c r="B185" s="11" t="b">
        <f ca="1">$C185&gt;=OFFSET($C185,CFF.NumLinha,0)</f>
        <v>1</v>
      </c>
      <c r="C185" s="11">
        <f ca="1">INDEX(PO!A$12:A$603,MATCH($A185,PO!$V$12:$V$603,0))</f>
        <v>1</v>
      </c>
      <c r="D185" s="11">
        <f t="shared" ref="D185:D216" ca="1" si="950">IF(ISERROR(J185),I185,SMALL(I185:J185,1))-1</f>
        <v>2</v>
      </c>
      <c r="E185" s="11">
        <f ca="1">IF($C185=1,OFFSET(E185,-CFF.NumLinha,0)+1,OFFSET(E185,-CFF.NumLinha,0))</f>
        <v>16</v>
      </c>
      <c r="F185" s="11">
        <f ca="1">IF($C185=1,0,IF($C185=2,OFFSET(F185,-CFF.NumLinha,0)+1,OFFSET(F185,-CFF.NumLinha,0)))</f>
        <v>0</v>
      </c>
      <c r="G185" s="11">
        <f ca="1">IF(AND($C185&lt;=2,$C185&lt;&gt;0),0,IF($C185=3,OFFSET(G185,-CFF.NumLinha,0)+1,OFFSET(G185,-CFF.NumLinha,0)))</f>
        <v>0</v>
      </c>
      <c r="H185" s="11">
        <f ca="1">IF(AND($C185&lt;=3,$C185&lt;&gt;0),0,IF($C185=4,OFFSET(H185,-CFF.NumLinha,0)+1,OFFSET(H185,-CFF.NumLinha,0)))</f>
        <v>0</v>
      </c>
      <c r="I185" s="11">
        <f ca="1">MATCH(0,OFFSET($D185,1,$C185,ROW($A$303)-ROW($A185)),0)</f>
        <v>118</v>
      </c>
      <c r="J185" s="11">
        <f ca="1">MATCH(OFFSET($D185,0,$C185)+1,OFFSET($D185,1,$C185,ROW($A$303)-ROW($A185)),0)</f>
        <v>3</v>
      </c>
      <c r="K185" s="156">
        <f ca="1">ROUND(INDEX(PO!T$12:T$603,MATCH($A185,PO!$V$12:$V$603,0)),2)+10^-12</f>
        <v>9.9999999999999998E-13</v>
      </c>
      <c r="L185" s="344"/>
      <c r="M185" s="338"/>
      <c r="N185" s="336"/>
      <c r="O185" s="171" t="s">
        <v>20</v>
      </c>
      <c r="P185" s="166">
        <f t="shared" ref="P185:W185" ca="1" si="951">IF($B185,ROUND(P184*$N183,2),ROUND(SUMIF(OFFSET($B185,1,0,$D185),TRUE,OFFSET(P185,1,0,$D185))/SUMIF(OFFSET($B185,1,0,$D185),TRUE,OFFSET($K185,1,0,$D185))*$N183,2))</f>
        <v>0</v>
      </c>
      <c r="Q185" s="144">
        <f t="shared" ca="1" si="951"/>
        <v>0</v>
      </c>
      <c r="R185" s="144">
        <f t="shared" ca="1" si="951"/>
        <v>0</v>
      </c>
      <c r="S185" s="144">
        <f t="shared" ca="1" si="951"/>
        <v>0</v>
      </c>
      <c r="T185" s="144">
        <f t="shared" ca="1" si="951"/>
        <v>0</v>
      </c>
      <c r="U185" s="144">
        <f t="shared" ca="1" si="951"/>
        <v>0</v>
      </c>
      <c r="V185" s="144">
        <f t="shared" ca="1" si="951"/>
        <v>0</v>
      </c>
      <c r="W185" s="174">
        <f t="shared" ca="1" si="951"/>
        <v>0</v>
      </c>
      <c r="X185" s="163"/>
      <c r="AC185" s="144">
        <f t="shared" ref="AC185" ca="1" si="952">IF($B185,ROUND(AC184*$N183,2),ROUND(SUMIF(OFFSET($B185,1,0,$D185),TRUE,OFFSET(AC185,1,0,$D185))/SUMIF(OFFSET($B185,1,0,$D185),TRUE,OFFSET($K185,1,0,$D185))*$N183,2))</f>
        <v>0</v>
      </c>
    </row>
    <row r="186" spans="1:29" customFormat="1" ht="14.25" customHeight="1" x14ac:dyDescent="0.25">
      <c r="A186" s="1"/>
      <c r="B186" s="1"/>
      <c r="C186" s="1"/>
      <c r="D186" s="1"/>
      <c r="E186" s="1"/>
      <c r="F186" s="1"/>
      <c r="G186" s="1"/>
      <c r="H186" s="1"/>
      <c r="I186" s="1"/>
      <c r="J186" s="1"/>
      <c r="K186" s="1"/>
      <c r="L186" s="343" t="str">
        <f ca="1">INDEX(PO!K$12:K$603,MATCH($A188,PO!$V$12:$V$603,0))</f>
        <v>17.</v>
      </c>
      <c r="M186" s="337" t="str">
        <f ca="1">INDEX(PO!N$12:N$603,MATCH($A188,PO!$V$12:$V$603,0))</f>
        <v>SISTEMA DE PROTEÇÃO CONTRA INCÊNDIO</v>
      </c>
      <c r="N186" s="335">
        <f t="shared" ref="N186" ca="1" si="953">IF(ROUND(K188,2)=0,K188,ROUND(K188,2))</f>
        <v>9.9999999999999998E-13</v>
      </c>
      <c r="O186" s="187" t="s">
        <v>143</v>
      </c>
      <c r="P186" s="192">
        <f t="shared" ref="P186" ca="1" si="954">IF($B188,0,P187-IF(ISNUMBER(O187),O187,0))</f>
        <v>0</v>
      </c>
      <c r="Q186" s="193">
        <f t="shared" ref="Q186" ca="1" si="955">IF($B188,0,Q187-IF(ISNUMBER(P187),P187,0))</f>
        <v>0</v>
      </c>
      <c r="R186" s="193">
        <f t="shared" ref="R186" ca="1" si="956">IF($B188,0,R187-IF(ISNUMBER(Q187),Q187,0))</f>
        <v>0</v>
      </c>
      <c r="S186" s="193">
        <f t="shared" ref="S186" ca="1" si="957">IF($B188,0,S187-IF(ISNUMBER(R187),R187,0))</f>
        <v>0</v>
      </c>
      <c r="T186" s="193">
        <f t="shared" ref="T186" ca="1" si="958">IF($B188,0,T187-IF(ISNUMBER(S187),S187,0))</f>
        <v>0</v>
      </c>
      <c r="U186" s="193">
        <f t="shared" ref="U186" ca="1" si="959">IF($B188,0,U187-IF(ISNUMBER(T187),T187,0))</f>
        <v>0</v>
      </c>
      <c r="V186" s="193">
        <f t="shared" ref="V186" ca="1" si="960">IF($B188,0,V187-IF(ISNUMBER(U187),U187,0))</f>
        <v>0</v>
      </c>
      <c r="W186" s="194">
        <f t="shared" ref="W186" ca="1" si="961">IF($B188,0,W187-IF(ISNUMBER(V187),V187,0))</f>
        <v>0</v>
      </c>
      <c r="X186" s="163"/>
      <c r="AC186" s="188">
        <f t="shared" ref="AC186" ca="1" si="962">IF($B188,0,AC187-IF(ISNUMBER(AB187),AB187,0))</f>
        <v>0</v>
      </c>
    </row>
    <row r="187" spans="1:29" customFormat="1" ht="13.8" x14ac:dyDescent="0.25">
      <c r="A187" s="11"/>
      <c r="B187" s="11"/>
      <c r="C187" s="11"/>
      <c r="D187" s="11"/>
      <c r="E187" s="11"/>
      <c r="F187" s="11"/>
      <c r="G187" s="11"/>
      <c r="H187" s="11"/>
      <c r="I187" s="11"/>
      <c r="J187" s="11"/>
      <c r="K187" s="11"/>
      <c r="L187" s="344"/>
      <c r="M187" s="338"/>
      <c r="N187" s="336"/>
      <c r="O187" s="145" t="s">
        <v>145</v>
      </c>
      <c r="P187" s="165">
        <f t="shared" ref="P187" ca="1" si="963">MIN(IF($B188,P186+IF(ISNUMBER(O187),O187,0),P188/$N186),1)</f>
        <v>0</v>
      </c>
      <c r="Q187" s="143">
        <f t="shared" ref="Q187" ca="1" si="964">MIN(IF($B188,Q186+IF(ISNUMBER(P187),P187,0),Q188/$N186),1)</f>
        <v>0</v>
      </c>
      <c r="R187" s="143">
        <f t="shared" ref="R187" ca="1" si="965">MIN(IF($B188,R186+IF(ISNUMBER(Q187),Q187,0),R188/$N186),1)</f>
        <v>0</v>
      </c>
      <c r="S187" s="143">
        <f t="shared" ref="S187" ca="1" si="966">MIN(IF($B188,S186+IF(ISNUMBER(R187),R187,0),S188/$N186),1)</f>
        <v>0</v>
      </c>
      <c r="T187" s="143">
        <f t="shared" ref="T187" ca="1" si="967">MIN(IF($B188,T186+IF(ISNUMBER(S187),S187,0),T188/$N186),1)</f>
        <v>0</v>
      </c>
      <c r="U187" s="143">
        <f t="shared" ref="U187" ca="1" si="968">MIN(IF($B188,U186+IF(ISNUMBER(T187),T187,0),U188/$N186),1)</f>
        <v>0</v>
      </c>
      <c r="V187" s="143">
        <f t="shared" ref="V187" ca="1" si="969">MIN(IF($B188,V186+IF(ISNUMBER(U187),U187,0),V188/$N186),1)</f>
        <v>0</v>
      </c>
      <c r="W187" s="143">
        <f t="shared" ref="W187" ca="1" si="970">MIN(IF($B188,W186+IF(ISNUMBER(V187),V187,0),W188/$N186),1)</f>
        <v>0</v>
      </c>
      <c r="X187" s="163"/>
      <c r="AC187" s="143">
        <f t="shared" ref="AC187" ca="1" si="971">MIN(IF($B188,AC186+IF(ISNUMBER(AB187),AB187,0),AC188/$N186),1)</f>
        <v>0</v>
      </c>
    </row>
    <row r="188" spans="1:29" customFormat="1" ht="13.8" x14ac:dyDescent="0.25">
      <c r="A188" s="11">
        <f ca="1">OFFSET(A188,-CFF.NumLinha,0)+1</f>
        <v>57</v>
      </c>
      <c r="B188" s="11" t="b">
        <f ca="1">$C188&gt;=OFFSET($C188,CFF.NumLinha,0)</f>
        <v>0</v>
      </c>
      <c r="C188" s="11">
        <f ca="1">INDEX(PO!A$12:A$603,MATCH($A188,PO!$V$12:$V$603,0))</f>
        <v>1</v>
      </c>
      <c r="D188" s="11">
        <f t="shared" ref="D188:D219" ca="1" si="972">IF(ISERROR(J188),I188,SMALL(I188:J188,1))-1</f>
        <v>17</v>
      </c>
      <c r="E188" s="11">
        <f ca="1">IF($C188=1,OFFSET(E188,-CFF.NumLinha,0)+1,OFFSET(E188,-CFF.NumLinha,0))</f>
        <v>17</v>
      </c>
      <c r="F188" s="11">
        <f ca="1">IF($C188=1,0,IF($C188=2,OFFSET(F188,-CFF.NumLinha,0)+1,OFFSET(F188,-CFF.NumLinha,0)))</f>
        <v>0</v>
      </c>
      <c r="G188" s="11">
        <f ca="1">IF(AND($C188&lt;=2,$C188&lt;&gt;0),0,IF($C188=3,OFFSET(G188,-CFF.NumLinha,0)+1,OFFSET(G188,-CFF.NumLinha,0)))</f>
        <v>0</v>
      </c>
      <c r="H188" s="11">
        <f ca="1">IF(AND($C188&lt;=3,$C188&lt;&gt;0),0,IF($C188=4,OFFSET(H188,-CFF.NumLinha,0)+1,OFFSET(H188,-CFF.NumLinha,0)))</f>
        <v>0</v>
      </c>
      <c r="I188" s="11">
        <f ca="1">MATCH(0,OFFSET($D188,1,$C188,ROW($A$303)-ROW($A188)),0)</f>
        <v>115</v>
      </c>
      <c r="J188" s="11">
        <f ca="1">MATCH(OFFSET($D188,0,$C188)+1,OFFSET($D188,1,$C188,ROW($A$303)-ROW($A188)),0)</f>
        <v>18</v>
      </c>
      <c r="K188" s="156">
        <f ca="1">ROUND(INDEX(PO!T$12:T$603,MATCH($A188,PO!$V$12:$V$603,0)),2)+10^-12</f>
        <v>9.9999999999999998E-13</v>
      </c>
      <c r="L188" s="344"/>
      <c r="M188" s="338"/>
      <c r="N188" s="336"/>
      <c r="O188" s="171" t="s">
        <v>20</v>
      </c>
      <c r="P188" s="166">
        <f t="shared" ref="P188:W188" ca="1" si="973">IF($B188,ROUND(P187*$N186,2),ROUND(SUMIF(OFFSET($B188,1,0,$D188),TRUE,OFFSET(P188,1,0,$D188))/SUMIF(OFFSET($B188,1,0,$D188),TRUE,OFFSET($K188,1,0,$D188))*$N186,2))</f>
        <v>0</v>
      </c>
      <c r="Q188" s="144">
        <f t="shared" ca="1" si="973"/>
        <v>0</v>
      </c>
      <c r="R188" s="144">
        <f t="shared" ca="1" si="973"/>
        <v>0</v>
      </c>
      <c r="S188" s="144">
        <f t="shared" ca="1" si="973"/>
        <v>0</v>
      </c>
      <c r="T188" s="144">
        <f t="shared" ca="1" si="973"/>
        <v>0</v>
      </c>
      <c r="U188" s="144">
        <f t="shared" ca="1" si="973"/>
        <v>0</v>
      </c>
      <c r="V188" s="144">
        <f t="shared" ca="1" si="973"/>
        <v>0</v>
      </c>
      <c r="W188" s="174">
        <f t="shared" ca="1" si="973"/>
        <v>0</v>
      </c>
      <c r="X188" s="163"/>
      <c r="AC188" s="144">
        <f t="shared" ref="AC188" ca="1" si="974">IF($B188,ROUND(AC187*$N186,2),ROUND(SUMIF(OFFSET($B188,1,0,$D188),TRUE,OFFSET(AC188,1,0,$D188))/SUMIF(OFFSET($B188,1,0,$D188),TRUE,OFFSET($K188,1,0,$D188))*$N186,2))</f>
        <v>0</v>
      </c>
    </row>
    <row r="189" spans="1:29" customFormat="1" ht="14.25" customHeight="1" x14ac:dyDescent="0.25">
      <c r="A189" s="1"/>
      <c r="B189" s="1"/>
      <c r="C189" s="1"/>
      <c r="D189" s="1"/>
      <c r="E189" s="1"/>
      <c r="F189" s="1"/>
      <c r="G189" s="1"/>
      <c r="H189" s="1"/>
      <c r="I189" s="1"/>
      <c r="J189" s="1"/>
      <c r="K189" s="1"/>
      <c r="L189" s="343" t="str">
        <f ca="1">INDEX(PO!K$12:K$603,MATCH($A191,PO!$V$12:$V$603,0))</f>
        <v>17.1.</v>
      </c>
      <c r="M189" s="337" t="str">
        <f ca="1">INDEX(PO!N$12:N$603,MATCH($A191,PO!$V$12:$V$603,0))</f>
        <v>EXTINTORES</v>
      </c>
      <c r="N189" s="335">
        <f t="shared" ref="N189" ca="1" si="975">IF(ROUND(K191,2)=0,K191,ROUND(K191,2))</f>
        <v>9.9999999999999998E-13</v>
      </c>
      <c r="O189" s="187" t="s">
        <v>143</v>
      </c>
      <c r="P189" s="192">
        <f t="shared" ref="P189" ca="1" si="976">IF($B191,0,P190-IF(ISNUMBER(O190),O190,0))</f>
        <v>0</v>
      </c>
      <c r="Q189" s="193">
        <f t="shared" ref="Q189" ca="1" si="977">IF($B191,0,Q190-IF(ISNUMBER(P190),P190,0))</f>
        <v>0</v>
      </c>
      <c r="R189" s="193">
        <f t="shared" ref="R189" ca="1" si="978">IF($B191,0,R190-IF(ISNUMBER(Q190),Q190,0))</f>
        <v>0</v>
      </c>
      <c r="S189" s="193">
        <f t="shared" ref="S189" ca="1" si="979">IF($B191,0,S190-IF(ISNUMBER(R190),R190,0))</f>
        <v>0</v>
      </c>
      <c r="T189" s="193">
        <v>0.25</v>
      </c>
      <c r="U189" s="193">
        <v>0.25</v>
      </c>
      <c r="V189" s="193">
        <v>0.25</v>
      </c>
      <c r="W189" s="194">
        <v>0.25</v>
      </c>
      <c r="X189" s="163"/>
      <c r="AC189" s="188">
        <f t="shared" ref="AC189" ca="1" si="980">IF($B191,0,AC190-IF(ISNUMBER(AB190),AB190,0))</f>
        <v>0</v>
      </c>
    </row>
    <row r="190" spans="1:29" customFormat="1" ht="13.8" x14ac:dyDescent="0.25">
      <c r="A190" s="11"/>
      <c r="B190" s="11"/>
      <c r="C190" s="11"/>
      <c r="D190" s="11"/>
      <c r="E190" s="11"/>
      <c r="F190" s="11"/>
      <c r="G190" s="11"/>
      <c r="H190" s="11"/>
      <c r="I190" s="11"/>
      <c r="J190" s="11"/>
      <c r="K190" s="11"/>
      <c r="L190" s="344"/>
      <c r="M190" s="338"/>
      <c r="N190" s="336"/>
      <c r="O190" s="145" t="s">
        <v>145</v>
      </c>
      <c r="P190" s="165">
        <f t="shared" ref="P190" ca="1" si="981">MIN(IF($B191,P189+IF(ISNUMBER(O190),O190,0),P191/$N189),1)</f>
        <v>0</v>
      </c>
      <c r="Q190" s="143">
        <f t="shared" ref="Q190" ca="1" si="982">MIN(IF($B191,Q189+IF(ISNUMBER(P190),P190,0),Q191/$N189),1)</f>
        <v>0</v>
      </c>
      <c r="R190" s="143">
        <f t="shared" ref="R190" ca="1" si="983">MIN(IF($B191,R189+IF(ISNUMBER(Q190),Q190,0),R191/$N189),1)</f>
        <v>0</v>
      </c>
      <c r="S190" s="143">
        <f t="shared" ref="S190" ca="1" si="984">MIN(IF($B191,S189+IF(ISNUMBER(R190),R190,0),S191/$N189),1)</f>
        <v>0</v>
      </c>
      <c r="T190" s="143">
        <f t="shared" ref="T190" ca="1" si="985">MIN(IF($B191,T189+IF(ISNUMBER(S190),S190,0),T191/$N189),1)</f>
        <v>0.25</v>
      </c>
      <c r="U190" s="143">
        <f t="shared" ref="U190" ca="1" si="986">MIN(IF($B191,U189+IF(ISNUMBER(T190),T190,0),U191/$N189),1)</f>
        <v>0.5</v>
      </c>
      <c r="V190" s="143">
        <f t="shared" ref="V190" ca="1" si="987">MIN(IF($B191,V189+IF(ISNUMBER(U190),U190,0),V191/$N189),1)</f>
        <v>0.75</v>
      </c>
      <c r="W190" s="143">
        <f t="shared" ref="W190" ca="1" si="988">MIN(IF($B191,W189+IF(ISNUMBER(V190),V190,0),W191/$N189),1)</f>
        <v>1</v>
      </c>
      <c r="X190" s="163"/>
      <c r="AC190" s="143">
        <f t="shared" ref="AC190" ca="1" si="989">MIN(IF($B191,AC189+IF(ISNUMBER(AB190),AB190,0),AC191/$N189),1)</f>
        <v>0</v>
      </c>
    </row>
    <row r="191" spans="1:29" customFormat="1" ht="13.8" x14ac:dyDescent="0.25">
      <c r="A191" s="11">
        <f ca="1">OFFSET(A191,-CFF.NumLinha,0)+1</f>
        <v>58</v>
      </c>
      <c r="B191" s="11" t="b">
        <f ca="1">$C191&gt;=OFFSET($C191,CFF.NumLinha,0)</f>
        <v>1</v>
      </c>
      <c r="C191" s="11">
        <f ca="1">INDEX(PO!A$12:A$603,MATCH($A191,PO!$V$12:$V$603,0))</f>
        <v>2</v>
      </c>
      <c r="D191" s="11">
        <f t="shared" ref="D191:D222" ca="1" si="990">IF(ISERROR(J191),I191,SMALL(I191:J191,1))-1</f>
        <v>2</v>
      </c>
      <c r="E191" s="11">
        <f ca="1">IF($C191=1,OFFSET(E191,-CFF.NumLinha,0)+1,OFFSET(E191,-CFF.NumLinha,0))</f>
        <v>17</v>
      </c>
      <c r="F191" s="11">
        <f ca="1">IF($C191=1,0,IF($C191=2,OFFSET(F191,-CFF.NumLinha,0)+1,OFFSET(F191,-CFF.NumLinha,0)))</f>
        <v>1</v>
      </c>
      <c r="G191" s="11">
        <f ca="1">IF(AND($C191&lt;=2,$C191&lt;&gt;0),0,IF($C191=3,OFFSET(G191,-CFF.NumLinha,0)+1,OFFSET(G191,-CFF.NumLinha,0)))</f>
        <v>0</v>
      </c>
      <c r="H191" s="11">
        <f ca="1">IF(AND($C191&lt;=3,$C191&lt;&gt;0),0,IF($C191=4,OFFSET(H191,-CFF.NumLinha,0)+1,OFFSET(H191,-CFF.NumLinha,0)))</f>
        <v>0</v>
      </c>
      <c r="I191" s="11">
        <f ca="1">MATCH(0,OFFSET($D191,1,$C191,ROW($A$303)-ROW($A191)),0)</f>
        <v>15</v>
      </c>
      <c r="J191" s="11">
        <f ca="1">MATCH(OFFSET($D191,0,$C191)+1,OFFSET($D191,1,$C191,ROW($A$303)-ROW($A191)),0)</f>
        <v>3</v>
      </c>
      <c r="K191" s="156">
        <f ca="1">ROUND(INDEX(PO!T$12:T$603,MATCH($A191,PO!$V$12:$V$603,0)),2)+10^-12</f>
        <v>9.9999999999999998E-13</v>
      </c>
      <c r="L191" s="344"/>
      <c r="M191" s="338"/>
      <c r="N191" s="336"/>
      <c r="O191" s="171" t="s">
        <v>20</v>
      </c>
      <c r="P191" s="166">
        <f t="shared" ref="P191:W191" ca="1" si="991">IF($B191,ROUND(P190*$N189,2),ROUND(SUMIF(OFFSET($B191,1,0,$D191),TRUE,OFFSET(P191,1,0,$D191))/SUMIF(OFFSET($B191,1,0,$D191),TRUE,OFFSET($K191,1,0,$D191))*$N189,2))</f>
        <v>0</v>
      </c>
      <c r="Q191" s="144">
        <f t="shared" ca="1" si="991"/>
        <v>0</v>
      </c>
      <c r="R191" s="144">
        <f t="shared" ca="1" si="991"/>
        <v>0</v>
      </c>
      <c r="S191" s="144">
        <f t="shared" ca="1" si="991"/>
        <v>0</v>
      </c>
      <c r="T191" s="144">
        <f t="shared" ca="1" si="991"/>
        <v>0</v>
      </c>
      <c r="U191" s="144">
        <f t="shared" ca="1" si="991"/>
        <v>0</v>
      </c>
      <c r="V191" s="144">
        <f t="shared" ca="1" si="991"/>
        <v>0</v>
      </c>
      <c r="W191" s="174">
        <f t="shared" ca="1" si="991"/>
        <v>0</v>
      </c>
      <c r="X191" s="163"/>
      <c r="AC191" s="144">
        <f t="shared" ref="AC191" ca="1" si="992">IF($B191,ROUND(AC190*$N189,2),ROUND(SUMIF(OFFSET($B191,1,0,$D191),TRUE,OFFSET(AC191,1,0,$D191))/SUMIF(OFFSET($B191,1,0,$D191),TRUE,OFFSET($K191,1,0,$D191))*$N189,2))</f>
        <v>0</v>
      </c>
    </row>
    <row r="192" spans="1:29" customFormat="1" ht="14.25" customHeight="1" x14ac:dyDescent="0.25">
      <c r="A192" s="1"/>
      <c r="B192" s="1"/>
      <c r="C192" s="1"/>
      <c r="D192" s="1"/>
      <c r="E192" s="1"/>
      <c r="F192" s="1"/>
      <c r="G192" s="1"/>
      <c r="H192" s="1"/>
      <c r="I192" s="1"/>
      <c r="J192" s="1"/>
      <c r="K192" s="1"/>
      <c r="L192" s="343" t="str">
        <f ca="1">INDEX(PO!K$12:K$603,MATCH($A194,PO!$V$12:$V$603,0))</f>
        <v>17.2.</v>
      </c>
      <c r="M192" s="337" t="str">
        <f ca="1">INDEX(PO!N$12:N$603,MATCH($A194,PO!$V$12:$V$603,0))</f>
        <v>HIDRANTES</v>
      </c>
      <c r="N192" s="335">
        <f t="shared" ref="N192" ca="1" si="993">IF(ROUND(K194,2)=0,K194,ROUND(K194,2))</f>
        <v>9.9999999999999998E-13</v>
      </c>
      <c r="O192" s="187" t="s">
        <v>143</v>
      </c>
      <c r="P192" s="192">
        <f t="shared" ref="P192" ca="1" si="994">IF($B194,0,P193-IF(ISNUMBER(O193),O193,0))</f>
        <v>0</v>
      </c>
      <c r="Q192" s="193">
        <f t="shared" ref="Q192" ca="1" si="995">IF($B194,0,Q193-IF(ISNUMBER(P193),P193,0))</f>
        <v>0</v>
      </c>
      <c r="R192" s="193">
        <f t="shared" ref="R192" ca="1" si="996">IF($B194,0,R193-IF(ISNUMBER(Q193),Q193,0))</f>
        <v>0</v>
      </c>
      <c r="S192" s="193">
        <f t="shared" ref="S192" ca="1" si="997">IF($B194,0,S193-IF(ISNUMBER(R193),R193,0))</f>
        <v>0</v>
      </c>
      <c r="T192" s="193">
        <v>0.25</v>
      </c>
      <c r="U192" s="193">
        <v>0.25</v>
      </c>
      <c r="V192" s="193">
        <v>0.25</v>
      </c>
      <c r="W192" s="194">
        <v>0.25</v>
      </c>
      <c r="X192" s="163"/>
      <c r="AC192" s="188">
        <f t="shared" ref="AC192" ca="1" si="998">IF($B194,0,AC193-IF(ISNUMBER(AB193),AB193,0))</f>
        <v>0</v>
      </c>
    </row>
    <row r="193" spans="1:29" customFormat="1" ht="13.8" x14ac:dyDescent="0.25">
      <c r="A193" s="11"/>
      <c r="B193" s="11"/>
      <c r="C193" s="11"/>
      <c r="D193" s="11"/>
      <c r="E193" s="11"/>
      <c r="F193" s="11"/>
      <c r="G193" s="11"/>
      <c r="H193" s="11"/>
      <c r="I193" s="11"/>
      <c r="J193" s="11"/>
      <c r="K193" s="11"/>
      <c r="L193" s="344"/>
      <c r="M193" s="338"/>
      <c r="N193" s="336"/>
      <c r="O193" s="145" t="s">
        <v>145</v>
      </c>
      <c r="P193" s="165">
        <f t="shared" ref="P193" ca="1" si="999">MIN(IF($B194,P192+IF(ISNUMBER(O193),O193,0),P194/$N192),1)</f>
        <v>0</v>
      </c>
      <c r="Q193" s="143">
        <f t="shared" ref="Q193" ca="1" si="1000">MIN(IF($B194,Q192+IF(ISNUMBER(P193),P193,0),Q194/$N192),1)</f>
        <v>0</v>
      </c>
      <c r="R193" s="143">
        <f t="shared" ref="R193" ca="1" si="1001">MIN(IF($B194,R192+IF(ISNUMBER(Q193),Q193,0),R194/$N192),1)</f>
        <v>0</v>
      </c>
      <c r="S193" s="143">
        <f t="shared" ref="S193" ca="1" si="1002">MIN(IF($B194,S192+IF(ISNUMBER(R193),R193,0),S194/$N192),1)</f>
        <v>0</v>
      </c>
      <c r="T193" s="143">
        <f t="shared" ref="T193" ca="1" si="1003">MIN(IF($B194,T192+IF(ISNUMBER(S193),S193,0),T194/$N192),1)</f>
        <v>0.25</v>
      </c>
      <c r="U193" s="143">
        <f t="shared" ref="U193" ca="1" si="1004">MIN(IF($B194,U192+IF(ISNUMBER(T193),T193,0),U194/$N192),1)</f>
        <v>0.5</v>
      </c>
      <c r="V193" s="143">
        <f t="shared" ref="V193" ca="1" si="1005">MIN(IF($B194,V192+IF(ISNUMBER(U193),U193,0),V194/$N192),1)</f>
        <v>0.75</v>
      </c>
      <c r="W193" s="143">
        <f t="shared" ref="W193" ca="1" si="1006">MIN(IF($B194,W192+IF(ISNUMBER(V193),V193,0),W194/$N192),1)</f>
        <v>1</v>
      </c>
      <c r="X193" s="163"/>
      <c r="AC193" s="143">
        <f t="shared" ref="AC193" ca="1" si="1007">MIN(IF($B194,AC192+IF(ISNUMBER(AB193),AB193,0),AC194/$N192),1)</f>
        <v>0</v>
      </c>
    </row>
    <row r="194" spans="1:29" customFormat="1" ht="13.8" x14ac:dyDescent="0.25">
      <c r="A194" s="11">
        <f ca="1">OFFSET(A194,-CFF.NumLinha,0)+1</f>
        <v>59</v>
      </c>
      <c r="B194" s="11" t="b">
        <f ca="1">$C194&gt;=OFFSET($C194,CFF.NumLinha,0)</f>
        <v>1</v>
      </c>
      <c r="C194" s="11">
        <f ca="1">INDEX(PO!A$12:A$603,MATCH($A194,PO!$V$12:$V$603,0))</f>
        <v>2</v>
      </c>
      <c r="D194" s="11">
        <f t="shared" ref="D194:D239" ca="1" si="1008">IF(ISERROR(J194),I194,SMALL(I194:J194,1))-1</f>
        <v>2</v>
      </c>
      <c r="E194" s="11">
        <f ca="1">IF($C194=1,OFFSET(E194,-CFF.NumLinha,0)+1,OFFSET(E194,-CFF.NumLinha,0))</f>
        <v>17</v>
      </c>
      <c r="F194" s="11">
        <f ca="1">IF($C194=1,0,IF($C194=2,OFFSET(F194,-CFF.NumLinha,0)+1,OFFSET(F194,-CFF.NumLinha,0)))</f>
        <v>2</v>
      </c>
      <c r="G194" s="11">
        <f ca="1">IF(AND($C194&lt;=2,$C194&lt;&gt;0),0,IF($C194=3,OFFSET(G194,-CFF.NumLinha,0)+1,OFFSET(G194,-CFF.NumLinha,0)))</f>
        <v>0</v>
      </c>
      <c r="H194" s="11">
        <f ca="1">IF(AND($C194&lt;=3,$C194&lt;&gt;0),0,IF($C194=4,OFFSET(H194,-CFF.NumLinha,0)+1,OFFSET(H194,-CFF.NumLinha,0)))</f>
        <v>0</v>
      </c>
      <c r="I194" s="11">
        <f ca="1">MATCH(0,OFFSET($D194,1,$C194,ROW($A$303)-ROW($A194)),0)</f>
        <v>12</v>
      </c>
      <c r="J194" s="11">
        <f ca="1">MATCH(OFFSET($D194,0,$C194)+1,OFFSET($D194,1,$C194,ROW($A$303)-ROW($A194)),0)</f>
        <v>3</v>
      </c>
      <c r="K194" s="156">
        <f ca="1">ROUND(INDEX(PO!T$12:T$603,MATCH($A194,PO!$V$12:$V$603,0)),2)+10^-12</f>
        <v>9.9999999999999998E-13</v>
      </c>
      <c r="L194" s="344"/>
      <c r="M194" s="338"/>
      <c r="N194" s="336"/>
      <c r="O194" s="171" t="s">
        <v>20</v>
      </c>
      <c r="P194" s="166">
        <f t="shared" ref="P194:W194" ca="1" si="1009">IF($B194,ROUND(P193*$N192,2),ROUND(SUMIF(OFFSET($B194,1,0,$D194),TRUE,OFFSET(P194,1,0,$D194))/SUMIF(OFFSET($B194,1,0,$D194),TRUE,OFFSET($K194,1,0,$D194))*$N192,2))</f>
        <v>0</v>
      </c>
      <c r="Q194" s="144">
        <f t="shared" ca="1" si="1009"/>
        <v>0</v>
      </c>
      <c r="R194" s="144">
        <f t="shared" ca="1" si="1009"/>
        <v>0</v>
      </c>
      <c r="S194" s="144">
        <f t="shared" ca="1" si="1009"/>
        <v>0</v>
      </c>
      <c r="T194" s="144">
        <f t="shared" ca="1" si="1009"/>
        <v>0</v>
      </c>
      <c r="U194" s="144">
        <f t="shared" ca="1" si="1009"/>
        <v>0</v>
      </c>
      <c r="V194" s="144">
        <f t="shared" ca="1" si="1009"/>
        <v>0</v>
      </c>
      <c r="W194" s="174">
        <f t="shared" ca="1" si="1009"/>
        <v>0</v>
      </c>
      <c r="X194" s="163"/>
      <c r="AC194" s="144">
        <f t="shared" ref="AC194" ca="1" si="1010">IF($B194,ROUND(AC193*$N192,2),ROUND(SUMIF(OFFSET($B194,1,0,$D194),TRUE,OFFSET(AC194,1,0,$D194))/SUMIF(OFFSET($B194,1,0,$D194),TRUE,OFFSET($K194,1,0,$D194))*$N192,2))</f>
        <v>0</v>
      </c>
    </row>
    <row r="195" spans="1:29" customFormat="1" ht="14.25" customHeight="1" x14ac:dyDescent="0.25">
      <c r="A195" s="1"/>
      <c r="B195" s="1"/>
      <c r="C195" s="1"/>
      <c r="D195" s="1"/>
      <c r="E195" s="1"/>
      <c r="F195" s="1"/>
      <c r="G195" s="1"/>
      <c r="H195" s="1"/>
      <c r="I195" s="1"/>
      <c r="J195" s="1"/>
      <c r="K195" s="1"/>
      <c r="L195" s="343" t="str">
        <f ca="1">INDEX(PO!K$12:K$603,MATCH($A197,PO!$V$12:$V$603,0))</f>
        <v>17.3.</v>
      </c>
      <c r="M195" s="337" t="str">
        <f ca="1">INDEX(PO!N$12:N$603,MATCH($A197,PO!$V$12:$V$603,0))</f>
        <v>ACESSÓRIOS</v>
      </c>
      <c r="N195" s="335">
        <f t="shared" ref="N195" ca="1" si="1011">IF(ROUND(K197,2)=0,K197,ROUND(K197,2))</f>
        <v>9.9999999999999998E-13</v>
      </c>
      <c r="O195" s="187" t="s">
        <v>143</v>
      </c>
      <c r="P195" s="192">
        <f t="shared" ref="P195" ca="1" si="1012">IF($B197,0,P196-IF(ISNUMBER(O196),O196,0))</f>
        <v>0</v>
      </c>
      <c r="Q195" s="193">
        <f t="shared" ref="Q195" ca="1" si="1013">IF($B197,0,Q196-IF(ISNUMBER(P196),P196,0))</f>
        <v>0</v>
      </c>
      <c r="R195" s="193">
        <f t="shared" ref="R195" ca="1" si="1014">IF($B197,0,R196-IF(ISNUMBER(Q196),Q196,0))</f>
        <v>0</v>
      </c>
      <c r="S195" s="193">
        <f t="shared" ref="S195" ca="1" si="1015">IF($B197,0,S196-IF(ISNUMBER(R196),R196,0))</f>
        <v>0</v>
      </c>
      <c r="T195" s="193">
        <v>0.25</v>
      </c>
      <c r="U195" s="193">
        <v>0.25</v>
      </c>
      <c r="V195" s="193">
        <v>0.25</v>
      </c>
      <c r="W195" s="194">
        <v>0.25</v>
      </c>
      <c r="X195" s="163"/>
      <c r="AC195" s="188">
        <f t="shared" ref="AC195" ca="1" si="1016">IF($B197,0,AC196-IF(ISNUMBER(AB196),AB196,0))</f>
        <v>0</v>
      </c>
    </row>
    <row r="196" spans="1:29" customFormat="1" ht="13.8" x14ac:dyDescent="0.25">
      <c r="A196" s="11"/>
      <c r="B196" s="11"/>
      <c r="C196" s="11"/>
      <c r="D196" s="11"/>
      <c r="E196" s="11"/>
      <c r="F196" s="11"/>
      <c r="G196" s="11"/>
      <c r="H196" s="11"/>
      <c r="I196" s="11"/>
      <c r="J196" s="11"/>
      <c r="K196" s="11"/>
      <c r="L196" s="344"/>
      <c r="M196" s="338"/>
      <c r="N196" s="336"/>
      <c r="O196" s="145" t="s">
        <v>145</v>
      </c>
      <c r="P196" s="165">
        <f t="shared" ref="P196" ca="1" si="1017">MIN(IF($B197,P195+IF(ISNUMBER(O196),O196,0),P197/$N195),1)</f>
        <v>0</v>
      </c>
      <c r="Q196" s="143">
        <f t="shared" ref="Q196" ca="1" si="1018">MIN(IF($B197,Q195+IF(ISNUMBER(P196),P196,0),Q197/$N195),1)</f>
        <v>0</v>
      </c>
      <c r="R196" s="143">
        <f t="shared" ref="R196" ca="1" si="1019">MIN(IF($B197,R195+IF(ISNUMBER(Q196),Q196,0),R197/$N195),1)</f>
        <v>0</v>
      </c>
      <c r="S196" s="143">
        <f t="shared" ref="S196" ca="1" si="1020">MIN(IF($B197,S195+IF(ISNUMBER(R196),R196,0),S197/$N195),1)</f>
        <v>0</v>
      </c>
      <c r="T196" s="143">
        <f t="shared" ref="T196" ca="1" si="1021">MIN(IF($B197,T195+IF(ISNUMBER(S196),S196,0),T197/$N195),1)</f>
        <v>0.25</v>
      </c>
      <c r="U196" s="143">
        <f t="shared" ref="U196" ca="1" si="1022">MIN(IF($B197,U195+IF(ISNUMBER(T196),T196,0),U197/$N195),1)</f>
        <v>0.5</v>
      </c>
      <c r="V196" s="143">
        <f t="shared" ref="V196" ca="1" si="1023">MIN(IF($B197,V195+IF(ISNUMBER(U196),U196,0),V197/$N195),1)</f>
        <v>0.75</v>
      </c>
      <c r="W196" s="143">
        <f t="shared" ref="W196" ca="1" si="1024">MIN(IF($B197,W195+IF(ISNUMBER(V196),V196,0),W197/$N195),1)</f>
        <v>1</v>
      </c>
      <c r="X196" s="163"/>
      <c r="AC196" s="143">
        <f t="shared" ref="AC196" ca="1" si="1025">MIN(IF($B197,AC195+IF(ISNUMBER(AB196),AB196,0),AC197/$N195),1)</f>
        <v>0</v>
      </c>
    </row>
    <row r="197" spans="1:29" customFormat="1" ht="13.8" x14ac:dyDescent="0.25">
      <c r="A197" s="11">
        <f ca="1">OFFSET(A197,-CFF.NumLinha,0)+1</f>
        <v>60</v>
      </c>
      <c r="B197" s="11" t="b">
        <f ca="1">$C197&gt;=OFFSET($C197,CFF.NumLinha,0)</f>
        <v>1</v>
      </c>
      <c r="C197" s="11">
        <f ca="1">INDEX(PO!A$12:A$603,MATCH($A197,PO!$V$12:$V$603,0))</f>
        <v>2</v>
      </c>
      <c r="D197" s="11">
        <f t="shared" ref="D197:D239" ca="1" si="1026">IF(ISERROR(J197),I197,SMALL(I197:J197,1))-1</f>
        <v>2</v>
      </c>
      <c r="E197" s="11">
        <f ca="1">IF($C197=1,OFFSET(E197,-CFF.NumLinha,0)+1,OFFSET(E197,-CFF.NumLinha,0))</f>
        <v>17</v>
      </c>
      <c r="F197" s="11">
        <f ca="1">IF($C197=1,0,IF($C197=2,OFFSET(F197,-CFF.NumLinha,0)+1,OFFSET(F197,-CFF.NumLinha,0)))</f>
        <v>3</v>
      </c>
      <c r="G197" s="11">
        <f ca="1">IF(AND($C197&lt;=2,$C197&lt;&gt;0),0,IF($C197=3,OFFSET(G197,-CFF.NumLinha,0)+1,OFFSET(G197,-CFF.NumLinha,0)))</f>
        <v>0</v>
      </c>
      <c r="H197" s="11">
        <f ca="1">IF(AND($C197&lt;=3,$C197&lt;&gt;0),0,IF($C197=4,OFFSET(H197,-CFF.NumLinha,0)+1,OFFSET(H197,-CFF.NumLinha,0)))</f>
        <v>0</v>
      </c>
      <c r="I197" s="11">
        <f ca="1">MATCH(0,OFFSET($D197,1,$C197,ROW($A$303)-ROW($A197)),0)</f>
        <v>9</v>
      </c>
      <c r="J197" s="11">
        <f ca="1">MATCH(OFFSET($D197,0,$C197)+1,OFFSET($D197,1,$C197,ROW($A$303)-ROW($A197)),0)</f>
        <v>3</v>
      </c>
      <c r="K197" s="156">
        <f ca="1">ROUND(INDEX(PO!T$12:T$603,MATCH($A197,PO!$V$12:$V$603,0)),2)+10^-12</f>
        <v>9.9999999999999998E-13</v>
      </c>
      <c r="L197" s="344"/>
      <c r="M197" s="338"/>
      <c r="N197" s="336"/>
      <c r="O197" s="171" t="s">
        <v>20</v>
      </c>
      <c r="P197" s="166">
        <f t="shared" ref="P197:W197" ca="1" si="1027">IF($B197,ROUND(P196*$N195,2),ROUND(SUMIF(OFFSET($B197,1,0,$D197),TRUE,OFFSET(P197,1,0,$D197))/SUMIF(OFFSET($B197,1,0,$D197),TRUE,OFFSET($K197,1,0,$D197))*$N195,2))</f>
        <v>0</v>
      </c>
      <c r="Q197" s="144">
        <f t="shared" ca="1" si="1027"/>
        <v>0</v>
      </c>
      <c r="R197" s="144">
        <f t="shared" ca="1" si="1027"/>
        <v>0</v>
      </c>
      <c r="S197" s="144">
        <f t="shared" ca="1" si="1027"/>
        <v>0</v>
      </c>
      <c r="T197" s="144">
        <f t="shared" ca="1" si="1027"/>
        <v>0</v>
      </c>
      <c r="U197" s="144">
        <f t="shared" ca="1" si="1027"/>
        <v>0</v>
      </c>
      <c r="V197" s="144">
        <f t="shared" ca="1" si="1027"/>
        <v>0</v>
      </c>
      <c r="W197" s="174">
        <f t="shared" ca="1" si="1027"/>
        <v>0</v>
      </c>
      <c r="X197" s="163"/>
      <c r="AC197" s="144">
        <f t="shared" ref="AC197" ca="1" si="1028">IF($B197,ROUND(AC196*$N195,2),ROUND(SUMIF(OFFSET($B197,1,0,$D197),TRUE,OFFSET(AC197,1,0,$D197))/SUMIF(OFFSET($B197,1,0,$D197),TRUE,OFFSET($K197,1,0,$D197))*$N195,2))</f>
        <v>0</v>
      </c>
    </row>
    <row r="198" spans="1:29" customFormat="1" ht="14.25" customHeight="1" x14ac:dyDescent="0.25">
      <c r="A198" s="1"/>
      <c r="B198" s="1"/>
      <c r="C198" s="1"/>
      <c r="D198" s="1"/>
      <c r="E198" s="1"/>
      <c r="F198" s="1"/>
      <c r="G198" s="1"/>
      <c r="H198" s="1"/>
      <c r="I198" s="1"/>
      <c r="J198" s="1"/>
      <c r="K198" s="1"/>
      <c r="L198" s="343" t="str">
        <f ca="1">INDEX(PO!K$12:K$603,MATCH($A200,PO!$V$12:$V$603,0))</f>
        <v>17.4.</v>
      </c>
      <c r="M198" s="337" t="str">
        <f ca="1">INDEX(PO!N$12:N$603,MATCH($A200,PO!$V$12:$V$603,0))</f>
        <v>TUBULAÇÕES E CONEXÕES</v>
      </c>
      <c r="N198" s="335">
        <f t="shared" ref="N198" ca="1" si="1029">IF(ROUND(K200,2)=0,K200,ROUND(K200,2))</f>
        <v>9.9999999999999998E-13</v>
      </c>
      <c r="O198" s="187" t="s">
        <v>143</v>
      </c>
      <c r="P198" s="192">
        <f t="shared" ref="P198" ca="1" si="1030">IF($B200,0,P199-IF(ISNUMBER(O199),O199,0))</f>
        <v>0</v>
      </c>
      <c r="Q198" s="193">
        <f t="shared" ref="Q198" ca="1" si="1031">IF($B200,0,Q199-IF(ISNUMBER(P199),P199,0))</f>
        <v>0</v>
      </c>
      <c r="R198" s="193">
        <f t="shared" ref="R198" ca="1" si="1032">IF($B200,0,R199-IF(ISNUMBER(Q199),Q199,0))</f>
        <v>0</v>
      </c>
      <c r="S198" s="193">
        <f t="shared" ref="S198" ca="1" si="1033">IF($B200,0,S199-IF(ISNUMBER(R199),R199,0))</f>
        <v>0</v>
      </c>
      <c r="T198" s="193">
        <v>0.25</v>
      </c>
      <c r="U198" s="193">
        <v>0.25</v>
      </c>
      <c r="V198" s="193">
        <v>0.25</v>
      </c>
      <c r="W198" s="194">
        <v>0.25</v>
      </c>
      <c r="X198" s="163"/>
      <c r="AC198" s="188">
        <f t="shared" ref="AC198" ca="1" si="1034">IF($B200,0,AC199-IF(ISNUMBER(AB199),AB199,0))</f>
        <v>0</v>
      </c>
    </row>
    <row r="199" spans="1:29" customFormat="1" ht="13.8" x14ac:dyDescent="0.25">
      <c r="A199" s="11"/>
      <c r="B199" s="11"/>
      <c r="C199" s="11"/>
      <c r="D199" s="11"/>
      <c r="E199" s="11"/>
      <c r="F199" s="11"/>
      <c r="G199" s="11"/>
      <c r="H199" s="11"/>
      <c r="I199" s="11"/>
      <c r="J199" s="11"/>
      <c r="K199" s="11"/>
      <c r="L199" s="344"/>
      <c r="M199" s="338"/>
      <c r="N199" s="336"/>
      <c r="O199" s="145" t="s">
        <v>145</v>
      </c>
      <c r="P199" s="165">
        <f t="shared" ref="P199" ca="1" si="1035">MIN(IF($B200,P198+IF(ISNUMBER(O199),O199,0),P200/$N198),1)</f>
        <v>0</v>
      </c>
      <c r="Q199" s="143">
        <f t="shared" ref="Q199" ca="1" si="1036">MIN(IF($B200,Q198+IF(ISNUMBER(P199),P199,0),Q200/$N198),1)</f>
        <v>0</v>
      </c>
      <c r="R199" s="143">
        <f t="shared" ref="R199" ca="1" si="1037">MIN(IF($B200,R198+IF(ISNUMBER(Q199),Q199,0),R200/$N198),1)</f>
        <v>0</v>
      </c>
      <c r="S199" s="143">
        <f t="shared" ref="S199" ca="1" si="1038">MIN(IF($B200,S198+IF(ISNUMBER(R199),R199,0),S200/$N198),1)</f>
        <v>0</v>
      </c>
      <c r="T199" s="143">
        <f t="shared" ref="T199" ca="1" si="1039">MIN(IF($B200,T198+IF(ISNUMBER(S199),S199,0),T200/$N198),1)</f>
        <v>0.25</v>
      </c>
      <c r="U199" s="143">
        <f t="shared" ref="U199" ca="1" si="1040">MIN(IF($B200,U198+IF(ISNUMBER(T199),T199,0),U200/$N198),1)</f>
        <v>0.5</v>
      </c>
      <c r="V199" s="143">
        <f t="shared" ref="V199" ca="1" si="1041">MIN(IF($B200,V198+IF(ISNUMBER(U199),U199,0),V200/$N198),1)</f>
        <v>0.75</v>
      </c>
      <c r="W199" s="143">
        <f t="shared" ref="W199" ca="1" si="1042">MIN(IF($B200,W198+IF(ISNUMBER(V199),V199,0),W200/$N198),1)</f>
        <v>1</v>
      </c>
      <c r="X199" s="163"/>
      <c r="AC199" s="143">
        <f t="shared" ref="AC199" ca="1" si="1043">MIN(IF($B200,AC198+IF(ISNUMBER(AB199),AB199,0),AC200/$N198),1)</f>
        <v>0</v>
      </c>
    </row>
    <row r="200" spans="1:29" customFormat="1" ht="13.8" x14ac:dyDescent="0.25">
      <c r="A200" s="11">
        <f ca="1">OFFSET(A200,-CFF.NumLinha,0)+1</f>
        <v>61</v>
      </c>
      <c r="B200" s="11" t="b">
        <f ca="1">$C200&gt;=OFFSET($C200,CFF.NumLinha,0)</f>
        <v>1</v>
      </c>
      <c r="C200" s="11">
        <f ca="1">INDEX(PO!A$12:A$603,MATCH($A200,PO!$V$12:$V$603,0))</f>
        <v>2</v>
      </c>
      <c r="D200" s="11">
        <f t="shared" ref="D200:D239" ca="1" si="1044">IF(ISERROR(J200),I200,SMALL(I200:J200,1))-1</f>
        <v>2</v>
      </c>
      <c r="E200" s="11">
        <f ca="1">IF($C200=1,OFFSET(E200,-CFF.NumLinha,0)+1,OFFSET(E200,-CFF.NumLinha,0))</f>
        <v>17</v>
      </c>
      <c r="F200" s="11">
        <f ca="1">IF($C200=1,0,IF($C200=2,OFFSET(F200,-CFF.NumLinha,0)+1,OFFSET(F200,-CFF.NumLinha,0)))</f>
        <v>4</v>
      </c>
      <c r="G200" s="11">
        <f ca="1">IF(AND($C200&lt;=2,$C200&lt;&gt;0),0,IF($C200=3,OFFSET(G200,-CFF.NumLinha,0)+1,OFFSET(G200,-CFF.NumLinha,0)))</f>
        <v>0</v>
      </c>
      <c r="H200" s="11">
        <f ca="1">IF(AND($C200&lt;=3,$C200&lt;&gt;0),0,IF($C200=4,OFFSET(H200,-CFF.NumLinha,0)+1,OFFSET(H200,-CFF.NumLinha,0)))</f>
        <v>0</v>
      </c>
      <c r="I200" s="11">
        <f ca="1">MATCH(0,OFFSET($D200,1,$C200,ROW($A$303)-ROW($A200)),0)</f>
        <v>6</v>
      </c>
      <c r="J200" s="11">
        <f ca="1">MATCH(OFFSET($D200,0,$C200)+1,OFFSET($D200,1,$C200,ROW($A$303)-ROW($A200)),0)</f>
        <v>3</v>
      </c>
      <c r="K200" s="156">
        <f ca="1">ROUND(INDEX(PO!T$12:T$603,MATCH($A200,PO!$V$12:$V$603,0)),2)+10^-12</f>
        <v>9.9999999999999998E-13</v>
      </c>
      <c r="L200" s="344"/>
      <c r="M200" s="338"/>
      <c r="N200" s="336"/>
      <c r="O200" s="171" t="s">
        <v>20</v>
      </c>
      <c r="P200" s="166">
        <f t="shared" ref="P200:W200" ca="1" si="1045">IF($B200,ROUND(P199*$N198,2),ROUND(SUMIF(OFFSET($B200,1,0,$D200),TRUE,OFFSET(P200,1,0,$D200))/SUMIF(OFFSET($B200,1,0,$D200),TRUE,OFFSET($K200,1,0,$D200))*$N198,2))</f>
        <v>0</v>
      </c>
      <c r="Q200" s="144">
        <f t="shared" ca="1" si="1045"/>
        <v>0</v>
      </c>
      <c r="R200" s="144">
        <f t="shared" ca="1" si="1045"/>
        <v>0</v>
      </c>
      <c r="S200" s="144">
        <f t="shared" ca="1" si="1045"/>
        <v>0</v>
      </c>
      <c r="T200" s="144">
        <f t="shared" ca="1" si="1045"/>
        <v>0</v>
      </c>
      <c r="U200" s="144">
        <f t="shared" ca="1" si="1045"/>
        <v>0</v>
      </c>
      <c r="V200" s="144">
        <f t="shared" ca="1" si="1045"/>
        <v>0</v>
      </c>
      <c r="W200" s="174">
        <f t="shared" ca="1" si="1045"/>
        <v>0</v>
      </c>
      <c r="X200" s="163"/>
      <c r="AC200" s="144">
        <f t="shared" ref="AC200" ca="1" si="1046">IF($B200,ROUND(AC199*$N198,2),ROUND(SUMIF(OFFSET($B200,1,0,$D200),TRUE,OFFSET(AC200,1,0,$D200))/SUMIF(OFFSET($B200,1,0,$D200),TRUE,OFFSET($K200,1,0,$D200))*$N198,2))</f>
        <v>0</v>
      </c>
    </row>
    <row r="201" spans="1:29" customFormat="1" ht="14.25" customHeight="1" x14ac:dyDescent="0.25">
      <c r="A201" s="1"/>
      <c r="B201" s="1"/>
      <c r="C201" s="1"/>
      <c r="D201" s="1"/>
      <c r="E201" s="1"/>
      <c r="F201" s="1"/>
      <c r="G201" s="1"/>
      <c r="H201" s="1"/>
      <c r="I201" s="1"/>
      <c r="J201" s="1"/>
      <c r="K201" s="1"/>
      <c r="L201" s="343" t="str">
        <f ca="1">INDEX(PO!K$12:K$603,MATCH($A203,PO!$V$12:$V$603,0))</f>
        <v>17.5.</v>
      </c>
      <c r="M201" s="337" t="str">
        <f ca="1">INDEX(PO!N$12:N$603,MATCH($A203,PO!$V$12:$V$603,0))</f>
        <v>SINALIZAÇÕES</v>
      </c>
      <c r="N201" s="335">
        <f t="shared" ref="N201" ca="1" si="1047">IF(ROUND(K203,2)=0,K203,ROUND(K203,2))</f>
        <v>9.9999999999999998E-13</v>
      </c>
      <c r="O201" s="187" t="s">
        <v>143</v>
      </c>
      <c r="P201" s="192">
        <f t="shared" ref="P201" ca="1" si="1048">IF($B203,0,P202-IF(ISNUMBER(O202),O202,0))</f>
        <v>0</v>
      </c>
      <c r="Q201" s="193">
        <f t="shared" ref="Q201" ca="1" si="1049">IF($B203,0,Q202-IF(ISNUMBER(P202),P202,0))</f>
        <v>0</v>
      </c>
      <c r="R201" s="193">
        <f t="shared" ref="R201" ca="1" si="1050">IF($B203,0,R202-IF(ISNUMBER(Q202),Q202,0))</f>
        <v>0</v>
      </c>
      <c r="S201" s="193">
        <f t="shared" ref="S201" ca="1" si="1051">IF($B203,0,S202-IF(ISNUMBER(R202),R202,0))</f>
        <v>0</v>
      </c>
      <c r="T201" s="193">
        <v>0.25</v>
      </c>
      <c r="U201" s="193">
        <v>0.25</v>
      </c>
      <c r="V201" s="193">
        <v>0.25</v>
      </c>
      <c r="W201" s="194">
        <v>0.25</v>
      </c>
      <c r="X201" s="163"/>
      <c r="AC201" s="188">
        <f t="shared" ref="AC201" ca="1" si="1052">IF($B203,0,AC202-IF(ISNUMBER(AB202),AB202,0))</f>
        <v>0</v>
      </c>
    </row>
    <row r="202" spans="1:29" customFormat="1" ht="13.8" x14ac:dyDescent="0.25">
      <c r="A202" s="11"/>
      <c r="B202" s="11"/>
      <c r="C202" s="11"/>
      <c r="D202" s="11"/>
      <c r="E202" s="11"/>
      <c r="F202" s="11"/>
      <c r="G202" s="11"/>
      <c r="H202" s="11"/>
      <c r="I202" s="11"/>
      <c r="J202" s="11"/>
      <c r="K202" s="11"/>
      <c r="L202" s="344"/>
      <c r="M202" s="338"/>
      <c r="N202" s="336"/>
      <c r="O202" s="145" t="s">
        <v>145</v>
      </c>
      <c r="P202" s="165">
        <f t="shared" ref="P202" ca="1" si="1053">MIN(IF($B203,P201+IF(ISNUMBER(O202),O202,0),P203/$N201),1)</f>
        <v>0</v>
      </c>
      <c r="Q202" s="143">
        <f t="shared" ref="Q202" ca="1" si="1054">MIN(IF($B203,Q201+IF(ISNUMBER(P202),P202,0),Q203/$N201),1)</f>
        <v>0</v>
      </c>
      <c r="R202" s="143">
        <f t="shared" ref="R202" ca="1" si="1055">MIN(IF($B203,R201+IF(ISNUMBER(Q202),Q202,0),R203/$N201),1)</f>
        <v>0</v>
      </c>
      <c r="S202" s="143">
        <f t="shared" ref="S202" ca="1" si="1056">MIN(IF($B203,S201+IF(ISNUMBER(R202),R202,0),S203/$N201),1)</f>
        <v>0</v>
      </c>
      <c r="T202" s="143">
        <f t="shared" ref="T202" ca="1" si="1057">MIN(IF($B203,T201+IF(ISNUMBER(S202),S202,0),T203/$N201),1)</f>
        <v>0.25</v>
      </c>
      <c r="U202" s="143">
        <f t="shared" ref="U202" ca="1" si="1058">MIN(IF($B203,U201+IF(ISNUMBER(T202),T202,0),U203/$N201),1)</f>
        <v>0.5</v>
      </c>
      <c r="V202" s="143">
        <f t="shared" ref="V202" ca="1" si="1059">MIN(IF($B203,V201+IF(ISNUMBER(U202),U202,0),V203/$N201),1)</f>
        <v>0.75</v>
      </c>
      <c r="W202" s="143">
        <f t="shared" ref="W202" ca="1" si="1060">MIN(IF($B203,W201+IF(ISNUMBER(V202),V202,0),W203/$N201),1)</f>
        <v>1</v>
      </c>
      <c r="X202" s="163"/>
      <c r="AC202" s="143">
        <f t="shared" ref="AC202" ca="1" si="1061">MIN(IF($B203,AC201+IF(ISNUMBER(AB202),AB202,0),AC203/$N201),1)</f>
        <v>0</v>
      </c>
    </row>
    <row r="203" spans="1:29" customFormat="1" ht="13.8" x14ac:dyDescent="0.25">
      <c r="A203" s="11">
        <f ca="1">OFFSET(A203,-CFF.NumLinha,0)+1</f>
        <v>62</v>
      </c>
      <c r="B203" s="11" t="b">
        <f ca="1">$C203&gt;=OFFSET($C203,CFF.NumLinha,0)</f>
        <v>1</v>
      </c>
      <c r="C203" s="11">
        <f ca="1">INDEX(PO!A$12:A$603,MATCH($A203,PO!$V$12:$V$603,0))</f>
        <v>2</v>
      </c>
      <c r="D203" s="11">
        <f t="shared" ref="D203:D239" ca="1" si="1062">IF(ISERROR(J203),I203,SMALL(I203:J203,1))-1</f>
        <v>2</v>
      </c>
      <c r="E203" s="11">
        <f ca="1">IF($C203=1,OFFSET(E203,-CFF.NumLinha,0)+1,OFFSET(E203,-CFF.NumLinha,0))</f>
        <v>17</v>
      </c>
      <c r="F203" s="11">
        <f ca="1">IF($C203=1,0,IF($C203=2,OFFSET(F203,-CFF.NumLinha,0)+1,OFFSET(F203,-CFF.NumLinha,0)))</f>
        <v>5</v>
      </c>
      <c r="G203" s="11">
        <f ca="1">IF(AND($C203&lt;=2,$C203&lt;&gt;0),0,IF($C203=3,OFFSET(G203,-CFF.NumLinha,0)+1,OFFSET(G203,-CFF.NumLinha,0)))</f>
        <v>0</v>
      </c>
      <c r="H203" s="11">
        <f ca="1">IF(AND($C203&lt;=3,$C203&lt;&gt;0),0,IF($C203=4,OFFSET(H203,-CFF.NumLinha,0)+1,OFFSET(H203,-CFF.NumLinha,0)))</f>
        <v>0</v>
      </c>
      <c r="I203" s="11">
        <f ca="1">MATCH(0,OFFSET($D203,1,$C203,ROW($A$303)-ROW($A203)),0)</f>
        <v>3</v>
      </c>
      <c r="J203" s="11">
        <f ca="1">MATCH(OFFSET($D203,0,$C203)+1,OFFSET($D203,1,$C203,ROW($A$303)-ROW($A203)),0)</f>
        <v>21</v>
      </c>
      <c r="K203" s="156">
        <f ca="1">ROUND(INDEX(PO!T$12:T$603,MATCH($A203,PO!$V$12:$V$603,0)),2)+10^-12</f>
        <v>9.9999999999999998E-13</v>
      </c>
      <c r="L203" s="344"/>
      <c r="M203" s="338"/>
      <c r="N203" s="336"/>
      <c r="O203" s="171" t="s">
        <v>20</v>
      </c>
      <c r="P203" s="166">
        <f t="shared" ref="P203:W203" ca="1" si="1063">IF($B203,ROUND(P202*$N201,2),ROUND(SUMIF(OFFSET($B203,1,0,$D203),TRUE,OFFSET(P203,1,0,$D203))/SUMIF(OFFSET($B203,1,0,$D203),TRUE,OFFSET($K203,1,0,$D203))*$N201,2))</f>
        <v>0</v>
      </c>
      <c r="Q203" s="144">
        <f t="shared" ca="1" si="1063"/>
        <v>0</v>
      </c>
      <c r="R203" s="144">
        <f t="shared" ca="1" si="1063"/>
        <v>0</v>
      </c>
      <c r="S203" s="144">
        <f t="shared" ca="1" si="1063"/>
        <v>0</v>
      </c>
      <c r="T203" s="144">
        <f t="shared" ca="1" si="1063"/>
        <v>0</v>
      </c>
      <c r="U203" s="144">
        <f t="shared" ca="1" si="1063"/>
        <v>0</v>
      </c>
      <c r="V203" s="144">
        <f t="shared" ca="1" si="1063"/>
        <v>0</v>
      </c>
      <c r="W203" s="174">
        <f t="shared" ca="1" si="1063"/>
        <v>0</v>
      </c>
      <c r="X203" s="163"/>
      <c r="AC203" s="144">
        <f t="shared" ref="AC203" ca="1" si="1064">IF($B203,ROUND(AC202*$N201,2),ROUND(SUMIF(OFFSET($B203,1,0,$D203),TRUE,OFFSET(AC203,1,0,$D203))/SUMIF(OFFSET($B203,1,0,$D203),TRUE,OFFSET($K203,1,0,$D203))*$N201,2))</f>
        <v>0</v>
      </c>
    </row>
    <row r="204" spans="1:29" customFormat="1" ht="14.25" customHeight="1" x14ac:dyDescent="0.25">
      <c r="A204" s="1"/>
      <c r="B204" s="1"/>
      <c r="C204" s="1"/>
      <c r="D204" s="1"/>
      <c r="E204" s="1"/>
      <c r="F204" s="1"/>
      <c r="G204" s="1"/>
      <c r="H204" s="1"/>
      <c r="I204" s="1"/>
      <c r="J204" s="1"/>
      <c r="K204" s="1"/>
      <c r="L204" s="343" t="str">
        <f ca="1">INDEX(PO!K$12:K$603,MATCH($A206,PO!$V$12:$V$603,0))</f>
        <v>18.</v>
      </c>
      <c r="M204" s="337" t="str">
        <f ca="1">INDEX(PO!N$12:N$603,MATCH($A206,PO!$V$12:$V$603,0))</f>
        <v>INSTALAÇÕES ELÉTRICAS</v>
      </c>
      <c r="N204" s="335">
        <f t="shared" ref="N204" ca="1" si="1065">IF(ROUND(K206,2)=0,K206,ROUND(K206,2))</f>
        <v>9.9999999999999998E-13</v>
      </c>
      <c r="O204" s="187" t="s">
        <v>143</v>
      </c>
      <c r="P204" s="192">
        <f t="shared" ref="P204" ca="1" si="1066">IF($B206,0,P205-IF(ISNUMBER(O205),O205,0))</f>
        <v>0</v>
      </c>
      <c r="Q204" s="193">
        <f t="shared" ref="Q204" ca="1" si="1067">IF($B206,0,Q205-IF(ISNUMBER(P205),P205,0))</f>
        <v>0</v>
      </c>
      <c r="R204" s="193">
        <f t="shared" ref="R204" ca="1" si="1068">IF($B206,0,R205-IF(ISNUMBER(Q205),Q205,0))</f>
        <v>0</v>
      </c>
      <c r="S204" s="193">
        <f t="shared" ref="S204" ca="1" si="1069">IF($B206,0,S205-IF(ISNUMBER(R205),R205,0))</f>
        <v>0</v>
      </c>
      <c r="T204" s="193">
        <f t="shared" ref="T204" ca="1" si="1070">IF($B206,0,T205-IF(ISNUMBER(S205),S205,0))</f>
        <v>0</v>
      </c>
      <c r="U204" s="193">
        <f t="shared" ref="U204" ca="1" si="1071">IF($B206,0,U205-IF(ISNUMBER(T205),T205,0))</f>
        <v>0</v>
      </c>
      <c r="V204" s="193">
        <f t="shared" ref="V204" ca="1" si="1072">IF($B206,0,V205-IF(ISNUMBER(U205),U205,0))</f>
        <v>0</v>
      </c>
      <c r="W204" s="194">
        <f t="shared" ref="W204" ca="1" si="1073">IF($B206,0,W205-IF(ISNUMBER(V205),V205,0))</f>
        <v>0</v>
      </c>
      <c r="X204" s="163"/>
      <c r="AC204" s="188">
        <f t="shared" ref="AC204" ca="1" si="1074">IF($B206,0,AC205-IF(ISNUMBER(AB205),AB205,0))</f>
        <v>0</v>
      </c>
    </row>
    <row r="205" spans="1:29" customFormat="1" ht="13.8" x14ac:dyDescent="0.25">
      <c r="A205" s="11"/>
      <c r="B205" s="11"/>
      <c r="C205" s="11"/>
      <c r="D205" s="11"/>
      <c r="E205" s="11"/>
      <c r="F205" s="11"/>
      <c r="G205" s="11"/>
      <c r="H205" s="11"/>
      <c r="I205" s="11"/>
      <c r="J205" s="11"/>
      <c r="K205" s="11"/>
      <c r="L205" s="344"/>
      <c r="M205" s="338"/>
      <c r="N205" s="336"/>
      <c r="O205" s="145" t="s">
        <v>145</v>
      </c>
      <c r="P205" s="165">
        <f t="shared" ref="P205" ca="1" si="1075">MIN(IF($B206,P204+IF(ISNUMBER(O205),O205,0),P206/$N204),1)</f>
        <v>0</v>
      </c>
      <c r="Q205" s="143">
        <f t="shared" ref="Q205" ca="1" si="1076">MIN(IF($B206,Q204+IF(ISNUMBER(P205),P205,0),Q206/$N204),1)</f>
        <v>0</v>
      </c>
      <c r="R205" s="143">
        <f t="shared" ref="R205" ca="1" si="1077">MIN(IF($B206,R204+IF(ISNUMBER(Q205),Q205,0),R206/$N204),1)</f>
        <v>0</v>
      </c>
      <c r="S205" s="143">
        <f t="shared" ref="S205" ca="1" si="1078">MIN(IF($B206,S204+IF(ISNUMBER(R205),R205,0),S206/$N204),1)</f>
        <v>0</v>
      </c>
      <c r="T205" s="143">
        <f t="shared" ref="T205" ca="1" si="1079">MIN(IF($B206,T204+IF(ISNUMBER(S205),S205,0),T206/$N204),1)</f>
        <v>0</v>
      </c>
      <c r="U205" s="143">
        <f t="shared" ref="U205" ca="1" si="1080">MIN(IF($B206,U204+IF(ISNUMBER(T205),T205,0),U206/$N204),1)</f>
        <v>0</v>
      </c>
      <c r="V205" s="143">
        <f t="shared" ref="V205" ca="1" si="1081">MIN(IF($B206,V204+IF(ISNUMBER(U205),U205,0),V206/$N204),1)</f>
        <v>0</v>
      </c>
      <c r="W205" s="143">
        <f t="shared" ref="W205" ca="1" si="1082">MIN(IF($B206,W204+IF(ISNUMBER(V205),V205,0),W206/$N204),1)</f>
        <v>0</v>
      </c>
      <c r="X205" s="163"/>
      <c r="AC205" s="143">
        <f t="shared" ref="AC205" ca="1" si="1083">MIN(IF($B206,AC204+IF(ISNUMBER(AB205),AB205,0),AC206/$N204),1)</f>
        <v>0</v>
      </c>
    </row>
    <row r="206" spans="1:29" customFormat="1" ht="13.8" x14ac:dyDescent="0.25">
      <c r="A206" s="11">
        <f ca="1">OFFSET(A206,-CFF.NumLinha,0)+1</f>
        <v>63</v>
      </c>
      <c r="B206" s="11" t="b">
        <f ca="1">$C206&gt;=OFFSET($C206,CFF.NumLinha,0)</f>
        <v>0</v>
      </c>
      <c r="C206" s="11">
        <f ca="1">INDEX(PO!A$12:A$603,MATCH($A206,PO!$V$12:$V$603,0))</f>
        <v>1</v>
      </c>
      <c r="D206" s="11">
        <f t="shared" ref="D206:D239" ca="1" si="1084">IF(ISERROR(J206),I206,SMALL(I206:J206,1))-1</f>
        <v>20</v>
      </c>
      <c r="E206" s="11">
        <f ca="1">IF($C206=1,OFFSET(E206,-CFF.NumLinha,0)+1,OFFSET(E206,-CFF.NumLinha,0))</f>
        <v>18</v>
      </c>
      <c r="F206" s="11">
        <f ca="1">IF($C206=1,0,IF($C206=2,OFFSET(F206,-CFF.NumLinha,0)+1,OFFSET(F206,-CFF.NumLinha,0)))</f>
        <v>0</v>
      </c>
      <c r="G206" s="11">
        <f ca="1">IF(AND($C206&lt;=2,$C206&lt;&gt;0),0,IF($C206=3,OFFSET(G206,-CFF.NumLinha,0)+1,OFFSET(G206,-CFF.NumLinha,0)))</f>
        <v>0</v>
      </c>
      <c r="H206" s="11">
        <f ca="1">IF(AND($C206&lt;=3,$C206&lt;&gt;0),0,IF($C206=4,OFFSET(H206,-CFF.NumLinha,0)+1,OFFSET(H206,-CFF.NumLinha,0)))</f>
        <v>0</v>
      </c>
      <c r="I206" s="11">
        <f ca="1">MATCH(0,OFFSET($D206,1,$C206,ROW($A$303)-ROW($A206)),0)</f>
        <v>97</v>
      </c>
      <c r="J206" s="11">
        <f ca="1">MATCH(OFFSET($D206,0,$C206)+1,OFFSET($D206,1,$C206,ROW($A$303)-ROW($A206)),0)</f>
        <v>21</v>
      </c>
      <c r="K206" s="156">
        <f ca="1">ROUND(INDEX(PO!T$12:T$603,MATCH($A206,PO!$V$12:$V$603,0)),2)+10^-12</f>
        <v>9.9999999999999998E-13</v>
      </c>
      <c r="L206" s="344"/>
      <c r="M206" s="338"/>
      <c r="N206" s="336"/>
      <c r="O206" s="171" t="s">
        <v>20</v>
      </c>
      <c r="P206" s="166">
        <f t="shared" ref="P206:W206" ca="1" si="1085">IF($B206,ROUND(P205*$N204,2),ROUND(SUMIF(OFFSET($B206,1,0,$D206),TRUE,OFFSET(P206,1,0,$D206))/SUMIF(OFFSET($B206,1,0,$D206),TRUE,OFFSET($K206,1,0,$D206))*$N204,2))</f>
        <v>0</v>
      </c>
      <c r="Q206" s="144">
        <f t="shared" ca="1" si="1085"/>
        <v>0</v>
      </c>
      <c r="R206" s="144">
        <f t="shared" ca="1" si="1085"/>
        <v>0</v>
      </c>
      <c r="S206" s="144">
        <f t="shared" ca="1" si="1085"/>
        <v>0</v>
      </c>
      <c r="T206" s="144">
        <f t="shared" ca="1" si="1085"/>
        <v>0</v>
      </c>
      <c r="U206" s="144">
        <f t="shared" ca="1" si="1085"/>
        <v>0</v>
      </c>
      <c r="V206" s="144">
        <f t="shared" ca="1" si="1085"/>
        <v>0</v>
      </c>
      <c r="W206" s="174">
        <f t="shared" ca="1" si="1085"/>
        <v>0</v>
      </c>
      <c r="X206" s="163"/>
      <c r="AC206" s="144">
        <f t="shared" ref="AC206" ca="1" si="1086">IF($B206,ROUND(AC205*$N204,2),ROUND(SUMIF(OFFSET($B206,1,0,$D206),TRUE,OFFSET(AC206,1,0,$D206))/SUMIF(OFFSET($B206,1,0,$D206),TRUE,OFFSET($K206,1,0,$D206))*$N204,2))</f>
        <v>0</v>
      </c>
    </row>
    <row r="207" spans="1:29" customFormat="1" ht="14.25" customHeight="1" x14ac:dyDescent="0.25">
      <c r="A207" s="1"/>
      <c r="B207" s="1"/>
      <c r="C207" s="1"/>
      <c r="D207" s="1"/>
      <c r="E207" s="1"/>
      <c r="F207" s="1"/>
      <c r="G207" s="1"/>
      <c r="H207" s="1"/>
      <c r="I207" s="1"/>
      <c r="J207" s="1"/>
      <c r="K207" s="1"/>
      <c r="L207" s="343" t="str">
        <f ca="1">INDEX(PO!K$12:K$603,MATCH($A209,PO!$V$12:$V$603,0))</f>
        <v>18.1.</v>
      </c>
      <c r="M207" s="337" t="str">
        <f ca="1">INDEX(PO!N$12:N$603,MATCH($A209,PO!$V$12:$V$603,0))</f>
        <v>QUADROS</v>
      </c>
      <c r="N207" s="335">
        <f t="shared" ref="N207" ca="1" si="1087">IF(ROUND(K209,2)=0,K209,ROUND(K209,2))</f>
        <v>9.9999999999999998E-13</v>
      </c>
      <c r="O207" s="187" t="s">
        <v>143</v>
      </c>
      <c r="P207" s="192">
        <f t="shared" ref="P207" ca="1" si="1088">IF($B209,0,P208-IF(ISNUMBER(O208),O208,0))</f>
        <v>0</v>
      </c>
      <c r="Q207" s="193">
        <f t="shared" ref="Q207" ca="1" si="1089">IF($B209,0,Q208-IF(ISNUMBER(P208),P208,0))</f>
        <v>0</v>
      </c>
      <c r="R207" s="193">
        <f t="shared" ref="R207" ca="1" si="1090">IF($B209,0,R208-IF(ISNUMBER(Q208),Q208,0))</f>
        <v>0</v>
      </c>
      <c r="S207" s="193">
        <f t="shared" ref="S207" ca="1" si="1091">IF($B209,0,S208-IF(ISNUMBER(R208),R208,0))</f>
        <v>0</v>
      </c>
      <c r="T207" s="193">
        <v>0.25</v>
      </c>
      <c r="U207" s="193">
        <v>0.25</v>
      </c>
      <c r="V207" s="193">
        <v>0.25</v>
      </c>
      <c r="W207" s="194">
        <v>0.25</v>
      </c>
      <c r="X207" s="163"/>
      <c r="AC207" s="188">
        <f t="shared" ref="AC207" ca="1" si="1092">IF($B209,0,AC208-IF(ISNUMBER(AB208),AB208,0))</f>
        <v>0</v>
      </c>
    </row>
    <row r="208" spans="1:29" customFormat="1" ht="13.8" x14ac:dyDescent="0.25">
      <c r="A208" s="11"/>
      <c r="B208" s="11"/>
      <c r="C208" s="11"/>
      <c r="D208" s="11"/>
      <c r="E208" s="11"/>
      <c r="F208" s="11"/>
      <c r="G208" s="11"/>
      <c r="H208" s="11"/>
      <c r="I208" s="11"/>
      <c r="J208" s="11"/>
      <c r="K208" s="11"/>
      <c r="L208" s="344"/>
      <c r="M208" s="338"/>
      <c r="N208" s="336"/>
      <c r="O208" s="145" t="s">
        <v>145</v>
      </c>
      <c r="P208" s="165">
        <f t="shared" ref="P208" ca="1" si="1093">MIN(IF($B209,P207+IF(ISNUMBER(O208),O208,0),P209/$N207),1)</f>
        <v>0</v>
      </c>
      <c r="Q208" s="143">
        <f t="shared" ref="Q208" ca="1" si="1094">MIN(IF($B209,Q207+IF(ISNUMBER(P208),P208,0),Q209/$N207),1)</f>
        <v>0</v>
      </c>
      <c r="R208" s="143">
        <f t="shared" ref="R208" ca="1" si="1095">MIN(IF($B209,R207+IF(ISNUMBER(Q208),Q208,0),R209/$N207),1)</f>
        <v>0</v>
      </c>
      <c r="S208" s="143">
        <f t="shared" ref="S208" ca="1" si="1096">MIN(IF($B209,S207+IF(ISNUMBER(R208),R208,0),S209/$N207),1)</f>
        <v>0</v>
      </c>
      <c r="T208" s="143">
        <f t="shared" ref="T208" ca="1" si="1097">MIN(IF($B209,T207+IF(ISNUMBER(S208),S208,0),T209/$N207),1)</f>
        <v>0.25</v>
      </c>
      <c r="U208" s="143">
        <f t="shared" ref="U208" ca="1" si="1098">MIN(IF($B209,U207+IF(ISNUMBER(T208),T208,0),U209/$N207),1)</f>
        <v>0.5</v>
      </c>
      <c r="V208" s="143">
        <f t="shared" ref="V208" ca="1" si="1099">MIN(IF($B209,V207+IF(ISNUMBER(U208),U208,0),V209/$N207),1)</f>
        <v>0.75</v>
      </c>
      <c r="W208" s="143">
        <f t="shared" ref="W208" ca="1" si="1100">MIN(IF($B209,W207+IF(ISNUMBER(V208),V208,0),W209/$N207),1)</f>
        <v>1</v>
      </c>
      <c r="X208" s="163"/>
      <c r="AC208" s="143">
        <f t="shared" ref="AC208" ca="1" si="1101">MIN(IF($B209,AC207+IF(ISNUMBER(AB208),AB208,0),AC209/$N207),1)</f>
        <v>0</v>
      </c>
    </row>
    <row r="209" spans="1:29" customFormat="1" ht="13.8" x14ac:dyDescent="0.25">
      <c r="A209" s="11">
        <f ca="1">OFFSET(A209,-CFF.NumLinha,0)+1</f>
        <v>64</v>
      </c>
      <c r="B209" s="11" t="b">
        <f ca="1">$C209&gt;=OFFSET($C209,CFF.NumLinha,0)</f>
        <v>1</v>
      </c>
      <c r="C209" s="11">
        <f ca="1">INDEX(PO!A$12:A$603,MATCH($A209,PO!$V$12:$V$603,0))</f>
        <v>2</v>
      </c>
      <c r="D209" s="11">
        <f t="shared" ref="D209:D239" ca="1" si="1102">IF(ISERROR(J209),I209,SMALL(I209:J209,1))-1</f>
        <v>2</v>
      </c>
      <c r="E209" s="11">
        <f ca="1">IF($C209=1,OFFSET(E209,-CFF.NumLinha,0)+1,OFFSET(E209,-CFF.NumLinha,0))</f>
        <v>18</v>
      </c>
      <c r="F209" s="11">
        <f ca="1">IF($C209=1,0,IF($C209=2,OFFSET(F209,-CFF.NumLinha,0)+1,OFFSET(F209,-CFF.NumLinha,0)))</f>
        <v>1</v>
      </c>
      <c r="G209" s="11">
        <f ca="1">IF(AND($C209&lt;=2,$C209&lt;&gt;0),0,IF($C209=3,OFFSET(G209,-CFF.NumLinha,0)+1,OFFSET(G209,-CFF.NumLinha,0)))</f>
        <v>0</v>
      </c>
      <c r="H209" s="11">
        <f ca="1">IF(AND($C209&lt;=3,$C209&lt;&gt;0),0,IF($C209=4,OFFSET(H209,-CFF.NumLinha,0)+1,OFFSET(H209,-CFF.NumLinha,0)))</f>
        <v>0</v>
      </c>
      <c r="I209" s="11">
        <f ca="1">MATCH(0,OFFSET($D209,1,$C209,ROW($A$303)-ROW($A209)),0)</f>
        <v>18</v>
      </c>
      <c r="J209" s="11">
        <f ca="1">MATCH(OFFSET($D209,0,$C209)+1,OFFSET($D209,1,$C209,ROW($A$303)-ROW($A209)),0)</f>
        <v>3</v>
      </c>
      <c r="K209" s="156">
        <f ca="1">ROUND(INDEX(PO!T$12:T$603,MATCH($A209,PO!$V$12:$V$603,0)),2)+10^-12</f>
        <v>9.9999999999999998E-13</v>
      </c>
      <c r="L209" s="344"/>
      <c r="M209" s="338"/>
      <c r="N209" s="336"/>
      <c r="O209" s="171" t="s">
        <v>20</v>
      </c>
      <c r="P209" s="166">
        <f t="shared" ref="P209:W209" ca="1" si="1103">IF($B209,ROUND(P208*$N207,2),ROUND(SUMIF(OFFSET($B209,1,0,$D209),TRUE,OFFSET(P209,1,0,$D209))/SUMIF(OFFSET($B209,1,0,$D209),TRUE,OFFSET($K209,1,0,$D209))*$N207,2))</f>
        <v>0</v>
      </c>
      <c r="Q209" s="144">
        <f t="shared" ca="1" si="1103"/>
        <v>0</v>
      </c>
      <c r="R209" s="144">
        <f t="shared" ca="1" si="1103"/>
        <v>0</v>
      </c>
      <c r="S209" s="144">
        <f t="shared" ca="1" si="1103"/>
        <v>0</v>
      </c>
      <c r="T209" s="144">
        <f t="shared" ca="1" si="1103"/>
        <v>0</v>
      </c>
      <c r="U209" s="144">
        <f t="shared" ca="1" si="1103"/>
        <v>0</v>
      </c>
      <c r="V209" s="144">
        <f t="shared" ca="1" si="1103"/>
        <v>0</v>
      </c>
      <c r="W209" s="174">
        <f t="shared" ca="1" si="1103"/>
        <v>0</v>
      </c>
      <c r="X209" s="163"/>
      <c r="AC209" s="144">
        <f t="shared" ref="AC209" ca="1" si="1104">IF($B209,ROUND(AC208*$N207,2),ROUND(SUMIF(OFFSET($B209,1,0,$D209),TRUE,OFFSET(AC209,1,0,$D209))/SUMIF(OFFSET($B209,1,0,$D209),TRUE,OFFSET($K209,1,0,$D209))*$N207,2))</f>
        <v>0</v>
      </c>
    </row>
    <row r="210" spans="1:29" customFormat="1" ht="14.25" customHeight="1" x14ac:dyDescent="0.25">
      <c r="A210" s="1"/>
      <c r="B210" s="1"/>
      <c r="C210" s="1"/>
      <c r="D210" s="1"/>
      <c r="E210" s="1"/>
      <c r="F210" s="1"/>
      <c r="G210" s="1"/>
      <c r="H210" s="1"/>
      <c r="I210" s="1"/>
      <c r="J210" s="1"/>
      <c r="K210" s="1"/>
      <c r="L210" s="343" t="str">
        <f ca="1">INDEX(PO!K$12:K$603,MATCH($A212,PO!$V$12:$V$603,0))</f>
        <v>18.2.</v>
      </c>
      <c r="M210" s="337" t="str">
        <f ca="1">INDEX(PO!N$12:N$603,MATCH($A212,PO!$V$12:$V$603,0))</f>
        <v>DISJUNTORES</v>
      </c>
      <c r="N210" s="335">
        <f t="shared" ref="N210" ca="1" si="1105">IF(ROUND(K212,2)=0,K212,ROUND(K212,2))</f>
        <v>9.9999999999999998E-13</v>
      </c>
      <c r="O210" s="187" t="s">
        <v>143</v>
      </c>
      <c r="P210" s="192">
        <f t="shared" ref="P210" ca="1" si="1106">IF($B212,0,P211-IF(ISNUMBER(O211),O211,0))</f>
        <v>0</v>
      </c>
      <c r="Q210" s="193">
        <f t="shared" ref="Q210" ca="1" si="1107">IF($B212,0,Q211-IF(ISNUMBER(P211),P211,0))</f>
        <v>0</v>
      </c>
      <c r="R210" s="193">
        <f t="shared" ref="R210" ca="1" si="1108">IF($B212,0,R211-IF(ISNUMBER(Q211),Q211,0))</f>
        <v>0</v>
      </c>
      <c r="S210" s="193">
        <f t="shared" ref="S210" ca="1" si="1109">IF($B212,0,S211-IF(ISNUMBER(R211),R211,0))</f>
        <v>0</v>
      </c>
      <c r="T210" s="193">
        <v>0.25</v>
      </c>
      <c r="U210" s="193">
        <v>0.25</v>
      </c>
      <c r="V210" s="193">
        <v>0.25</v>
      </c>
      <c r="W210" s="194">
        <v>0.25</v>
      </c>
      <c r="X210" s="163"/>
      <c r="AC210" s="188">
        <f t="shared" ref="AC210" ca="1" si="1110">IF($B212,0,AC211-IF(ISNUMBER(AB211),AB211,0))</f>
        <v>0</v>
      </c>
    </row>
    <row r="211" spans="1:29" customFormat="1" ht="13.8" x14ac:dyDescent="0.25">
      <c r="A211" s="11"/>
      <c r="B211" s="11"/>
      <c r="C211" s="11"/>
      <c r="D211" s="11"/>
      <c r="E211" s="11"/>
      <c r="F211" s="11"/>
      <c r="G211" s="11"/>
      <c r="H211" s="11"/>
      <c r="I211" s="11"/>
      <c r="J211" s="11"/>
      <c r="K211" s="11"/>
      <c r="L211" s="344"/>
      <c r="M211" s="338"/>
      <c r="N211" s="336"/>
      <c r="O211" s="145" t="s">
        <v>145</v>
      </c>
      <c r="P211" s="165">
        <f t="shared" ref="P211" ca="1" si="1111">MIN(IF($B212,P210+IF(ISNUMBER(O211),O211,0),P212/$N210),1)</f>
        <v>0</v>
      </c>
      <c r="Q211" s="143">
        <f t="shared" ref="Q211" ca="1" si="1112">MIN(IF($B212,Q210+IF(ISNUMBER(P211),P211,0),Q212/$N210),1)</f>
        <v>0</v>
      </c>
      <c r="R211" s="143">
        <f t="shared" ref="R211" ca="1" si="1113">MIN(IF($B212,R210+IF(ISNUMBER(Q211),Q211,0),R212/$N210),1)</f>
        <v>0</v>
      </c>
      <c r="S211" s="143">
        <f t="shared" ref="S211" ca="1" si="1114">MIN(IF($B212,S210+IF(ISNUMBER(R211),R211,0),S212/$N210),1)</f>
        <v>0</v>
      </c>
      <c r="T211" s="143">
        <f t="shared" ref="T211" ca="1" si="1115">MIN(IF($B212,T210+IF(ISNUMBER(S211),S211,0),T212/$N210),1)</f>
        <v>0.25</v>
      </c>
      <c r="U211" s="143">
        <f t="shared" ref="U211" ca="1" si="1116">MIN(IF($B212,U210+IF(ISNUMBER(T211),T211,0),U212/$N210),1)</f>
        <v>0.5</v>
      </c>
      <c r="V211" s="143">
        <f t="shared" ref="V211" ca="1" si="1117">MIN(IF($B212,V210+IF(ISNUMBER(U211),U211,0),V212/$N210),1)</f>
        <v>0.75</v>
      </c>
      <c r="W211" s="143">
        <f t="shared" ref="W211" ca="1" si="1118">MIN(IF($B212,W210+IF(ISNUMBER(V211),V211,0),W212/$N210),1)</f>
        <v>1</v>
      </c>
      <c r="X211" s="163"/>
      <c r="AC211" s="143">
        <f t="shared" ref="AC211" ca="1" si="1119">MIN(IF($B212,AC210+IF(ISNUMBER(AB211),AB211,0),AC212/$N210),1)</f>
        <v>0</v>
      </c>
    </row>
    <row r="212" spans="1:29" customFormat="1" ht="13.8" x14ac:dyDescent="0.25">
      <c r="A212" s="11">
        <f ca="1">OFFSET(A212,-CFF.NumLinha,0)+1</f>
        <v>65</v>
      </c>
      <c r="B212" s="11" t="b">
        <f ca="1">$C212&gt;=OFFSET($C212,CFF.NumLinha,0)</f>
        <v>1</v>
      </c>
      <c r="C212" s="11">
        <f ca="1">INDEX(PO!A$12:A$603,MATCH($A212,PO!$V$12:$V$603,0))</f>
        <v>2</v>
      </c>
      <c r="D212" s="11">
        <f t="shared" ref="D212:D239" ca="1" si="1120">IF(ISERROR(J212),I212,SMALL(I212:J212,1))-1</f>
        <v>2</v>
      </c>
      <c r="E212" s="11">
        <f ca="1">IF($C212=1,OFFSET(E212,-CFF.NumLinha,0)+1,OFFSET(E212,-CFF.NumLinha,0))</f>
        <v>18</v>
      </c>
      <c r="F212" s="11">
        <f ca="1">IF($C212=1,0,IF($C212=2,OFFSET(F212,-CFF.NumLinha,0)+1,OFFSET(F212,-CFF.NumLinha,0)))</f>
        <v>2</v>
      </c>
      <c r="G212" s="11">
        <f ca="1">IF(AND($C212&lt;=2,$C212&lt;&gt;0),0,IF($C212=3,OFFSET(G212,-CFF.NumLinha,0)+1,OFFSET(G212,-CFF.NumLinha,0)))</f>
        <v>0</v>
      </c>
      <c r="H212" s="11">
        <f ca="1">IF(AND($C212&lt;=3,$C212&lt;&gt;0),0,IF($C212=4,OFFSET(H212,-CFF.NumLinha,0)+1,OFFSET(H212,-CFF.NumLinha,0)))</f>
        <v>0</v>
      </c>
      <c r="I212" s="11">
        <f ca="1">MATCH(0,OFFSET($D212,1,$C212,ROW($A$303)-ROW($A212)),0)</f>
        <v>15</v>
      </c>
      <c r="J212" s="11">
        <f ca="1">MATCH(OFFSET($D212,0,$C212)+1,OFFSET($D212,1,$C212,ROW($A$303)-ROW($A212)),0)</f>
        <v>3</v>
      </c>
      <c r="K212" s="156">
        <f ca="1">ROUND(INDEX(PO!T$12:T$603,MATCH($A212,PO!$V$12:$V$603,0)),2)+10^-12</f>
        <v>9.9999999999999998E-13</v>
      </c>
      <c r="L212" s="344"/>
      <c r="M212" s="338"/>
      <c r="N212" s="336"/>
      <c r="O212" s="171" t="s">
        <v>20</v>
      </c>
      <c r="P212" s="166">
        <f t="shared" ref="P212:W212" ca="1" si="1121">IF($B212,ROUND(P211*$N210,2),ROUND(SUMIF(OFFSET($B212,1,0,$D212),TRUE,OFFSET(P212,1,0,$D212))/SUMIF(OFFSET($B212,1,0,$D212),TRUE,OFFSET($K212,1,0,$D212))*$N210,2))</f>
        <v>0</v>
      </c>
      <c r="Q212" s="144">
        <f t="shared" ca="1" si="1121"/>
        <v>0</v>
      </c>
      <c r="R212" s="144">
        <f t="shared" ca="1" si="1121"/>
        <v>0</v>
      </c>
      <c r="S212" s="144">
        <f t="shared" ca="1" si="1121"/>
        <v>0</v>
      </c>
      <c r="T212" s="144">
        <f t="shared" ca="1" si="1121"/>
        <v>0</v>
      </c>
      <c r="U212" s="144">
        <f t="shared" ca="1" si="1121"/>
        <v>0</v>
      </c>
      <c r="V212" s="144">
        <f t="shared" ca="1" si="1121"/>
        <v>0</v>
      </c>
      <c r="W212" s="174">
        <f t="shared" ca="1" si="1121"/>
        <v>0</v>
      </c>
      <c r="X212" s="163"/>
      <c r="AC212" s="144">
        <f t="shared" ref="AC212" ca="1" si="1122">IF($B212,ROUND(AC211*$N210,2),ROUND(SUMIF(OFFSET($B212,1,0,$D212),TRUE,OFFSET(AC212,1,0,$D212))/SUMIF(OFFSET($B212,1,0,$D212),TRUE,OFFSET($K212,1,0,$D212))*$N210,2))</f>
        <v>0</v>
      </c>
    </row>
    <row r="213" spans="1:29" customFormat="1" ht="14.25" customHeight="1" x14ac:dyDescent="0.25">
      <c r="A213" s="1"/>
      <c r="B213" s="1"/>
      <c r="C213" s="1"/>
      <c r="D213" s="1"/>
      <c r="E213" s="1"/>
      <c r="F213" s="1"/>
      <c r="G213" s="1"/>
      <c r="H213" s="1"/>
      <c r="I213" s="1"/>
      <c r="J213" s="1"/>
      <c r="K213" s="1"/>
      <c r="L213" s="343" t="str">
        <f ca="1">INDEX(PO!K$12:K$603,MATCH($A215,PO!$V$12:$V$603,0))</f>
        <v>18.3.</v>
      </c>
      <c r="M213" s="337" t="str">
        <f ca="1">INDEX(PO!N$12:N$603,MATCH($A215,PO!$V$12:$V$603,0))</f>
        <v>ELETRODUTOS E ACESSÓRIOS</v>
      </c>
      <c r="N213" s="335">
        <f t="shared" ref="N213" ca="1" si="1123">IF(ROUND(K215,2)=0,K215,ROUND(K215,2))</f>
        <v>9.9999999999999998E-13</v>
      </c>
      <c r="O213" s="187" t="s">
        <v>143</v>
      </c>
      <c r="P213" s="192">
        <f t="shared" ref="P213" ca="1" si="1124">IF($B215,0,P214-IF(ISNUMBER(O214),O214,0))</f>
        <v>0</v>
      </c>
      <c r="Q213" s="193">
        <f t="shared" ref="Q213" ca="1" si="1125">IF($B215,0,Q214-IF(ISNUMBER(P214),P214,0))</f>
        <v>0</v>
      </c>
      <c r="R213" s="193">
        <f t="shared" ref="R213" ca="1" si="1126">IF($B215,0,R214-IF(ISNUMBER(Q214),Q214,0))</f>
        <v>0</v>
      </c>
      <c r="S213" s="193">
        <f t="shared" ref="S213" ca="1" si="1127">IF($B215,0,S214-IF(ISNUMBER(R214),R214,0))</f>
        <v>0</v>
      </c>
      <c r="T213" s="193">
        <v>0.25</v>
      </c>
      <c r="U213" s="193">
        <v>0.25</v>
      </c>
      <c r="V213" s="193">
        <v>0.25</v>
      </c>
      <c r="W213" s="194">
        <v>0.25</v>
      </c>
      <c r="X213" s="163"/>
      <c r="AC213" s="188">
        <f t="shared" ref="AC213" ca="1" si="1128">IF($B215,0,AC214-IF(ISNUMBER(AB214),AB214,0))</f>
        <v>0</v>
      </c>
    </row>
    <row r="214" spans="1:29" customFormat="1" ht="13.8" x14ac:dyDescent="0.25">
      <c r="A214" s="11"/>
      <c r="B214" s="11"/>
      <c r="C214" s="11"/>
      <c r="D214" s="11"/>
      <c r="E214" s="11"/>
      <c r="F214" s="11"/>
      <c r="G214" s="11"/>
      <c r="H214" s="11"/>
      <c r="I214" s="11"/>
      <c r="J214" s="11"/>
      <c r="K214" s="11"/>
      <c r="L214" s="344"/>
      <c r="M214" s="338"/>
      <c r="N214" s="336"/>
      <c r="O214" s="145" t="s">
        <v>145</v>
      </c>
      <c r="P214" s="165">
        <f t="shared" ref="P214" ca="1" si="1129">MIN(IF($B215,P213+IF(ISNUMBER(O214),O214,0),P215/$N213),1)</f>
        <v>0</v>
      </c>
      <c r="Q214" s="143">
        <f t="shared" ref="Q214" ca="1" si="1130">MIN(IF($B215,Q213+IF(ISNUMBER(P214),P214,0),Q215/$N213),1)</f>
        <v>0</v>
      </c>
      <c r="R214" s="143">
        <f t="shared" ref="R214" ca="1" si="1131">MIN(IF($B215,R213+IF(ISNUMBER(Q214),Q214,0),R215/$N213),1)</f>
        <v>0</v>
      </c>
      <c r="S214" s="143">
        <f t="shared" ref="S214" ca="1" si="1132">MIN(IF($B215,S213+IF(ISNUMBER(R214),R214,0),S215/$N213),1)</f>
        <v>0</v>
      </c>
      <c r="T214" s="143">
        <f t="shared" ref="T214" ca="1" si="1133">MIN(IF($B215,T213+IF(ISNUMBER(S214),S214,0),T215/$N213),1)</f>
        <v>0.25</v>
      </c>
      <c r="U214" s="143">
        <f t="shared" ref="U214" ca="1" si="1134">MIN(IF($B215,U213+IF(ISNUMBER(T214),T214,0),U215/$N213),1)</f>
        <v>0.5</v>
      </c>
      <c r="V214" s="143">
        <f t="shared" ref="V214" ca="1" si="1135">MIN(IF($B215,V213+IF(ISNUMBER(U214),U214,0),V215/$N213),1)</f>
        <v>0.75</v>
      </c>
      <c r="W214" s="143">
        <f t="shared" ref="W214" ca="1" si="1136">MIN(IF($B215,W213+IF(ISNUMBER(V214),V214,0),W215/$N213),1)</f>
        <v>1</v>
      </c>
      <c r="X214" s="163"/>
      <c r="AC214" s="143">
        <f t="shared" ref="AC214" ca="1" si="1137">MIN(IF($B215,AC213+IF(ISNUMBER(AB214),AB214,0),AC215/$N213),1)</f>
        <v>0</v>
      </c>
    </row>
    <row r="215" spans="1:29" customFormat="1" ht="13.8" x14ac:dyDescent="0.25">
      <c r="A215" s="11">
        <f ca="1">OFFSET(A215,-CFF.NumLinha,0)+1</f>
        <v>66</v>
      </c>
      <c r="B215" s="11" t="b">
        <f ca="1">$C215&gt;=OFFSET($C215,CFF.NumLinha,0)</f>
        <v>1</v>
      </c>
      <c r="C215" s="11">
        <f ca="1">INDEX(PO!A$12:A$603,MATCH($A215,PO!$V$12:$V$603,0))</f>
        <v>2</v>
      </c>
      <c r="D215" s="11">
        <f t="shared" ref="D215:D239" ca="1" si="1138">IF(ISERROR(J215),I215,SMALL(I215:J215,1))-1</f>
        <v>2</v>
      </c>
      <c r="E215" s="11">
        <f ca="1">IF($C215=1,OFFSET(E215,-CFF.NumLinha,0)+1,OFFSET(E215,-CFF.NumLinha,0))</f>
        <v>18</v>
      </c>
      <c r="F215" s="11">
        <f ca="1">IF($C215=1,0,IF($C215=2,OFFSET(F215,-CFF.NumLinha,0)+1,OFFSET(F215,-CFF.NumLinha,0)))</f>
        <v>3</v>
      </c>
      <c r="G215" s="11">
        <f ca="1">IF(AND($C215&lt;=2,$C215&lt;&gt;0),0,IF($C215=3,OFFSET(G215,-CFF.NumLinha,0)+1,OFFSET(G215,-CFF.NumLinha,0)))</f>
        <v>0</v>
      </c>
      <c r="H215" s="11">
        <f ca="1">IF(AND($C215&lt;=3,$C215&lt;&gt;0),0,IF($C215=4,OFFSET(H215,-CFF.NumLinha,0)+1,OFFSET(H215,-CFF.NumLinha,0)))</f>
        <v>0</v>
      </c>
      <c r="I215" s="11">
        <f ca="1">MATCH(0,OFFSET($D215,1,$C215,ROW($A$303)-ROW($A215)),0)</f>
        <v>12</v>
      </c>
      <c r="J215" s="11">
        <f ca="1">MATCH(OFFSET($D215,0,$C215)+1,OFFSET($D215,1,$C215,ROW($A$303)-ROW($A215)),0)</f>
        <v>3</v>
      </c>
      <c r="K215" s="156">
        <f ca="1">ROUND(INDEX(PO!T$12:T$603,MATCH($A215,PO!$V$12:$V$603,0)),2)+10^-12</f>
        <v>9.9999999999999998E-13</v>
      </c>
      <c r="L215" s="344"/>
      <c r="M215" s="338"/>
      <c r="N215" s="336"/>
      <c r="O215" s="171" t="s">
        <v>20</v>
      </c>
      <c r="P215" s="166">
        <f t="shared" ref="P215:W215" ca="1" si="1139">IF($B215,ROUND(P214*$N213,2),ROUND(SUMIF(OFFSET($B215,1,0,$D215),TRUE,OFFSET(P215,1,0,$D215))/SUMIF(OFFSET($B215,1,0,$D215),TRUE,OFFSET($K215,1,0,$D215))*$N213,2))</f>
        <v>0</v>
      </c>
      <c r="Q215" s="144">
        <f t="shared" ca="1" si="1139"/>
        <v>0</v>
      </c>
      <c r="R215" s="144">
        <f t="shared" ca="1" si="1139"/>
        <v>0</v>
      </c>
      <c r="S215" s="144">
        <f t="shared" ca="1" si="1139"/>
        <v>0</v>
      </c>
      <c r="T215" s="144">
        <f t="shared" ca="1" si="1139"/>
        <v>0</v>
      </c>
      <c r="U215" s="144">
        <f t="shared" ca="1" si="1139"/>
        <v>0</v>
      </c>
      <c r="V215" s="144">
        <f t="shared" ca="1" si="1139"/>
        <v>0</v>
      </c>
      <c r="W215" s="174">
        <f t="shared" ca="1" si="1139"/>
        <v>0</v>
      </c>
      <c r="X215" s="163"/>
      <c r="AC215" s="144">
        <f t="shared" ref="AC215" ca="1" si="1140">IF($B215,ROUND(AC214*$N213,2),ROUND(SUMIF(OFFSET($B215,1,0,$D215),TRUE,OFFSET(AC215,1,0,$D215))/SUMIF(OFFSET($B215,1,0,$D215),TRUE,OFFSET($K215,1,0,$D215))*$N213,2))</f>
        <v>0</v>
      </c>
    </row>
    <row r="216" spans="1:29" customFormat="1" ht="14.25" customHeight="1" x14ac:dyDescent="0.25">
      <c r="A216" s="1"/>
      <c r="B216" s="1"/>
      <c r="C216" s="1"/>
      <c r="D216" s="1"/>
      <c r="E216" s="1"/>
      <c r="F216" s="1"/>
      <c r="G216" s="1"/>
      <c r="H216" s="1"/>
      <c r="I216" s="1"/>
      <c r="J216" s="1"/>
      <c r="K216" s="1"/>
      <c r="L216" s="343" t="str">
        <f ca="1">INDEX(PO!K$12:K$603,MATCH($A218,PO!$V$12:$V$603,0))</f>
        <v>18.4.</v>
      </c>
      <c r="M216" s="337" t="str">
        <f ca="1">INDEX(PO!N$12:N$603,MATCH($A218,PO!$V$12:$V$603,0))</f>
        <v>CABOS FIOS E CONDUTORES</v>
      </c>
      <c r="N216" s="335">
        <f t="shared" ref="N216" ca="1" si="1141">IF(ROUND(K218,2)=0,K218,ROUND(K218,2))</f>
        <v>9.9999999999999998E-13</v>
      </c>
      <c r="O216" s="187" t="s">
        <v>143</v>
      </c>
      <c r="P216" s="192">
        <f t="shared" ref="P216" ca="1" si="1142">IF($B218,0,P217-IF(ISNUMBER(O217),O217,0))</f>
        <v>0</v>
      </c>
      <c r="Q216" s="193">
        <f t="shared" ref="Q216" ca="1" si="1143">IF($B218,0,Q217-IF(ISNUMBER(P217),P217,0))</f>
        <v>0</v>
      </c>
      <c r="R216" s="193">
        <f t="shared" ref="R216" ca="1" si="1144">IF($B218,0,R217-IF(ISNUMBER(Q217),Q217,0))</f>
        <v>0</v>
      </c>
      <c r="S216" s="193">
        <f t="shared" ref="S216" ca="1" si="1145">IF($B218,0,S217-IF(ISNUMBER(R217),R217,0))</f>
        <v>0</v>
      </c>
      <c r="T216" s="193">
        <v>0.25</v>
      </c>
      <c r="U216" s="193">
        <v>0.25</v>
      </c>
      <c r="V216" s="193">
        <v>0.25</v>
      </c>
      <c r="W216" s="194">
        <v>0.25</v>
      </c>
      <c r="X216" s="163"/>
      <c r="AC216" s="188">
        <f t="shared" ref="AC216" ca="1" si="1146">IF($B218,0,AC217-IF(ISNUMBER(AB217),AB217,0))</f>
        <v>0</v>
      </c>
    </row>
    <row r="217" spans="1:29" customFormat="1" ht="13.8" x14ac:dyDescent="0.25">
      <c r="A217" s="11"/>
      <c r="B217" s="11"/>
      <c r="C217" s="11"/>
      <c r="D217" s="11"/>
      <c r="E217" s="11"/>
      <c r="F217" s="11"/>
      <c r="G217" s="11"/>
      <c r="H217" s="11"/>
      <c r="I217" s="11"/>
      <c r="J217" s="11"/>
      <c r="K217" s="11"/>
      <c r="L217" s="344"/>
      <c r="M217" s="338"/>
      <c r="N217" s="336"/>
      <c r="O217" s="145" t="s">
        <v>145</v>
      </c>
      <c r="P217" s="165">
        <f t="shared" ref="P217" ca="1" si="1147">MIN(IF($B218,P216+IF(ISNUMBER(O217),O217,0),P218/$N216),1)</f>
        <v>0</v>
      </c>
      <c r="Q217" s="143">
        <f t="shared" ref="Q217" ca="1" si="1148">MIN(IF($B218,Q216+IF(ISNUMBER(P217),P217,0),Q218/$N216),1)</f>
        <v>0</v>
      </c>
      <c r="R217" s="143">
        <f t="shared" ref="R217" ca="1" si="1149">MIN(IF($B218,R216+IF(ISNUMBER(Q217),Q217,0),R218/$N216),1)</f>
        <v>0</v>
      </c>
      <c r="S217" s="143">
        <f t="shared" ref="S217" ca="1" si="1150">MIN(IF($B218,S216+IF(ISNUMBER(R217),R217,0),S218/$N216),1)</f>
        <v>0</v>
      </c>
      <c r="T217" s="143">
        <f t="shared" ref="T217" ca="1" si="1151">MIN(IF($B218,T216+IF(ISNUMBER(S217),S217,0),T218/$N216),1)</f>
        <v>0.25</v>
      </c>
      <c r="U217" s="143">
        <f t="shared" ref="U217" ca="1" si="1152">MIN(IF($B218,U216+IF(ISNUMBER(T217),T217,0),U218/$N216),1)</f>
        <v>0.5</v>
      </c>
      <c r="V217" s="143">
        <f t="shared" ref="V217" ca="1" si="1153">MIN(IF($B218,V216+IF(ISNUMBER(U217),U217,0),V218/$N216),1)</f>
        <v>0.75</v>
      </c>
      <c r="W217" s="143">
        <f t="shared" ref="W217" ca="1" si="1154">MIN(IF($B218,W216+IF(ISNUMBER(V217),V217,0),W218/$N216),1)</f>
        <v>1</v>
      </c>
      <c r="X217" s="163"/>
      <c r="AC217" s="143">
        <f t="shared" ref="AC217" ca="1" si="1155">MIN(IF($B218,AC216+IF(ISNUMBER(AB217),AB217,0),AC218/$N216),1)</f>
        <v>0</v>
      </c>
    </row>
    <row r="218" spans="1:29" customFormat="1" ht="13.8" x14ac:dyDescent="0.25">
      <c r="A218" s="11">
        <f ca="1">OFFSET(A218,-CFF.NumLinha,0)+1</f>
        <v>67</v>
      </c>
      <c r="B218" s="11" t="b">
        <f ca="1">$C218&gt;=OFFSET($C218,CFF.NumLinha,0)</f>
        <v>1</v>
      </c>
      <c r="C218" s="11">
        <f ca="1">INDEX(PO!A$12:A$603,MATCH($A218,PO!$V$12:$V$603,0))</f>
        <v>2</v>
      </c>
      <c r="D218" s="11">
        <f t="shared" ref="D218:D239" ca="1" si="1156">IF(ISERROR(J218),I218,SMALL(I218:J218,1))-1</f>
        <v>2</v>
      </c>
      <c r="E218" s="11">
        <f ca="1">IF($C218=1,OFFSET(E218,-CFF.NumLinha,0)+1,OFFSET(E218,-CFF.NumLinha,0))</f>
        <v>18</v>
      </c>
      <c r="F218" s="11">
        <f ca="1">IF($C218=1,0,IF($C218=2,OFFSET(F218,-CFF.NumLinha,0)+1,OFFSET(F218,-CFF.NumLinha,0)))</f>
        <v>4</v>
      </c>
      <c r="G218" s="11">
        <f ca="1">IF(AND($C218&lt;=2,$C218&lt;&gt;0),0,IF($C218=3,OFFSET(G218,-CFF.NumLinha,0)+1,OFFSET(G218,-CFF.NumLinha,0)))</f>
        <v>0</v>
      </c>
      <c r="H218" s="11">
        <f ca="1">IF(AND($C218&lt;=3,$C218&lt;&gt;0),0,IF($C218=4,OFFSET(H218,-CFF.NumLinha,0)+1,OFFSET(H218,-CFF.NumLinha,0)))</f>
        <v>0</v>
      </c>
      <c r="I218" s="11">
        <f ca="1">MATCH(0,OFFSET($D218,1,$C218,ROW($A$303)-ROW($A218)),0)</f>
        <v>9</v>
      </c>
      <c r="J218" s="11">
        <f ca="1">MATCH(OFFSET($D218,0,$C218)+1,OFFSET($D218,1,$C218,ROW($A$303)-ROW($A218)),0)</f>
        <v>3</v>
      </c>
      <c r="K218" s="156">
        <f ca="1">ROUND(INDEX(PO!T$12:T$603,MATCH($A218,PO!$V$12:$V$603,0)),2)+10^-12</f>
        <v>9.9999999999999998E-13</v>
      </c>
      <c r="L218" s="344"/>
      <c r="M218" s="338"/>
      <c r="N218" s="336"/>
      <c r="O218" s="171" t="s">
        <v>20</v>
      </c>
      <c r="P218" s="166">
        <f t="shared" ref="P218:W218" ca="1" si="1157">IF($B218,ROUND(P217*$N216,2),ROUND(SUMIF(OFFSET($B218,1,0,$D218),TRUE,OFFSET(P218,1,0,$D218))/SUMIF(OFFSET($B218,1,0,$D218),TRUE,OFFSET($K218,1,0,$D218))*$N216,2))</f>
        <v>0</v>
      </c>
      <c r="Q218" s="144">
        <f t="shared" ca="1" si="1157"/>
        <v>0</v>
      </c>
      <c r="R218" s="144">
        <f t="shared" ca="1" si="1157"/>
        <v>0</v>
      </c>
      <c r="S218" s="144">
        <f t="shared" ca="1" si="1157"/>
        <v>0</v>
      </c>
      <c r="T218" s="144">
        <f t="shared" ca="1" si="1157"/>
        <v>0</v>
      </c>
      <c r="U218" s="144">
        <f t="shared" ca="1" si="1157"/>
        <v>0</v>
      </c>
      <c r="V218" s="144">
        <f t="shared" ca="1" si="1157"/>
        <v>0</v>
      </c>
      <c r="W218" s="174">
        <f t="shared" ca="1" si="1157"/>
        <v>0</v>
      </c>
      <c r="X218" s="163"/>
      <c r="AC218" s="144">
        <f t="shared" ref="AC218" ca="1" si="1158">IF($B218,ROUND(AC217*$N216,2),ROUND(SUMIF(OFFSET($B218,1,0,$D218),TRUE,OFFSET(AC218,1,0,$D218))/SUMIF(OFFSET($B218,1,0,$D218),TRUE,OFFSET($K218,1,0,$D218))*$N216,2))</f>
        <v>0</v>
      </c>
    </row>
    <row r="219" spans="1:29" customFormat="1" ht="14.25" customHeight="1" x14ac:dyDescent="0.25">
      <c r="A219" s="1"/>
      <c r="B219" s="1"/>
      <c r="C219" s="1"/>
      <c r="D219" s="1"/>
      <c r="E219" s="1"/>
      <c r="F219" s="1"/>
      <c r="G219" s="1"/>
      <c r="H219" s="1"/>
      <c r="I219" s="1"/>
      <c r="J219" s="1"/>
      <c r="K219" s="1"/>
      <c r="L219" s="343" t="str">
        <f ca="1">INDEX(PO!K$12:K$603,MATCH($A221,PO!$V$12:$V$603,0))</f>
        <v>18.5.</v>
      </c>
      <c r="M219" s="337" t="str">
        <f ca="1">INDEX(PO!N$12:N$603,MATCH($A221,PO!$V$12:$V$603,0))</f>
        <v>ELETROCALHAS</v>
      </c>
      <c r="N219" s="335">
        <f t="shared" ref="N219" ca="1" si="1159">IF(ROUND(K221,2)=0,K221,ROUND(K221,2))</f>
        <v>9.9999999999999998E-13</v>
      </c>
      <c r="O219" s="187" t="s">
        <v>143</v>
      </c>
      <c r="P219" s="192">
        <f t="shared" ref="P219" ca="1" si="1160">IF($B221,0,P220-IF(ISNUMBER(O220),O220,0))</f>
        <v>0</v>
      </c>
      <c r="Q219" s="193">
        <f t="shared" ref="Q219" ca="1" si="1161">IF($B221,0,Q220-IF(ISNUMBER(P220),P220,0))</f>
        <v>0</v>
      </c>
      <c r="R219" s="193">
        <f t="shared" ref="R219" ca="1" si="1162">IF($B221,0,R220-IF(ISNUMBER(Q220),Q220,0))</f>
        <v>0</v>
      </c>
      <c r="S219" s="193">
        <f t="shared" ref="S219" ca="1" si="1163">IF($B221,0,S220-IF(ISNUMBER(R220),R220,0))</f>
        <v>0</v>
      </c>
      <c r="T219" s="193">
        <v>0.25</v>
      </c>
      <c r="U219" s="193">
        <v>0.25</v>
      </c>
      <c r="V219" s="193">
        <v>0.25</v>
      </c>
      <c r="W219" s="194">
        <v>0.25</v>
      </c>
      <c r="X219" s="163"/>
      <c r="AC219" s="188">
        <f t="shared" ref="AC219" ca="1" si="1164">IF($B221,0,AC220-IF(ISNUMBER(AB220),AB220,0))</f>
        <v>0</v>
      </c>
    </row>
    <row r="220" spans="1:29" customFormat="1" ht="13.8" x14ac:dyDescent="0.25">
      <c r="A220" s="11"/>
      <c r="B220" s="11"/>
      <c r="C220" s="11"/>
      <c r="D220" s="11"/>
      <c r="E220" s="11"/>
      <c r="F220" s="11"/>
      <c r="G220" s="11"/>
      <c r="H220" s="11"/>
      <c r="I220" s="11"/>
      <c r="J220" s="11"/>
      <c r="K220" s="11"/>
      <c r="L220" s="344"/>
      <c r="M220" s="338"/>
      <c r="N220" s="336"/>
      <c r="O220" s="145" t="s">
        <v>145</v>
      </c>
      <c r="P220" s="165">
        <f t="shared" ref="P220" ca="1" si="1165">MIN(IF($B221,P219+IF(ISNUMBER(O220),O220,0),P221/$N219),1)</f>
        <v>0</v>
      </c>
      <c r="Q220" s="143">
        <f t="shared" ref="Q220" ca="1" si="1166">MIN(IF($B221,Q219+IF(ISNUMBER(P220),P220,0),Q221/$N219),1)</f>
        <v>0</v>
      </c>
      <c r="R220" s="143">
        <f t="shared" ref="R220" ca="1" si="1167">MIN(IF($B221,R219+IF(ISNUMBER(Q220),Q220,0),R221/$N219),1)</f>
        <v>0</v>
      </c>
      <c r="S220" s="143">
        <f t="shared" ref="S220" ca="1" si="1168">MIN(IF($B221,S219+IF(ISNUMBER(R220),R220,0),S221/$N219),1)</f>
        <v>0</v>
      </c>
      <c r="T220" s="143">
        <f t="shared" ref="T220" ca="1" si="1169">MIN(IF($B221,T219+IF(ISNUMBER(S220),S220,0),T221/$N219),1)</f>
        <v>0.25</v>
      </c>
      <c r="U220" s="143">
        <f t="shared" ref="U220" ca="1" si="1170">MIN(IF($B221,U219+IF(ISNUMBER(T220),T220,0),U221/$N219),1)</f>
        <v>0.5</v>
      </c>
      <c r="V220" s="143">
        <f t="shared" ref="V220" ca="1" si="1171">MIN(IF($B221,V219+IF(ISNUMBER(U220),U220,0),V221/$N219),1)</f>
        <v>0.75</v>
      </c>
      <c r="W220" s="143">
        <f t="shared" ref="W220" ca="1" si="1172">MIN(IF($B221,W219+IF(ISNUMBER(V220),V220,0),W221/$N219),1)</f>
        <v>1</v>
      </c>
      <c r="X220" s="163"/>
      <c r="AC220" s="143">
        <f t="shared" ref="AC220" ca="1" si="1173">MIN(IF($B221,AC219+IF(ISNUMBER(AB220),AB220,0),AC221/$N219),1)</f>
        <v>0</v>
      </c>
    </row>
    <row r="221" spans="1:29" customFormat="1" ht="13.8" x14ac:dyDescent="0.25">
      <c r="A221" s="11">
        <f ca="1">OFFSET(A221,-CFF.NumLinha,0)+1</f>
        <v>68</v>
      </c>
      <c r="B221" s="11" t="b">
        <f ca="1">$C221&gt;=OFFSET($C221,CFF.NumLinha,0)</f>
        <v>1</v>
      </c>
      <c r="C221" s="11">
        <f ca="1">INDEX(PO!A$12:A$603,MATCH($A221,PO!$V$12:$V$603,0))</f>
        <v>2</v>
      </c>
      <c r="D221" s="11">
        <f t="shared" ref="D221:D239" ca="1" si="1174">IF(ISERROR(J221),I221,SMALL(I221:J221,1))-1</f>
        <v>2</v>
      </c>
      <c r="E221" s="11">
        <f ca="1">IF($C221=1,OFFSET(E221,-CFF.NumLinha,0)+1,OFFSET(E221,-CFF.NumLinha,0))</f>
        <v>18</v>
      </c>
      <c r="F221" s="11">
        <f ca="1">IF($C221=1,0,IF($C221=2,OFFSET(F221,-CFF.NumLinha,0)+1,OFFSET(F221,-CFF.NumLinha,0)))</f>
        <v>5</v>
      </c>
      <c r="G221" s="11">
        <f ca="1">IF(AND($C221&lt;=2,$C221&lt;&gt;0),0,IF($C221=3,OFFSET(G221,-CFF.NumLinha,0)+1,OFFSET(G221,-CFF.NumLinha,0)))</f>
        <v>0</v>
      </c>
      <c r="H221" s="11">
        <f ca="1">IF(AND($C221&lt;=3,$C221&lt;&gt;0),0,IF($C221=4,OFFSET(H221,-CFF.NumLinha,0)+1,OFFSET(H221,-CFF.NumLinha,0)))</f>
        <v>0</v>
      </c>
      <c r="I221" s="11">
        <f ca="1">MATCH(0,OFFSET($D221,1,$C221,ROW($A$303)-ROW($A221)),0)</f>
        <v>6</v>
      </c>
      <c r="J221" s="11">
        <f ca="1">MATCH(OFFSET($D221,0,$C221)+1,OFFSET($D221,1,$C221,ROW($A$303)-ROW($A221)),0)</f>
        <v>3</v>
      </c>
      <c r="K221" s="156">
        <f ca="1">ROUND(INDEX(PO!T$12:T$603,MATCH($A221,PO!$V$12:$V$603,0)),2)+10^-12</f>
        <v>9.9999999999999998E-13</v>
      </c>
      <c r="L221" s="344"/>
      <c r="M221" s="338"/>
      <c r="N221" s="336"/>
      <c r="O221" s="171" t="s">
        <v>20</v>
      </c>
      <c r="P221" s="166">
        <f t="shared" ref="P221:W221" ca="1" si="1175">IF($B221,ROUND(P220*$N219,2),ROUND(SUMIF(OFFSET($B221,1,0,$D221),TRUE,OFFSET(P221,1,0,$D221))/SUMIF(OFFSET($B221,1,0,$D221),TRUE,OFFSET($K221,1,0,$D221))*$N219,2))</f>
        <v>0</v>
      </c>
      <c r="Q221" s="144">
        <f t="shared" ca="1" si="1175"/>
        <v>0</v>
      </c>
      <c r="R221" s="144">
        <f t="shared" ca="1" si="1175"/>
        <v>0</v>
      </c>
      <c r="S221" s="144">
        <f t="shared" ca="1" si="1175"/>
        <v>0</v>
      </c>
      <c r="T221" s="144">
        <f t="shared" ca="1" si="1175"/>
        <v>0</v>
      </c>
      <c r="U221" s="144">
        <f t="shared" ca="1" si="1175"/>
        <v>0</v>
      </c>
      <c r="V221" s="144">
        <f t="shared" ca="1" si="1175"/>
        <v>0</v>
      </c>
      <c r="W221" s="174">
        <f t="shared" ca="1" si="1175"/>
        <v>0</v>
      </c>
      <c r="X221" s="163"/>
      <c r="AC221" s="144">
        <f t="shared" ref="AC221" ca="1" si="1176">IF($B221,ROUND(AC220*$N219,2),ROUND(SUMIF(OFFSET($B221,1,0,$D221),TRUE,OFFSET(AC221,1,0,$D221))/SUMIF(OFFSET($B221,1,0,$D221),TRUE,OFFSET($K221,1,0,$D221))*$N219,2))</f>
        <v>0</v>
      </c>
    </row>
    <row r="222" spans="1:29" customFormat="1" ht="14.25" customHeight="1" x14ac:dyDescent="0.25">
      <c r="A222" s="1"/>
      <c r="B222" s="1"/>
      <c r="C222" s="1"/>
      <c r="D222" s="1"/>
      <c r="E222" s="1"/>
      <c r="F222" s="1"/>
      <c r="G222" s="1"/>
      <c r="H222" s="1"/>
      <c r="I222" s="1"/>
      <c r="J222" s="1"/>
      <c r="K222" s="1"/>
      <c r="L222" s="343" t="str">
        <f ca="1">INDEX(PO!K$12:K$603,MATCH($A224,PO!$V$12:$V$603,0))</f>
        <v>18.6.</v>
      </c>
      <c r="M222" s="337" t="str">
        <f ca="1">INDEX(PO!N$12:N$603,MATCH($A224,PO!$V$12:$V$603,0))</f>
        <v>ILUMINAÇÃO E TOMADAS</v>
      </c>
      <c r="N222" s="335">
        <f t="shared" ref="N222" ca="1" si="1177">IF(ROUND(K224,2)=0,K224,ROUND(K224,2))</f>
        <v>9.9999999999999998E-13</v>
      </c>
      <c r="O222" s="187" t="s">
        <v>143</v>
      </c>
      <c r="P222" s="192">
        <f t="shared" ref="P222" ca="1" si="1178">IF($B224,0,P223-IF(ISNUMBER(O223),O223,0))</f>
        <v>0</v>
      </c>
      <c r="Q222" s="193">
        <f t="shared" ref="Q222" ca="1" si="1179">IF($B224,0,Q223-IF(ISNUMBER(P223),P223,0))</f>
        <v>0</v>
      </c>
      <c r="R222" s="193">
        <f t="shared" ref="R222" ca="1" si="1180">IF($B224,0,R223-IF(ISNUMBER(Q223),Q223,0))</f>
        <v>0</v>
      </c>
      <c r="S222" s="193">
        <f t="shared" ref="S222" ca="1" si="1181">IF($B224,0,S223-IF(ISNUMBER(R223),R223,0))</f>
        <v>0</v>
      </c>
      <c r="T222" s="193">
        <v>0.25</v>
      </c>
      <c r="U222" s="193">
        <v>0.25</v>
      </c>
      <c r="V222" s="193">
        <v>0.25</v>
      </c>
      <c r="W222" s="194">
        <v>0.25</v>
      </c>
      <c r="X222" s="163"/>
      <c r="AC222" s="188">
        <f t="shared" ref="AC222" ca="1" si="1182">IF($B224,0,AC223-IF(ISNUMBER(AB223),AB223,0))</f>
        <v>0</v>
      </c>
    </row>
    <row r="223" spans="1:29" customFormat="1" ht="13.8" x14ac:dyDescent="0.25">
      <c r="A223" s="11"/>
      <c r="B223" s="11"/>
      <c r="C223" s="11"/>
      <c r="D223" s="11"/>
      <c r="E223" s="11"/>
      <c r="F223" s="11"/>
      <c r="G223" s="11"/>
      <c r="H223" s="11"/>
      <c r="I223" s="11"/>
      <c r="J223" s="11"/>
      <c r="K223" s="11"/>
      <c r="L223" s="344"/>
      <c r="M223" s="338"/>
      <c r="N223" s="336"/>
      <c r="O223" s="145" t="s">
        <v>145</v>
      </c>
      <c r="P223" s="165">
        <f t="shared" ref="P223" ca="1" si="1183">MIN(IF($B224,P222+IF(ISNUMBER(O223),O223,0),P224/$N222),1)</f>
        <v>0</v>
      </c>
      <c r="Q223" s="143">
        <f t="shared" ref="Q223" ca="1" si="1184">MIN(IF($B224,Q222+IF(ISNUMBER(P223),P223,0),Q224/$N222),1)</f>
        <v>0</v>
      </c>
      <c r="R223" s="143">
        <f t="shared" ref="R223" ca="1" si="1185">MIN(IF($B224,R222+IF(ISNUMBER(Q223),Q223,0),R224/$N222),1)</f>
        <v>0</v>
      </c>
      <c r="S223" s="143">
        <f t="shared" ref="S223" ca="1" si="1186">MIN(IF($B224,S222+IF(ISNUMBER(R223),R223,0),S224/$N222),1)</f>
        <v>0</v>
      </c>
      <c r="T223" s="143">
        <f t="shared" ref="T223" ca="1" si="1187">MIN(IF($B224,T222+IF(ISNUMBER(S223),S223,0),T224/$N222),1)</f>
        <v>0.25</v>
      </c>
      <c r="U223" s="143">
        <f t="shared" ref="U223" ca="1" si="1188">MIN(IF($B224,U222+IF(ISNUMBER(T223),T223,0),U224/$N222),1)</f>
        <v>0.5</v>
      </c>
      <c r="V223" s="143">
        <f t="shared" ref="V223" ca="1" si="1189">MIN(IF($B224,V222+IF(ISNUMBER(U223),U223,0),V224/$N222),1)</f>
        <v>0.75</v>
      </c>
      <c r="W223" s="143">
        <f t="shared" ref="W223" ca="1" si="1190">MIN(IF($B224,W222+IF(ISNUMBER(V223),V223,0),W224/$N222),1)</f>
        <v>1</v>
      </c>
      <c r="X223" s="163"/>
      <c r="AC223" s="143">
        <f t="shared" ref="AC223" ca="1" si="1191">MIN(IF($B224,AC222+IF(ISNUMBER(AB223),AB223,0),AC224/$N222),1)</f>
        <v>0</v>
      </c>
    </row>
    <row r="224" spans="1:29" customFormat="1" ht="13.8" x14ac:dyDescent="0.25">
      <c r="A224" s="11">
        <f ca="1">OFFSET(A224,-CFF.NumLinha,0)+1</f>
        <v>69</v>
      </c>
      <c r="B224" s="11" t="b">
        <f ca="1">$C224&gt;=OFFSET($C224,CFF.NumLinha,0)</f>
        <v>1</v>
      </c>
      <c r="C224" s="11">
        <f ca="1">INDEX(PO!A$12:A$603,MATCH($A224,PO!$V$12:$V$603,0))</f>
        <v>2</v>
      </c>
      <c r="D224" s="11">
        <f t="shared" ref="D224:D239" ca="1" si="1192">IF(ISERROR(J224),I224,SMALL(I224:J224,1))-1</f>
        <v>2</v>
      </c>
      <c r="E224" s="11">
        <f ca="1">IF($C224=1,OFFSET(E224,-CFF.NumLinha,0)+1,OFFSET(E224,-CFF.NumLinha,0))</f>
        <v>18</v>
      </c>
      <c r="F224" s="11">
        <f ca="1">IF($C224=1,0,IF($C224=2,OFFSET(F224,-CFF.NumLinha,0)+1,OFFSET(F224,-CFF.NumLinha,0)))</f>
        <v>6</v>
      </c>
      <c r="G224" s="11">
        <f ca="1">IF(AND($C224&lt;=2,$C224&lt;&gt;0),0,IF($C224=3,OFFSET(G224,-CFF.NumLinha,0)+1,OFFSET(G224,-CFF.NumLinha,0)))</f>
        <v>0</v>
      </c>
      <c r="H224" s="11">
        <f ca="1">IF(AND($C224&lt;=3,$C224&lt;&gt;0),0,IF($C224=4,OFFSET(H224,-CFF.NumLinha,0)+1,OFFSET(H224,-CFF.NumLinha,0)))</f>
        <v>0</v>
      </c>
      <c r="I224" s="11">
        <f ca="1">MATCH(0,OFFSET($D224,1,$C224,ROW($A$303)-ROW($A224)),0)</f>
        <v>3</v>
      </c>
      <c r="J224" s="11">
        <f ca="1">MATCH(OFFSET($D224,0,$C224)+1,OFFSET($D224,1,$C224,ROW($A$303)-ROW($A224)),0)</f>
        <v>60</v>
      </c>
      <c r="K224" s="156">
        <f ca="1">ROUND(INDEX(PO!T$12:T$603,MATCH($A224,PO!$V$12:$V$603,0)),2)+10^-12</f>
        <v>9.9999999999999998E-13</v>
      </c>
      <c r="L224" s="344"/>
      <c r="M224" s="338"/>
      <c r="N224" s="336"/>
      <c r="O224" s="171" t="s">
        <v>20</v>
      </c>
      <c r="P224" s="166">
        <f t="shared" ref="P224:W224" ca="1" si="1193">IF($B224,ROUND(P223*$N222,2),ROUND(SUMIF(OFFSET($B224,1,0,$D224),TRUE,OFFSET(P224,1,0,$D224))/SUMIF(OFFSET($B224,1,0,$D224),TRUE,OFFSET($K224,1,0,$D224))*$N222,2))</f>
        <v>0</v>
      </c>
      <c r="Q224" s="144">
        <f t="shared" ca="1" si="1193"/>
        <v>0</v>
      </c>
      <c r="R224" s="144">
        <f t="shared" ca="1" si="1193"/>
        <v>0</v>
      </c>
      <c r="S224" s="144">
        <f t="shared" ca="1" si="1193"/>
        <v>0</v>
      </c>
      <c r="T224" s="144">
        <f t="shared" ca="1" si="1193"/>
        <v>0</v>
      </c>
      <c r="U224" s="144">
        <f t="shared" ca="1" si="1193"/>
        <v>0</v>
      </c>
      <c r="V224" s="144">
        <f t="shared" ca="1" si="1193"/>
        <v>0</v>
      </c>
      <c r="W224" s="174">
        <f t="shared" ca="1" si="1193"/>
        <v>0</v>
      </c>
      <c r="X224" s="163"/>
      <c r="AC224" s="144">
        <f t="shared" ref="AC224" ca="1" si="1194">IF($B224,ROUND(AC223*$N222,2),ROUND(SUMIF(OFFSET($B224,1,0,$D224),TRUE,OFFSET(AC224,1,0,$D224))/SUMIF(OFFSET($B224,1,0,$D224),TRUE,OFFSET($K224,1,0,$D224))*$N222,2))</f>
        <v>0</v>
      </c>
    </row>
    <row r="225" spans="1:29" customFormat="1" ht="14.25" customHeight="1" x14ac:dyDescent="0.25">
      <c r="A225" s="1"/>
      <c r="B225" s="1"/>
      <c r="C225" s="1"/>
      <c r="D225" s="1"/>
      <c r="E225" s="1"/>
      <c r="F225" s="1"/>
      <c r="G225" s="1"/>
      <c r="H225" s="1"/>
      <c r="I225" s="1"/>
      <c r="J225" s="1"/>
      <c r="K225" s="1"/>
      <c r="L225" s="343" t="str">
        <f ca="1">INDEX(PO!K$12:K$603,MATCH($A227,PO!$V$12:$V$603,0))</f>
        <v>19.</v>
      </c>
      <c r="M225" s="337" t="str">
        <f ca="1">INDEX(PO!N$12:N$603,MATCH($A227,PO!$V$12:$V$603,0))</f>
        <v xml:space="preserve">CLIMATIZAÇÃO </v>
      </c>
      <c r="N225" s="335">
        <f t="shared" ref="N225" ca="1" si="1195">IF(ROUND(K227,2)=0,K227,ROUND(K227,2))</f>
        <v>9.9999999999999998E-13</v>
      </c>
      <c r="O225" s="187" t="s">
        <v>143</v>
      </c>
      <c r="P225" s="192">
        <f t="shared" ref="P225" ca="1" si="1196">IF($B227,0,P226-IF(ISNUMBER(O226),O226,0))</f>
        <v>0</v>
      </c>
      <c r="Q225" s="193">
        <f t="shared" ref="Q225" ca="1" si="1197">IF($B227,0,Q226-IF(ISNUMBER(P226),P226,0))</f>
        <v>0</v>
      </c>
      <c r="R225" s="193">
        <f t="shared" ref="R225" ca="1" si="1198">IF($B227,0,R226-IF(ISNUMBER(Q226),Q226,0))</f>
        <v>0</v>
      </c>
      <c r="S225" s="193">
        <f t="shared" ref="S225" ca="1" si="1199">IF($B227,0,S226-IF(ISNUMBER(R226),R226,0))</f>
        <v>0</v>
      </c>
      <c r="T225" s="193">
        <f t="shared" ref="T225" ca="1" si="1200">IF($B227,0,T226-IF(ISNUMBER(S226),S226,0))</f>
        <v>0</v>
      </c>
      <c r="U225" s="193">
        <f t="shared" ref="U225" ca="1" si="1201">IF($B227,0,U226-IF(ISNUMBER(T226),T226,0))</f>
        <v>0</v>
      </c>
      <c r="V225" s="193">
        <f t="shared" ref="V225" ca="1" si="1202">IF($B227,0,V226-IF(ISNUMBER(U226),U226,0))</f>
        <v>0</v>
      </c>
      <c r="W225" s="194">
        <f t="shared" ref="W225" ca="1" si="1203">IF($B227,0,W226-IF(ISNUMBER(V226),V226,0))</f>
        <v>0</v>
      </c>
      <c r="X225" s="163"/>
      <c r="AC225" s="188">
        <f t="shared" ref="AC225" ca="1" si="1204">IF($B227,0,AC226-IF(ISNUMBER(AB226),AB226,0))</f>
        <v>0</v>
      </c>
    </row>
    <row r="226" spans="1:29" customFormat="1" ht="13.8" x14ac:dyDescent="0.25">
      <c r="A226" s="11"/>
      <c r="B226" s="11"/>
      <c r="C226" s="11"/>
      <c r="D226" s="11"/>
      <c r="E226" s="11"/>
      <c r="F226" s="11"/>
      <c r="G226" s="11"/>
      <c r="H226" s="11"/>
      <c r="I226" s="11"/>
      <c r="J226" s="11"/>
      <c r="K226" s="11"/>
      <c r="L226" s="344"/>
      <c r="M226" s="338"/>
      <c r="N226" s="336"/>
      <c r="O226" s="145" t="s">
        <v>145</v>
      </c>
      <c r="P226" s="165">
        <f t="shared" ref="P226" ca="1" si="1205">MIN(IF($B227,P225+IF(ISNUMBER(O226),O226,0),P227/$N225),1)</f>
        <v>0</v>
      </c>
      <c r="Q226" s="143">
        <f t="shared" ref="Q226" ca="1" si="1206">MIN(IF($B227,Q225+IF(ISNUMBER(P226),P226,0),Q227/$N225),1)</f>
        <v>0</v>
      </c>
      <c r="R226" s="143">
        <f t="shared" ref="R226" ca="1" si="1207">MIN(IF($B227,R225+IF(ISNUMBER(Q226),Q226,0),R227/$N225),1)</f>
        <v>0</v>
      </c>
      <c r="S226" s="143">
        <f t="shared" ref="S226" ca="1" si="1208">MIN(IF($B227,S225+IF(ISNUMBER(R226),R226,0),S227/$N225),1)</f>
        <v>0</v>
      </c>
      <c r="T226" s="143">
        <f t="shared" ref="T226" ca="1" si="1209">MIN(IF($B227,T225+IF(ISNUMBER(S226),S226,0),T227/$N225),1)</f>
        <v>0</v>
      </c>
      <c r="U226" s="143">
        <f t="shared" ref="U226" ca="1" si="1210">MIN(IF($B227,U225+IF(ISNUMBER(T226),T226,0),U227/$N225),1)</f>
        <v>0</v>
      </c>
      <c r="V226" s="143">
        <f t="shared" ref="V226" ca="1" si="1211">MIN(IF($B227,V225+IF(ISNUMBER(U226),U226,0),V227/$N225),1)</f>
        <v>0</v>
      </c>
      <c r="W226" s="143">
        <f t="shared" ref="W226" ca="1" si="1212">MIN(IF($B227,W225+IF(ISNUMBER(V226),V226,0),W227/$N225),1)</f>
        <v>0</v>
      </c>
      <c r="X226" s="163"/>
      <c r="AC226" s="143">
        <f t="shared" ref="AC226" ca="1" si="1213">MIN(IF($B227,AC225+IF(ISNUMBER(AB226),AB226,0),AC227/$N225),1)</f>
        <v>0</v>
      </c>
    </row>
    <row r="227" spans="1:29" customFormat="1" ht="13.8" x14ac:dyDescent="0.25">
      <c r="A227" s="11">
        <f ca="1">OFFSET(A227,-CFF.NumLinha,0)+1</f>
        <v>70</v>
      </c>
      <c r="B227" s="11" t="b">
        <f ca="1">$C227&gt;=OFFSET($C227,CFF.NumLinha,0)</f>
        <v>0</v>
      </c>
      <c r="C227" s="11">
        <f ca="1">INDEX(PO!A$12:A$603,MATCH($A227,PO!$V$12:$V$603,0))</f>
        <v>1</v>
      </c>
      <c r="D227" s="11">
        <f t="shared" ref="D227:D239" ca="1" si="1214">IF(ISERROR(J227),I227,SMALL(I227:J227,1))-1</f>
        <v>8</v>
      </c>
      <c r="E227" s="11">
        <f ca="1">IF($C227=1,OFFSET(E227,-CFF.NumLinha,0)+1,OFFSET(E227,-CFF.NumLinha,0))</f>
        <v>19</v>
      </c>
      <c r="F227" s="11">
        <f ca="1">IF($C227=1,0,IF($C227=2,OFFSET(F227,-CFF.NumLinha,0)+1,OFFSET(F227,-CFF.NumLinha,0)))</f>
        <v>0</v>
      </c>
      <c r="G227" s="11">
        <f ca="1">IF(AND($C227&lt;=2,$C227&lt;&gt;0),0,IF($C227=3,OFFSET(G227,-CFF.NumLinha,0)+1,OFFSET(G227,-CFF.NumLinha,0)))</f>
        <v>0</v>
      </c>
      <c r="H227" s="11">
        <f ca="1">IF(AND($C227&lt;=3,$C227&lt;&gt;0),0,IF($C227=4,OFFSET(H227,-CFF.NumLinha,0)+1,OFFSET(H227,-CFF.NumLinha,0)))</f>
        <v>0</v>
      </c>
      <c r="I227" s="11">
        <f ca="1">MATCH(0,OFFSET($D227,1,$C227,ROW($A$303)-ROW($A227)),0)</f>
        <v>76</v>
      </c>
      <c r="J227" s="11">
        <f ca="1">MATCH(OFFSET($D227,0,$C227)+1,OFFSET($D227,1,$C227,ROW($A$303)-ROW($A227)),0)</f>
        <v>9</v>
      </c>
      <c r="K227" s="156">
        <f ca="1">ROUND(INDEX(PO!T$12:T$603,MATCH($A227,PO!$V$12:$V$603,0)),2)+10^-12</f>
        <v>9.9999999999999998E-13</v>
      </c>
      <c r="L227" s="344"/>
      <c r="M227" s="338"/>
      <c r="N227" s="336"/>
      <c r="O227" s="171" t="s">
        <v>20</v>
      </c>
      <c r="P227" s="166">
        <f t="shared" ref="P227:W227" ca="1" si="1215">IF($B227,ROUND(P226*$N225,2),ROUND(SUMIF(OFFSET($B227,1,0,$D227),TRUE,OFFSET(P227,1,0,$D227))/SUMIF(OFFSET($B227,1,0,$D227),TRUE,OFFSET($K227,1,0,$D227))*$N225,2))</f>
        <v>0</v>
      </c>
      <c r="Q227" s="144">
        <f t="shared" ca="1" si="1215"/>
        <v>0</v>
      </c>
      <c r="R227" s="144">
        <f t="shared" ca="1" si="1215"/>
        <v>0</v>
      </c>
      <c r="S227" s="144">
        <f t="shared" ca="1" si="1215"/>
        <v>0</v>
      </c>
      <c r="T227" s="144">
        <f t="shared" ca="1" si="1215"/>
        <v>0</v>
      </c>
      <c r="U227" s="144">
        <f t="shared" ca="1" si="1215"/>
        <v>0</v>
      </c>
      <c r="V227" s="144">
        <f t="shared" ca="1" si="1215"/>
        <v>0</v>
      </c>
      <c r="W227" s="174">
        <f t="shared" ca="1" si="1215"/>
        <v>0</v>
      </c>
      <c r="X227" s="163"/>
      <c r="AC227" s="144">
        <f t="shared" ref="AC227" ca="1" si="1216">IF($B227,ROUND(AC226*$N225,2),ROUND(SUMIF(OFFSET($B227,1,0,$D227),TRUE,OFFSET(AC227,1,0,$D227))/SUMIF(OFFSET($B227,1,0,$D227),TRUE,OFFSET($K227,1,0,$D227))*$N225,2))</f>
        <v>0</v>
      </c>
    </row>
    <row r="228" spans="1:29" customFormat="1" ht="14.25" customHeight="1" x14ac:dyDescent="0.25">
      <c r="A228" s="1"/>
      <c r="B228" s="1"/>
      <c r="C228" s="1"/>
      <c r="D228" s="1"/>
      <c r="E228" s="1"/>
      <c r="F228" s="1"/>
      <c r="G228" s="1"/>
      <c r="H228" s="1"/>
      <c r="I228" s="1"/>
      <c r="J228" s="1"/>
      <c r="K228" s="1"/>
      <c r="L228" s="343" t="str">
        <f ca="1">INDEX(PO!K$12:K$603,MATCH($A230,PO!$V$12:$V$603,0))</f>
        <v>19.1.</v>
      </c>
      <c r="M228" s="337" t="str">
        <f ca="1">INDEX(PO!N$12:N$603,MATCH($A230,PO!$V$12:$V$603,0))</f>
        <v>DUTOS</v>
      </c>
      <c r="N228" s="335">
        <f t="shared" ref="N228" ca="1" si="1217">IF(ROUND(K230,2)=0,K230,ROUND(K230,2))</f>
        <v>9.9999999999999998E-13</v>
      </c>
      <c r="O228" s="187" t="s">
        <v>143</v>
      </c>
      <c r="P228" s="192">
        <f t="shared" ref="P228" ca="1" si="1218">IF($B230,0,P229-IF(ISNUMBER(O229),O229,0))</f>
        <v>0</v>
      </c>
      <c r="Q228" s="193">
        <f t="shared" ref="Q228" ca="1" si="1219">IF($B230,0,Q229-IF(ISNUMBER(P229),P229,0))</f>
        <v>0</v>
      </c>
      <c r="R228" s="193">
        <f t="shared" ref="R228" ca="1" si="1220">IF($B230,0,R229-IF(ISNUMBER(Q229),Q229,0))</f>
        <v>0</v>
      </c>
      <c r="S228" s="193">
        <f t="shared" ref="S228" ca="1" si="1221">IF($B230,0,S229-IF(ISNUMBER(R229),R229,0))</f>
        <v>0</v>
      </c>
      <c r="T228" s="193">
        <v>0.25</v>
      </c>
      <c r="U228" s="193">
        <v>0.25</v>
      </c>
      <c r="V228" s="193">
        <v>0.25</v>
      </c>
      <c r="W228" s="194">
        <v>0.25</v>
      </c>
      <c r="X228" s="163"/>
      <c r="AC228" s="188">
        <f t="shared" ref="AC228" ca="1" si="1222">IF($B230,0,AC229-IF(ISNUMBER(AB229),AB229,0))</f>
        <v>0</v>
      </c>
    </row>
    <row r="229" spans="1:29" customFormat="1" ht="13.8" x14ac:dyDescent="0.25">
      <c r="A229" s="11"/>
      <c r="B229" s="11"/>
      <c r="C229" s="11"/>
      <c r="D229" s="11"/>
      <c r="E229" s="11"/>
      <c r="F229" s="11"/>
      <c r="G229" s="11"/>
      <c r="H229" s="11"/>
      <c r="I229" s="11"/>
      <c r="J229" s="11"/>
      <c r="K229" s="11"/>
      <c r="L229" s="344"/>
      <c r="M229" s="338"/>
      <c r="N229" s="336"/>
      <c r="O229" s="145" t="s">
        <v>145</v>
      </c>
      <c r="P229" s="165">
        <f t="shared" ref="P229" ca="1" si="1223">MIN(IF($B230,P228+IF(ISNUMBER(O229),O229,0),P230/$N228),1)</f>
        <v>0</v>
      </c>
      <c r="Q229" s="143">
        <f t="shared" ref="Q229" ca="1" si="1224">MIN(IF($B230,Q228+IF(ISNUMBER(P229),P229,0),Q230/$N228),1)</f>
        <v>0</v>
      </c>
      <c r="R229" s="143">
        <f t="shared" ref="R229" ca="1" si="1225">MIN(IF($B230,R228+IF(ISNUMBER(Q229),Q229,0),R230/$N228),1)</f>
        <v>0</v>
      </c>
      <c r="S229" s="143">
        <f t="shared" ref="S229" ca="1" si="1226">MIN(IF($B230,S228+IF(ISNUMBER(R229),R229,0),S230/$N228),1)</f>
        <v>0</v>
      </c>
      <c r="T229" s="143">
        <f t="shared" ref="T229" ca="1" si="1227">MIN(IF($B230,T228+IF(ISNUMBER(S229),S229,0),T230/$N228),1)</f>
        <v>0.25</v>
      </c>
      <c r="U229" s="143">
        <f t="shared" ref="U229" ca="1" si="1228">MIN(IF($B230,U228+IF(ISNUMBER(T229),T229,0),U230/$N228),1)</f>
        <v>0.5</v>
      </c>
      <c r="V229" s="143">
        <f t="shared" ref="V229" ca="1" si="1229">MIN(IF($B230,V228+IF(ISNUMBER(U229),U229,0),V230/$N228),1)</f>
        <v>0.75</v>
      </c>
      <c r="W229" s="143">
        <f t="shared" ref="W229" ca="1" si="1230">MIN(IF($B230,W228+IF(ISNUMBER(V229),V229,0),W230/$N228),1)</f>
        <v>1</v>
      </c>
      <c r="X229" s="163"/>
      <c r="AC229" s="143">
        <f t="shared" ref="AC229" ca="1" si="1231">MIN(IF($B230,AC228+IF(ISNUMBER(AB229),AB229,0),AC230/$N228),1)</f>
        <v>0</v>
      </c>
    </row>
    <row r="230" spans="1:29" customFormat="1" ht="13.8" x14ac:dyDescent="0.25">
      <c r="A230" s="11">
        <f ca="1">OFFSET(A230,-CFF.NumLinha,0)+1</f>
        <v>71</v>
      </c>
      <c r="B230" s="11" t="b">
        <f ca="1">$C230&gt;=OFFSET($C230,CFF.NumLinha,0)</f>
        <v>1</v>
      </c>
      <c r="C230" s="11">
        <f ca="1">INDEX(PO!A$12:A$603,MATCH($A230,PO!$V$12:$V$603,0))</f>
        <v>2</v>
      </c>
      <c r="D230" s="11">
        <f t="shared" ref="D230:D239" ca="1" si="1232">IF(ISERROR(J230),I230,SMALL(I230:J230,1))-1</f>
        <v>2</v>
      </c>
      <c r="E230" s="11">
        <f ca="1">IF($C230=1,OFFSET(E230,-CFF.NumLinha,0)+1,OFFSET(E230,-CFF.NumLinha,0))</f>
        <v>19</v>
      </c>
      <c r="F230" s="11">
        <f ca="1">IF($C230=1,0,IF($C230=2,OFFSET(F230,-CFF.NumLinha,0)+1,OFFSET(F230,-CFF.NumLinha,0)))</f>
        <v>1</v>
      </c>
      <c r="G230" s="11">
        <f ca="1">IF(AND($C230&lt;=2,$C230&lt;&gt;0),0,IF($C230=3,OFFSET(G230,-CFF.NumLinha,0)+1,OFFSET(G230,-CFF.NumLinha,0)))</f>
        <v>0</v>
      </c>
      <c r="H230" s="11">
        <f ca="1">IF(AND($C230&lt;=3,$C230&lt;&gt;0),0,IF($C230=4,OFFSET(H230,-CFF.NumLinha,0)+1,OFFSET(H230,-CFF.NumLinha,0)))</f>
        <v>0</v>
      </c>
      <c r="I230" s="11">
        <f ca="1">MATCH(0,OFFSET($D230,1,$C230,ROW($A$303)-ROW($A230)),0)</f>
        <v>6</v>
      </c>
      <c r="J230" s="11">
        <f ca="1">MATCH(OFFSET($D230,0,$C230)+1,OFFSET($D230,1,$C230,ROW($A$303)-ROW($A230)),0)</f>
        <v>3</v>
      </c>
      <c r="K230" s="156">
        <f ca="1">ROUND(INDEX(PO!T$12:T$603,MATCH($A230,PO!$V$12:$V$603,0)),2)+10^-12</f>
        <v>9.9999999999999998E-13</v>
      </c>
      <c r="L230" s="344"/>
      <c r="M230" s="338"/>
      <c r="N230" s="336"/>
      <c r="O230" s="171" t="s">
        <v>20</v>
      </c>
      <c r="P230" s="166">
        <f t="shared" ref="P230:W230" ca="1" si="1233">IF($B230,ROUND(P229*$N228,2),ROUND(SUMIF(OFFSET($B230,1,0,$D230),TRUE,OFFSET(P230,1,0,$D230))/SUMIF(OFFSET($B230,1,0,$D230),TRUE,OFFSET($K230,1,0,$D230))*$N228,2))</f>
        <v>0</v>
      </c>
      <c r="Q230" s="144">
        <f t="shared" ca="1" si="1233"/>
        <v>0</v>
      </c>
      <c r="R230" s="144">
        <f t="shared" ca="1" si="1233"/>
        <v>0</v>
      </c>
      <c r="S230" s="144">
        <f t="shared" ca="1" si="1233"/>
        <v>0</v>
      </c>
      <c r="T230" s="144">
        <f t="shared" ca="1" si="1233"/>
        <v>0</v>
      </c>
      <c r="U230" s="144">
        <f t="shared" ca="1" si="1233"/>
        <v>0</v>
      </c>
      <c r="V230" s="144">
        <f t="shared" ca="1" si="1233"/>
        <v>0</v>
      </c>
      <c r="W230" s="174">
        <f t="shared" ca="1" si="1233"/>
        <v>0</v>
      </c>
      <c r="X230" s="163"/>
      <c r="AC230" s="144">
        <f t="shared" ref="AC230" ca="1" si="1234">IF($B230,ROUND(AC229*$N228,2),ROUND(SUMIF(OFFSET($B230,1,0,$D230),TRUE,OFFSET(AC230,1,0,$D230))/SUMIF(OFFSET($B230,1,0,$D230),TRUE,OFFSET($K230,1,0,$D230))*$N228,2))</f>
        <v>0</v>
      </c>
    </row>
    <row r="231" spans="1:29" customFormat="1" ht="14.25" customHeight="1" x14ac:dyDescent="0.25">
      <c r="A231" s="1"/>
      <c r="B231" s="1"/>
      <c r="C231" s="1"/>
      <c r="D231" s="1"/>
      <c r="E231" s="1"/>
      <c r="F231" s="1"/>
      <c r="G231" s="1"/>
      <c r="H231" s="1"/>
      <c r="I231" s="1"/>
      <c r="J231" s="1"/>
      <c r="K231" s="1"/>
      <c r="L231" s="343" t="str">
        <f ca="1">INDEX(PO!K$12:K$603,MATCH($A233,PO!$V$12:$V$603,0))</f>
        <v>19.2.</v>
      </c>
      <c r="M231" s="337" t="str">
        <f ca="1">INDEX(PO!N$12:N$603,MATCH($A233,PO!$V$12:$V$603,0))</f>
        <v>DRENO</v>
      </c>
      <c r="N231" s="335">
        <f t="shared" ref="N231" ca="1" si="1235">IF(ROUND(K233,2)=0,K233,ROUND(K233,2))</f>
        <v>9.9999999999999998E-13</v>
      </c>
      <c r="O231" s="187" t="s">
        <v>143</v>
      </c>
      <c r="P231" s="192">
        <f t="shared" ref="P231" ca="1" si="1236">IF($B233,0,P232-IF(ISNUMBER(O232),O232,0))</f>
        <v>0</v>
      </c>
      <c r="Q231" s="193">
        <f t="shared" ref="Q231" ca="1" si="1237">IF($B233,0,Q232-IF(ISNUMBER(P232),P232,0))</f>
        <v>0</v>
      </c>
      <c r="R231" s="193">
        <f t="shared" ref="R231" ca="1" si="1238">IF($B233,0,R232-IF(ISNUMBER(Q232),Q232,0))</f>
        <v>0</v>
      </c>
      <c r="S231" s="193">
        <f t="shared" ref="S231" ca="1" si="1239">IF($B233,0,S232-IF(ISNUMBER(R232),R232,0))</f>
        <v>0</v>
      </c>
      <c r="T231" s="193">
        <v>0.25</v>
      </c>
      <c r="U231" s="193">
        <v>0.25</v>
      </c>
      <c r="V231" s="193">
        <v>0.25</v>
      </c>
      <c r="W231" s="194">
        <v>0.25</v>
      </c>
      <c r="X231" s="163"/>
      <c r="AC231" s="188">
        <f t="shared" ref="AC231" ca="1" si="1240">IF($B233,0,AC232-IF(ISNUMBER(AB232),AB232,0))</f>
        <v>0</v>
      </c>
    </row>
    <row r="232" spans="1:29" customFormat="1" ht="13.8" x14ac:dyDescent="0.25">
      <c r="A232" s="11"/>
      <c r="B232" s="11"/>
      <c r="C232" s="11"/>
      <c r="D232" s="11"/>
      <c r="E232" s="11"/>
      <c r="F232" s="11"/>
      <c r="G232" s="11"/>
      <c r="H232" s="11"/>
      <c r="I232" s="11"/>
      <c r="J232" s="11"/>
      <c r="K232" s="11"/>
      <c r="L232" s="344"/>
      <c r="M232" s="338"/>
      <c r="N232" s="336"/>
      <c r="O232" s="145" t="s">
        <v>145</v>
      </c>
      <c r="P232" s="165">
        <f t="shared" ref="P232" ca="1" si="1241">MIN(IF($B233,P231+IF(ISNUMBER(O232),O232,0),P233/$N231),1)</f>
        <v>0</v>
      </c>
      <c r="Q232" s="143">
        <f t="shared" ref="Q232" ca="1" si="1242">MIN(IF($B233,Q231+IF(ISNUMBER(P232),P232,0),Q233/$N231),1)</f>
        <v>0</v>
      </c>
      <c r="R232" s="143">
        <f t="shared" ref="R232" ca="1" si="1243">MIN(IF($B233,R231+IF(ISNUMBER(Q232),Q232,0),R233/$N231),1)</f>
        <v>0</v>
      </c>
      <c r="S232" s="143">
        <f t="shared" ref="S232" ca="1" si="1244">MIN(IF($B233,S231+IF(ISNUMBER(R232),R232,0),S233/$N231),1)</f>
        <v>0</v>
      </c>
      <c r="T232" s="143">
        <f t="shared" ref="T232" ca="1" si="1245">MIN(IF($B233,T231+IF(ISNUMBER(S232),S232,0),T233/$N231),1)</f>
        <v>0.25</v>
      </c>
      <c r="U232" s="143">
        <f t="shared" ref="U232" ca="1" si="1246">MIN(IF($B233,U231+IF(ISNUMBER(T232),T232,0),U233/$N231),1)</f>
        <v>0.5</v>
      </c>
      <c r="V232" s="143">
        <f t="shared" ref="V232" ca="1" si="1247">MIN(IF($B233,V231+IF(ISNUMBER(U232),U232,0),V233/$N231),1)</f>
        <v>0.75</v>
      </c>
      <c r="W232" s="143">
        <f t="shared" ref="W232" ca="1" si="1248">MIN(IF($B233,W231+IF(ISNUMBER(V232),V232,0),W233/$N231),1)</f>
        <v>1</v>
      </c>
      <c r="X232" s="163"/>
      <c r="AC232" s="143">
        <f t="shared" ref="AC232" ca="1" si="1249">MIN(IF($B233,AC231+IF(ISNUMBER(AB232),AB232,0),AC233/$N231),1)</f>
        <v>0</v>
      </c>
    </row>
    <row r="233" spans="1:29" customFormat="1" ht="13.8" x14ac:dyDescent="0.25">
      <c r="A233" s="11">
        <f ca="1">OFFSET(A233,-CFF.NumLinha,0)+1</f>
        <v>72</v>
      </c>
      <c r="B233" s="11" t="b">
        <f ca="1">$C233&gt;=OFFSET($C233,CFF.NumLinha,0)</f>
        <v>1</v>
      </c>
      <c r="C233" s="11">
        <f ca="1">INDEX(PO!A$12:A$603,MATCH($A233,PO!$V$12:$V$603,0))</f>
        <v>2</v>
      </c>
      <c r="D233" s="11">
        <f t="shared" ref="D233:D239" ca="1" si="1250">IF(ISERROR(J233),I233,SMALL(I233:J233,1))-1</f>
        <v>2</v>
      </c>
      <c r="E233" s="11">
        <f ca="1">IF($C233=1,OFFSET(E233,-CFF.NumLinha,0)+1,OFFSET(E233,-CFF.NumLinha,0))</f>
        <v>19</v>
      </c>
      <c r="F233" s="11">
        <f ca="1">IF($C233=1,0,IF($C233=2,OFFSET(F233,-CFF.NumLinha,0)+1,OFFSET(F233,-CFF.NumLinha,0)))</f>
        <v>2</v>
      </c>
      <c r="G233" s="11">
        <f ca="1">IF(AND($C233&lt;=2,$C233&lt;&gt;0),0,IF($C233=3,OFFSET(G233,-CFF.NumLinha,0)+1,OFFSET(G233,-CFF.NumLinha,0)))</f>
        <v>0</v>
      </c>
      <c r="H233" s="11">
        <f ca="1">IF(AND($C233&lt;=3,$C233&lt;&gt;0),0,IF($C233=4,OFFSET(H233,-CFF.NumLinha,0)+1,OFFSET(H233,-CFF.NumLinha,0)))</f>
        <v>0</v>
      </c>
      <c r="I233" s="11">
        <f ca="1">MATCH(0,OFFSET($D233,1,$C233,ROW($A$303)-ROW($A233)),0)</f>
        <v>3</v>
      </c>
      <c r="J233" s="11">
        <f ca="1">MATCH(OFFSET($D233,0,$C233)+1,OFFSET($D233,1,$C233,ROW($A$303)-ROW($A233)),0)</f>
        <v>12</v>
      </c>
      <c r="K233" s="156">
        <f ca="1">ROUND(INDEX(PO!T$12:T$603,MATCH($A233,PO!$V$12:$V$603,0)),2)+10^-12</f>
        <v>9.9999999999999998E-13</v>
      </c>
      <c r="L233" s="344"/>
      <c r="M233" s="338"/>
      <c r="N233" s="336"/>
      <c r="O233" s="171" t="s">
        <v>20</v>
      </c>
      <c r="P233" s="166">
        <f t="shared" ref="P233:W233" ca="1" si="1251">IF($B233,ROUND(P232*$N231,2),ROUND(SUMIF(OFFSET($B233,1,0,$D233),TRUE,OFFSET(P233,1,0,$D233))/SUMIF(OFFSET($B233,1,0,$D233),TRUE,OFFSET($K233,1,0,$D233))*$N231,2))</f>
        <v>0</v>
      </c>
      <c r="Q233" s="144">
        <f t="shared" ca="1" si="1251"/>
        <v>0</v>
      </c>
      <c r="R233" s="144">
        <f t="shared" ca="1" si="1251"/>
        <v>0</v>
      </c>
      <c r="S233" s="144">
        <f t="shared" ca="1" si="1251"/>
        <v>0</v>
      </c>
      <c r="T233" s="144">
        <f t="shared" ca="1" si="1251"/>
        <v>0</v>
      </c>
      <c r="U233" s="144">
        <f t="shared" ca="1" si="1251"/>
        <v>0</v>
      </c>
      <c r="V233" s="144">
        <f t="shared" ca="1" si="1251"/>
        <v>0</v>
      </c>
      <c r="W233" s="174">
        <f t="shared" ca="1" si="1251"/>
        <v>0</v>
      </c>
      <c r="X233" s="163"/>
      <c r="AC233" s="144">
        <f t="shared" ref="AC233" ca="1" si="1252">IF($B233,ROUND(AC232*$N231,2),ROUND(SUMIF(OFFSET($B233,1,0,$D233),TRUE,OFFSET(AC233,1,0,$D233))/SUMIF(OFFSET($B233,1,0,$D233),TRUE,OFFSET($K233,1,0,$D233))*$N231,2))</f>
        <v>0</v>
      </c>
    </row>
    <row r="234" spans="1:29" customFormat="1" ht="14.25" customHeight="1" x14ac:dyDescent="0.25">
      <c r="A234" s="1"/>
      <c r="B234" s="1"/>
      <c r="C234" s="1"/>
      <c r="D234" s="1"/>
      <c r="E234" s="1"/>
      <c r="F234" s="1"/>
      <c r="G234" s="1"/>
      <c r="H234" s="1"/>
      <c r="I234" s="1"/>
      <c r="J234" s="1"/>
      <c r="K234" s="1"/>
      <c r="L234" s="343" t="str">
        <f ca="1">INDEX(PO!K$12:K$603,MATCH($A236,PO!$V$12:$V$603,0))</f>
        <v>20.</v>
      </c>
      <c r="M234" s="337" t="str">
        <f ca="1">INDEX(PO!N$12:N$603,MATCH($A236,PO!$V$12:$V$603,0))</f>
        <v>CABEAMENTO ESTRUTURADO</v>
      </c>
      <c r="N234" s="335">
        <f t="shared" ref="N234" ca="1" si="1253">IF(ROUND(K236,2)=0,K236,ROUND(K236,2))</f>
        <v>9.9999999999999998E-13</v>
      </c>
      <c r="O234" s="187" t="s">
        <v>143</v>
      </c>
      <c r="P234" s="192">
        <f t="shared" ref="P234" ca="1" si="1254">IF($B236,0,P235-IF(ISNUMBER(O235),O235,0))</f>
        <v>0</v>
      </c>
      <c r="Q234" s="193">
        <f t="shared" ref="Q234" ca="1" si="1255">IF($B236,0,Q235-IF(ISNUMBER(P235),P235,0))</f>
        <v>0</v>
      </c>
      <c r="R234" s="193">
        <f t="shared" ref="R234" ca="1" si="1256">IF($B236,0,R235-IF(ISNUMBER(Q235),Q235,0))</f>
        <v>0</v>
      </c>
      <c r="S234" s="193">
        <f t="shared" ref="S234" ca="1" si="1257">IF($B236,0,S235-IF(ISNUMBER(R235),R235,0))</f>
        <v>0</v>
      </c>
      <c r="T234" s="193">
        <f t="shared" ref="T234" ca="1" si="1258">IF($B236,0,T235-IF(ISNUMBER(S235),S235,0))</f>
        <v>0</v>
      </c>
      <c r="U234" s="193">
        <f t="shared" ref="U234" ca="1" si="1259">IF($B236,0,U235-IF(ISNUMBER(T235),T235,0))</f>
        <v>0</v>
      </c>
      <c r="V234" s="193">
        <f t="shared" ref="V234" ca="1" si="1260">IF($B236,0,V235-IF(ISNUMBER(U235),U235,0))</f>
        <v>0</v>
      </c>
      <c r="W234" s="194">
        <f t="shared" ref="W234" ca="1" si="1261">IF($B236,0,W235-IF(ISNUMBER(V235),V235,0))</f>
        <v>0</v>
      </c>
      <c r="X234" s="163"/>
      <c r="AC234" s="188">
        <f t="shared" ref="AC234" ca="1" si="1262">IF($B236,0,AC235-IF(ISNUMBER(AB235),AB235,0))</f>
        <v>0</v>
      </c>
    </row>
    <row r="235" spans="1:29" customFormat="1" ht="13.8" x14ac:dyDescent="0.25">
      <c r="A235" s="11"/>
      <c r="B235" s="11"/>
      <c r="C235" s="11"/>
      <c r="D235" s="11"/>
      <c r="E235" s="11"/>
      <c r="F235" s="11"/>
      <c r="G235" s="11"/>
      <c r="H235" s="11"/>
      <c r="I235" s="11"/>
      <c r="J235" s="11"/>
      <c r="K235" s="11"/>
      <c r="L235" s="344"/>
      <c r="M235" s="338"/>
      <c r="N235" s="336"/>
      <c r="O235" s="145" t="s">
        <v>145</v>
      </c>
      <c r="P235" s="165">
        <f t="shared" ref="P235" ca="1" si="1263">MIN(IF($B236,P234+IF(ISNUMBER(O235),O235,0),P236/$N234),1)</f>
        <v>0</v>
      </c>
      <c r="Q235" s="143">
        <f t="shared" ref="Q235" ca="1" si="1264">MIN(IF($B236,Q234+IF(ISNUMBER(P235),P235,0),Q236/$N234),1)</f>
        <v>0</v>
      </c>
      <c r="R235" s="143">
        <f t="shared" ref="R235" ca="1" si="1265">MIN(IF($B236,R234+IF(ISNUMBER(Q235),Q235,0),R236/$N234),1)</f>
        <v>0</v>
      </c>
      <c r="S235" s="143">
        <f t="shared" ref="S235" ca="1" si="1266">MIN(IF($B236,S234+IF(ISNUMBER(R235),R235,0),S236/$N234),1)</f>
        <v>0</v>
      </c>
      <c r="T235" s="143">
        <f t="shared" ref="T235" ca="1" si="1267">MIN(IF($B236,T234+IF(ISNUMBER(S235),S235,0),T236/$N234),1)</f>
        <v>0</v>
      </c>
      <c r="U235" s="143">
        <f t="shared" ref="U235" ca="1" si="1268">MIN(IF($B236,U234+IF(ISNUMBER(T235),T235,0),U236/$N234),1)</f>
        <v>0</v>
      </c>
      <c r="V235" s="143">
        <f t="shared" ref="V235" ca="1" si="1269">MIN(IF($B236,V234+IF(ISNUMBER(U235),U235,0),V236/$N234),1)</f>
        <v>0</v>
      </c>
      <c r="W235" s="143">
        <f t="shared" ref="W235" ca="1" si="1270">MIN(IF($B236,W234+IF(ISNUMBER(V235),V235,0),W236/$N234),1)</f>
        <v>0</v>
      </c>
      <c r="X235" s="163"/>
      <c r="AC235" s="143">
        <f t="shared" ref="AC235" ca="1" si="1271">MIN(IF($B236,AC234+IF(ISNUMBER(AB235),AB235,0),AC236/$N234),1)</f>
        <v>0</v>
      </c>
    </row>
    <row r="236" spans="1:29" customFormat="1" ht="13.8" x14ac:dyDescent="0.25">
      <c r="A236" s="11">
        <f ca="1">OFFSET(A236,-CFF.NumLinha,0)+1</f>
        <v>73</v>
      </c>
      <c r="B236" s="11" t="b">
        <f ca="1">$C236&gt;=OFFSET($C236,CFF.NumLinha,0)</f>
        <v>0</v>
      </c>
      <c r="C236" s="11">
        <f ca="1">INDEX(PO!A$12:A$603,MATCH($A236,PO!$V$12:$V$603,0))</f>
        <v>1</v>
      </c>
      <c r="D236" s="11">
        <f t="shared" ref="D236:D239" ca="1" si="1272">IF(ISERROR(J236),I236,SMALL(I236:J236,1))-1</f>
        <v>17</v>
      </c>
      <c r="E236" s="11">
        <f ca="1">IF($C236=1,OFFSET(E236,-CFF.NumLinha,0)+1,OFFSET(E236,-CFF.NumLinha,0))</f>
        <v>20</v>
      </c>
      <c r="F236" s="11">
        <f ca="1">IF($C236=1,0,IF($C236=2,OFFSET(F236,-CFF.NumLinha,0)+1,OFFSET(F236,-CFF.NumLinha,0)))</f>
        <v>0</v>
      </c>
      <c r="G236" s="11">
        <f ca="1">IF(AND($C236&lt;=2,$C236&lt;&gt;0),0,IF($C236=3,OFFSET(G236,-CFF.NumLinha,0)+1,OFFSET(G236,-CFF.NumLinha,0)))</f>
        <v>0</v>
      </c>
      <c r="H236" s="11">
        <f ca="1">IF(AND($C236&lt;=3,$C236&lt;&gt;0),0,IF($C236=4,OFFSET(H236,-CFF.NumLinha,0)+1,OFFSET(H236,-CFF.NumLinha,0)))</f>
        <v>0</v>
      </c>
      <c r="I236" s="11">
        <f ca="1">MATCH(0,OFFSET($D236,1,$C236,ROW($A$303)-ROW($A236)),0)</f>
        <v>67</v>
      </c>
      <c r="J236" s="11">
        <f ca="1">MATCH(OFFSET($D236,0,$C236)+1,OFFSET($D236,1,$C236,ROW($A$303)-ROW($A236)),0)</f>
        <v>18</v>
      </c>
      <c r="K236" s="156">
        <f ca="1">ROUND(INDEX(PO!T$12:T$603,MATCH($A236,PO!$V$12:$V$603,0)),2)+10^-12</f>
        <v>9.9999999999999998E-13</v>
      </c>
      <c r="L236" s="344"/>
      <c r="M236" s="338"/>
      <c r="N236" s="336"/>
      <c r="O236" s="171" t="s">
        <v>20</v>
      </c>
      <c r="P236" s="166">
        <f t="shared" ref="P236:W236" ca="1" si="1273">IF($B236,ROUND(P235*$N234,2),ROUND(SUMIF(OFFSET($B236,1,0,$D236),TRUE,OFFSET(P236,1,0,$D236))/SUMIF(OFFSET($B236,1,0,$D236),TRUE,OFFSET($K236,1,0,$D236))*$N234,2))</f>
        <v>0</v>
      </c>
      <c r="Q236" s="144">
        <f t="shared" ca="1" si="1273"/>
        <v>0</v>
      </c>
      <c r="R236" s="144">
        <f t="shared" ca="1" si="1273"/>
        <v>0</v>
      </c>
      <c r="S236" s="144">
        <f t="shared" ca="1" si="1273"/>
        <v>0</v>
      </c>
      <c r="T236" s="144">
        <f t="shared" ca="1" si="1273"/>
        <v>0</v>
      </c>
      <c r="U236" s="144">
        <f t="shared" ca="1" si="1273"/>
        <v>0</v>
      </c>
      <c r="V236" s="144">
        <f t="shared" ca="1" si="1273"/>
        <v>0</v>
      </c>
      <c r="W236" s="174">
        <f t="shared" ca="1" si="1273"/>
        <v>0</v>
      </c>
      <c r="X236" s="163"/>
      <c r="AC236" s="144">
        <f t="shared" ref="AC236" ca="1" si="1274">IF($B236,ROUND(AC235*$N234,2),ROUND(SUMIF(OFFSET($B236,1,0,$D236),TRUE,OFFSET(AC236,1,0,$D236))/SUMIF(OFFSET($B236,1,0,$D236),TRUE,OFFSET($K236,1,0,$D236))*$N234,2))</f>
        <v>0</v>
      </c>
    </row>
    <row r="237" spans="1:29" customFormat="1" ht="14.25" customHeight="1" x14ac:dyDescent="0.25">
      <c r="A237" s="1"/>
      <c r="B237" s="1"/>
      <c r="C237" s="1"/>
      <c r="D237" s="1"/>
      <c r="E237" s="1"/>
      <c r="F237" s="1"/>
      <c r="G237" s="1"/>
      <c r="H237" s="1"/>
      <c r="I237" s="1"/>
      <c r="J237" s="1"/>
      <c r="K237" s="1"/>
      <c r="L237" s="343" t="str">
        <f ca="1">INDEX(PO!K$12:K$603,MATCH($A239,PO!$V$12:$V$603,0))</f>
        <v>20.1.</v>
      </c>
      <c r="M237" s="337" t="str">
        <f ca="1">INDEX(PO!N$12:N$603,MATCH($A239,PO!$V$12:$V$603,0))</f>
        <v>ACESSÓRIOS CABEAMENTO</v>
      </c>
      <c r="N237" s="335">
        <f t="shared" ref="N237" ca="1" si="1275">IF(ROUND(K239,2)=0,K239,ROUND(K239,2))</f>
        <v>9.9999999999999998E-13</v>
      </c>
      <c r="O237" s="187" t="s">
        <v>143</v>
      </c>
      <c r="P237" s="192">
        <f t="shared" ref="P237" ca="1" si="1276">IF($B239,0,P238-IF(ISNUMBER(O238),O238,0))</f>
        <v>0</v>
      </c>
      <c r="Q237" s="193">
        <f t="shared" ref="Q237" ca="1" si="1277">IF($B239,0,Q238-IF(ISNUMBER(P238),P238,0))</f>
        <v>0</v>
      </c>
      <c r="R237" s="193">
        <f t="shared" ref="R237" ca="1" si="1278">IF($B239,0,R238-IF(ISNUMBER(Q238),Q238,0))</f>
        <v>0</v>
      </c>
      <c r="S237" s="193">
        <f t="shared" ref="S237" ca="1" si="1279">IF($B239,0,S238-IF(ISNUMBER(R238),R238,0))</f>
        <v>0</v>
      </c>
      <c r="T237" s="193">
        <v>0.25</v>
      </c>
      <c r="U237" s="193">
        <v>0.25</v>
      </c>
      <c r="V237" s="193">
        <v>0.25</v>
      </c>
      <c r="W237" s="194">
        <v>0.25</v>
      </c>
      <c r="X237" s="163"/>
      <c r="AC237" s="188">
        <f t="shared" ref="AC237" ca="1" si="1280">IF($B239,0,AC238-IF(ISNUMBER(AB238),AB238,0))</f>
        <v>0</v>
      </c>
    </row>
    <row r="238" spans="1:29" customFormat="1" ht="13.8" x14ac:dyDescent="0.25">
      <c r="A238" s="11"/>
      <c r="B238" s="11"/>
      <c r="C238" s="11"/>
      <c r="D238" s="11"/>
      <c r="E238" s="11"/>
      <c r="F238" s="11"/>
      <c r="G238" s="11"/>
      <c r="H238" s="11"/>
      <c r="I238" s="11"/>
      <c r="J238" s="11"/>
      <c r="K238" s="11"/>
      <c r="L238" s="344"/>
      <c r="M238" s="338"/>
      <c r="N238" s="336"/>
      <c r="O238" s="145" t="s">
        <v>145</v>
      </c>
      <c r="P238" s="165">
        <f t="shared" ref="P238" ca="1" si="1281">MIN(IF($B239,P237+IF(ISNUMBER(O238),O238,0),P239/$N237),1)</f>
        <v>0</v>
      </c>
      <c r="Q238" s="143">
        <f t="shared" ref="Q238" ca="1" si="1282">MIN(IF($B239,Q237+IF(ISNUMBER(P238),P238,0),Q239/$N237),1)</f>
        <v>0</v>
      </c>
      <c r="R238" s="143">
        <f t="shared" ref="R238" ca="1" si="1283">MIN(IF($B239,R237+IF(ISNUMBER(Q238),Q238,0),R239/$N237),1)</f>
        <v>0</v>
      </c>
      <c r="S238" s="143">
        <f t="shared" ref="S238" ca="1" si="1284">MIN(IF($B239,S237+IF(ISNUMBER(R238),R238,0),S239/$N237),1)</f>
        <v>0</v>
      </c>
      <c r="T238" s="143">
        <f t="shared" ref="T238" ca="1" si="1285">MIN(IF($B239,T237+IF(ISNUMBER(S238),S238,0),T239/$N237),1)</f>
        <v>0.25</v>
      </c>
      <c r="U238" s="143">
        <f t="shared" ref="U238" ca="1" si="1286">MIN(IF($B239,U237+IF(ISNUMBER(T238),T238,0),U239/$N237),1)</f>
        <v>0.5</v>
      </c>
      <c r="V238" s="143">
        <f t="shared" ref="V238" ca="1" si="1287">MIN(IF($B239,V237+IF(ISNUMBER(U238),U238,0),V239/$N237),1)</f>
        <v>0.75</v>
      </c>
      <c r="W238" s="143">
        <f t="shared" ref="W238" ca="1" si="1288">MIN(IF($B239,W237+IF(ISNUMBER(V238),V238,0),W239/$N237),1)</f>
        <v>1</v>
      </c>
      <c r="X238" s="163"/>
      <c r="AC238" s="143">
        <f t="shared" ref="AC238" ca="1" si="1289">MIN(IF($B239,AC237+IF(ISNUMBER(AB238),AB238,0),AC239/$N237),1)</f>
        <v>0</v>
      </c>
    </row>
    <row r="239" spans="1:29" customFormat="1" ht="13.8" x14ac:dyDescent="0.25">
      <c r="A239" s="11">
        <f ca="1">OFFSET(A239,-CFF.NumLinha,0)+1</f>
        <v>74</v>
      </c>
      <c r="B239" s="11" t="b">
        <f ca="1">$C239&gt;=OFFSET($C239,CFF.NumLinha,0)</f>
        <v>1</v>
      </c>
      <c r="C239" s="11">
        <f ca="1">INDEX(PO!A$12:A$603,MATCH($A239,PO!$V$12:$V$603,0))</f>
        <v>2</v>
      </c>
      <c r="D239" s="11">
        <f t="shared" ref="D239" ca="1" si="1290">IF(ISERROR(J239),I239,SMALL(I239:J239,1))-1</f>
        <v>2</v>
      </c>
      <c r="E239" s="11">
        <f ca="1">IF($C239=1,OFFSET(E239,-CFF.NumLinha,0)+1,OFFSET(E239,-CFF.NumLinha,0))</f>
        <v>20</v>
      </c>
      <c r="F239" s="11">
        <f ca="1">IF($C239=1,0,IF($C239=2,OFFSET(F239,-CFF.NumLinha,0)+1,OFFSET(F239,-CFF.NumLinha,0)))</f>
        <v>1</v>
      </c>
      <c r="G239" s="11">
        <f ca="1">IF(AND($C239&lt;=2,$C239&lt;&gt;0),0,IF($C239=3,OFFSET(G239,-CFF.NumLinha,0)+1,OFFSET(G239,-CFF.NumLinha,0)))</f>
        <v>0</v>
      </c>
      <c r="H239" s="11">
        <f ca="1">IF(AND($C239&lt;=3,$C239&lt;&gt;0),0,IF($C239=4,OFFSET(H239,-CFF.NumLinha,0)+1,OFFSET(H239,-CFF.NumLinha,0)))</f>
        <v>0</v>
      </c>
      <c r="I239" s="11">
        <f t="shared" ref="I239" ca="1" si="1291">MATCH(0,OFFSET($D239,1,$C239,ROW($A$303)-ROW($A239)),0)</f>
        <v>15</v>
      </c>
      <c r="J239" s="11">
        <f t="shared" ref="J239" ca="1" si="1292">MATCH(OFFSET($D239,0,$C239)+1,OFFSET($D239,1,$C239,ROW($A$303)-ROW($A239)),0)</f>
        <v>3</v>
      </c>
      <c r="K239" s="156">
        <f ca="1">ROUND(INDEX(PO!T$12:T$603,MATCH($A239,PO!$V$12:$V$603,0)),2)+10^-12</f>
        <v>9.9999999999999998E-13</v>
      </c>
      <c r="L239" s="344"/>
      <c r="M239" s="338"/>
      <c r="N239" s="336"/>
      <c r="O239" s="171" t="s">
        <v>20</v>
      </c>
      <c r="P239" s="166">
        <f t="shared" ref="P239:W239" ca="1" si="1293">IF($B239,ROUND(P238*$N237,2),ROUND(SUMIF(OFFSET($B239,1,0,$D239),TRUE,OFFSET(P239,1,0,$D239))/SUMIF(OFFSET($B239,1,0,$D239),TRUE,OFFSET($K239,1,0,$D239))*$N237,2))</f>
        <v>0</v>
      </c>
      <c r="Q239" s="144">
        <f t="shared" ca="1" si="1293"/>
        <v>0</v>
      </c>
      <c r="R239" s="144">
        <f t="shared" ca="1" si="1293"/>
        <v>0</v>
      </c>
      <c r="S239" s="144">
        <f t="shared" ca="1" si="1293"/>
        <v>0</v>
      </c>
      <c r="T239" s="144">
        <f t="shared" ca="1" si="1293"/>
        <v>0</v>
      </c>
      <c r="U239" s="144">
        <f t="shared" ca="1" si="1293"/>
        <v>0</v>
      </c>
      <c r="V239" s="144">
        <f t="shared" ca="1" si="1293"/>
        <v>0</v>
      </c>
      <c r="W239" s="174">
        <f t="shared" ca="1" si="1293"/>
        <v>0</v>
      </c>
      <c r="X239" s="163"/>
      <c r="AC239" s="144">
        <f t="shared" ref="AC239" ca="1" si="1294">IF($B239,ROUND(AC238*$N237,2),ROUND(SUMIF(OFFSET($B239,1,0,$D239),TRUE,OFFSET(AC239,1,0,$D239))/SUMIF(OFFSET($B239,1,0,$D239),TRUE,OFFSET($K239,1,0,$D239))*$N237,2))</f>
        <v>0</v>
      </c>
    </row>
    <row r="240" spans="1:29" customFormat="1" ht="14.25" customHeight="1" x14ac:dyDescent="0.25">
      <c r="A240" s="1"/>
      <c r="B240" s="1"/>
      <c r="C240" s="1"/>
      <c r="D240" s="1"/>
      <c r="E240" s="1"/>
      <c r="F240" s="1"/>
      <c r="G240" s="1"/>
      <c r="H240" s="1"/>
      <c r="I240" s="1"/>
      <c r="J240" s="1"/>
      <c r="K240" s="1"/>
      <c r="L240" s="343" t="str">
        <f ca="1">INDEX(PO!K$12:K$603,MATCH($A242,PO!$V$12:$V$603,0))</f>
        <v>20.2.</v>
      </c>
      <c r="M240" s="337" t="str">
        <f ca="1">INDEX(PO!N$12:N$603,MATCH($A242,PO!$V$12:$V$603,0))</f>
        <v>CAIXAS E QUADROS</v>
      </c>
      <c r="N240" s="335">
        <f t="shared" ref="N240" ca="1" si="1295">IF(ROUND(K242,2)=0,K242,ROUND(K242,2))</f>
        <v>9.9999999999999998E-13</v>
      </c>
      <c r="O240" s="187" t="s">
        <v>143</v>
      </c>
      <c r="P240" s="192">
        <f t="shared" ref="P240" ca="1" si="1296">IF($B242,0,P241-IF(ISNUMBER(O241),O241,0))</f>
        <v>0</v>
      </c>
      <c r="Q240" s="193">
        <f t="shared" ref="Q240" ca="1" si="1297">IF($B242,0,Q241-IF(ISNUMBER(P241),P241,0))</f>
        <v>0</v>
      </c>
      <c r="R240" s="193">
        <f t="shared" ref="R240" ca="1" si="1298">IF($B242,0,R241-IF(ISNUMBER(Q241),Q241,0))</f>
        <v>0</v>
      </c>
      <c r="S240" s="193">
        <f t="shared" ref="S240" ca="1" si="1299">IF($B242,0,S241-IF(ISNUMBER(R241),R241,0))</f>
        <v>0</v>
      </c>
      <c r="T240" s="193">
        <v>0.25</v>
      </c>
      <c r="U240" s="193">
        <v>0.25</v>
      </c>
      <c r="V240" s="193">
        <v>0.25</v>
      </c>
      <c r="W240" s="194">
        <v>0.25</v>
      </c>
      <c r="X240" s="163"/>
      <c r="AC240" s="188">
        <f t="shared" ref="AC240" ca="1" si="1300">IF($B242,0,AC241-IF(ISNUMBER(AB241),AB241,0))</f>
        <v>0</v>
      </c>
    </row>
    <row r="241" spans="1:29" customFormat="1" ht="13.8" x14ac:dyDescent="0.25">
      <c r="A241" s="11"/>
      <c r="B241" s="11"/>
      <c r="C241" s="11"/>
      <c r="D241" s="11"/>
      <c r="E241" s="11"/>
      <c r="F241" s="11"/>
      <c r="G241" s="11"/>
      <c r="H241" s="11"/>
      <c r="I241" s="11"/>
      <c r="J241" s="11"/>
      <c r="K241" s="11"/>
      <c r="L241" s="344"/>
      <c r="M241" s="338"/>
      <c r="N241" s="336"/>
      <c r="O241" s="145" t="s">
        <v>145</v>
      </c>
      <c r="P241" s="165">
        <f t="shared" ref="P241" ca="1" si="1301">MIN(IF($B242,P240+IF(ISNUMBER(O241),O241,0),P242/$N240),1)</f>
        <v>0</v>
      </c>
      <c r="Q241" s="143">
        <f t="shared" ref="Q241" ca="1" si="1302">MIN(IF($B242,Q240+IF(ISNUMBER(P241),P241,0),Q242/$N240),1)</f>
        <v>0</v>
      </c>
      <c r="R241" s="143">
        <f t="shared" ref="R241" ca="1" si="1303">MIN(IF($B242,R240+IF(ISNUMBER(Q241),Q241,0),R242/$N240),1)</f>
        <v>0</v>
      </c>
      <c r="S241" s="143">
        <f t="shared" ref="S241" ca="1" si="1304">MIN(IF($B242,S240+IF(ISNUMBER(R241),R241,0),S242/$N240),1)</f>
        <v>0</v>
      </c>
      <c r="T241" s="143">
        <f t="shared" ref="T241" ca="1" si="1305">MIN(IF($B242,T240+IF(ISNUMBER(S241),S241,0),T242/$N240),1)</f>
        <v>0.25</v>
      </c>
      <c r="U241" s="143">
        <f t="shared" ref="U241" ca="1" si="1306">MIN(IF($B242,U240+IF(ISNUMBER(T241),T241,0),U242/$N240),1)</f>
        <v>0.5</v>
      </c>
      <c r="V241" s="143">
        <f t="shared" ref="V241" ca="1" si="1307">MIN(IF($B242,V240+IF(ISNUMBER(U241),U241,0),V242/$N240),1)</f>
        <v>0.75</v>
      </c>
      <c r="W241" s="143">
        <f t="shared" ref="W241" ca="1" si="1308">MIN(IF($B242,W240+IF(ISNUMBER(V241),V241,0),W242/$N240),1)</f>
        <v>1</v>
      </c>
      <c r="X241" s="163"/>
      <c r="AC241" s="143">
        <f t="shared" ref="AC241" ca="1" si="1309">MIN(IF($B242,AC240+IF(ISNUMBER(AB241),AB241,0),AC242/$N240),1)</f>
        <v>0</v>
      </c>
    </row>
    <row r="242" spans="1:29" customFormat="1" ht="13.8" x14ac:dyDescent="0.25">
      <c r="A242" s="11">
        <f ca="1">OFFSET(A242,-CFF.NumLinha,0)+1</f>
        <v>75</v>
      </c>
      <c r="B242" s="11" t="b">
        <f ca="1">$C242&gt;=OFFSET($C242,CFF.NumLinha,0)</f>
        <v>1</v>
      </c>
      <c r="C242" s="11">
        <f ca="1">INDEX(PO!A$12:A$603,MATCH($A242,PO!$V$12:$V$603,0))</f>
        <v>2</v>
      </c>
      <c r="D242" s="11">
        <f t="shared" ref="D242:D273" ca="1" si="1310">IF(ISERROR(J242),I242,SMALL(I242:J242,1))-1</f>
        <v>2</v>
      </c>
      <c r="E242" s="11">
        <f ca="1">IF($C242=1,OFFSET(E242,-CFF.NumLinha,0)+1,OFFSET(E242,-CFF.NumLinha,0))</f>
        <v>20</v>
      </c>
      <c r="F242" s="11">
        <f ca="1">IF($C242=1,0,IF($C242=2,OFFSET(F242,-CFF.NumLinha,0)+1,OFFSET(F242,-CFF.NumLinha,0)))</f>
        <v>2</v>
      </c>
      <c r="G242" s="11">
        <f ca="1">IF(AND($C242&lt;=2,$C242&lt;&gt;0),0,IF($C242=3,OFFSET(G242,-CFF.NumLinha,0)+1,OFFSET(G242,-CFF.NumLinha,0)))</f>
        <v>0</v>
      </c>
      <c r="H242" s="11">
        <f ca="1">IF(AND($C242&lt;=3,$C242&lt;&gt;0),0,IF($C242=4,OFFSET(H242,-CFF.NumLinha,0)+1,OFFSET(H242,-CFF.NumLinha,0)))</f>
        <v>0</v>
      </c>
      <c r="I242" s="11">
        <f t="shared" ref="I242:I273" ca="1" si="1311">MATCH(0,OFFSET($D242,1,$C242,ROW($A$303)-ROW($A242)),0)</f>
        <v>12</v>
      </c>
      <c r="J242" s="11">
        <f t="shared" ref="J242:J273" ca="1" si="1312">MATCH(OFFSET($D242,0,$C242)+1,OFFSET($D242,1,$C242,ROW($A$303)-ROW($A242)),0)</f>
        <v>3</v>
      </c>
      <c r="K242" s="156">
        <f ca="1">ROUND(INDEX(PO!T$12:T$603,MATCH($A242,PO!$V$12:$V$603,0)),2)+10^-12</f>
        <v>9.9999999999999998E-13</v>
      </c>
      <c r="L242" s="344"/>
      <c r="M242" s="338"/>
      <c r="N242" s="336"/>
      <c r="O242" s="171" t="s">
        <v>20</v>
      </c>
      <c r="P242" s="166">
        <f t="shared" ref="P242:W242" ca="1" si="1313">IF($B242,ROUND(P241*$N240,2),ROUND(SUMIF(OFFSET($B242,1,0,$D242),TRUE,OFFSET(P242,1,0,$D242))/SUMIF(OFFSET($B242,1,0,$D242),TRUE,OFFSET($K242,1,0,$D242))*$N240,2))</f>
        <v>0</v>
      </c>
      <c r="Q242" s="144">
        <f t="shared" ca="1" si="1313"/>
        <v>0</v>
      </c>
      <c r="R242" s="144">
        <f t="shared" ca="1" si="1313"/>
        <v>0</v>
      </c>
      <c r="S242" s="144">
        <f t="shared" ca="1" si="1313"/>
        <v>0</v>
      </c>
      <c r="T242" s="144">
        <f t="shared" ca="1" si="1313"/>
        <v>0</v>
      </c>
      <c r="U242" s="144">
        <f t="shared" ca="1" si="1313"/>
        <v>0</v>
      </c>
      <c r="V242" s="144">
        <f t="shared" ca="1" si="1313"/>
        <v>0</v>
      </c>
      <c r="W242" s="174">
        <f t="shared" ca="1" si="1313"/>
        <v>0</v>
      </c>
      <c r="X242" s="163"/>
      <c r="AC242" s="144">
        <f t="shared" ref="AC242" ca="1" si="1314">IF($B242,ROUND(AC241*$N240,2),ROUND(SUMIF(OFFSET($B242,1,0,$D242),TRUE,OFFSET(AC242,1,0,$D242))/SUMIF(OFFSET($B242,1,0,$D242),TRUE,OFFSET($K242,1,0,$D242))*$N240,2))</f>
        <v>0</v>
      </c>
    </row>
    <row r="243" spans="1:29" customFormat="1" ht="14.25" customHeight="1" x14ac:dyDescent="0.25">
      <c r="A243" s="1"/>
      <c r="B243" s="1"/>
      <c r="C243" s="1"/>
      <c r="D243" s="1"/>
      <c r="E243" s="1"/>
      <c r="F243" s="1"/>
      <c r="G243" s="1"/>
      <c r="H243" s="1"/>
      <c r="I243" s="1"/>
      <c r="J243" s="1"/>
      <c r="K243" s="1"/>
      <c r="L243" s="343" t="str">
        <f ca="1">INDEX(PO!K$12:K$603,MATCH($A245,PO!$V$12:$V$603,0))</f>
        <v>20.3.</v>
      </c>
      <c r="M243" s="337" t="str">
        <f ca="1">INDEX(PO!N$12:N$603,MATCH($A245,PO!$V$12:$V$603,0))</f>
        <v>DISPOSITIVOS</v>
      </c>
      <c r="N243" s="335">
        <f t="shared" ref="N243" ca="1" si="1315">IF(ROUND(K245,2)=0,K245,ROUND(K245,2))</f>
        <v>9.9999999999999998E-13</v>
      </c>
      <c r="O243" s="187" t="s">
        <v>143</v>
      </c>
      <c r="P243" s="192">
        <f t="shared" ref="P243" ca="1" si="1316">IF($B245,0,P244-IF(ISNUMBER(O244),O244,0))</f>
        <v>0</v>
      </c>
      <c r="Q243" s="193">
        <f t="shared" ref="Q243" ca="1" si="1317">IF($B245,0,Q244-IF(ISNUMBER(P244),P244,0))</f>
        <v>0</v>
      </c>
      <c r="R243" s="193">
        <f t="shared" ref="R243" ca="1" si="1318">IF($B245,0,R244-IF(ISNUMBER(Q244),Q244,0))</f>
        <v>0</v>
      </c>
      <c r="S243" s="193">
        <f t="shared" ref="S243" ca="1" si="1319">IF($B245,0,S244-IF(ISNUMBER(R244),R244,0))</f>
        <v>0</v>
      </c>
      <c r="T243" s="193">
        <v>0.25</v>
      </c>
      <c r="U243" s="193">
        <v>0.25</v>
      </c>
      <c r="V243" s="193">
        <v>0.25</v>
      </c>
      <c r="W243" s="194">
        <v>0.25</v>
      </c>
      <c r="X243" s="163"/>
      <c r="AC243" s="188">
        <f t="shared" ref="AC243" ca="1" si="1320">IF($B245,0,AC244-IF(ISNUMBER(AB244),AB244,0))</f>
        <v>0</v>
      </c>
    </row>
    <row r="244" spans="1:29" customFormat="1" ht="13.8" x14ac:dyDescent="0.25">
      <c r="A244" s="11"/>
      <c r="B244" s="11"/>
      <c r="C244" s="11"/>
      <c r="D244" s="11"/>
      <c r="E244" s="11"/>
      <c r="F244" s="11"/>
      <c r="G244" s="11"/>
      <c r="H244" s="11"/>
      <c r="I244" s="11"/>
      <c r="J244" s="11"/>
      <c r="K244" s="11"/>
      <c r="L244" s="344"/>
      <c r="M244" s="338"/>
      <c r="N244" s="336"/>
      <c r="O244" s="145" t="s">
        <v>145</v>
      </c>
      <c r="P244" s="165">
        <f t="shared" ref="P244" ca="1" si="1321">MIN(IF($B245,P243+IF(ISNUMBER(O244),O244,0),P245/$N243),1)</f>
        <v>0</v>
      </c>
      <c r="Q244" s="143">
        <f t="shared" ref="Q244" ca="1" si="1322">MIN(IF($B245,Q243+IF(ISNUMBER(P244),P244,0),Q245/$N243),1)</f>
        <v>0</v>
      </c>
      <c r="R244" s="143">
        <f t="shared" ref="R244" ca="1" si="1323">MIN(IF($B245,R243+IF(ISNUMBER(Q244),Q244,0),R245/$N243),1)</f>
        <v>0</v>
      </c>
      <c r="S244" s="143">
        <f t="shared" ref="S244" ca="1" si="1324">MIN(IF($B245,S243+IF(ISNUMBER(R244),R244,0),S245/$N243),1)</f>
        <v>0</v>
      </c>
      <c r="T244" s="143">
        <f t="shared" ref="T244" ca="1" si="1325">MIN(IF($B245,T243+IF(ISNUMBER(S244),S244,0),T245/$N243),1)</f>
        <v>0.25</v>
      </c>
      <c r="U244" s="143">
        <f t="shared" ref="U244" ca="1" si="1326">MIN(IF($B245,U243+IF(ISNUMBER(T244),T244,0),U245/$N243),1)</f>
        <v>0.5</v>
      </c>
      <c r="V244" s="143">
        <f t="shared" ref="V244" ca="1" si="1327">MIN(IF($B245,V243+IF(ISNUMBER(U244),U244,0),V245/$N243),1)</f>
        <v>0.75</v>
      </c>
      <c r="W244" s="143">
        <f t="shared" ref="W244" ca="1" si="1328">MIN(IF($B245,W243+IF(ISNUMBER(V244),V244,0),W245/$N243),1)</f>
        <v>1</v>
      </c>
      <c r="X244" s="163"/>
      <c r="AC244" s="143">
        <f t="shared" ref="AC244" ca="1" si="1329">MIN(IF($B245,AC243+IF(ISNUMBER(AB244),AB244,0),AC245/$N243),1)</f>
        <v>0</v>
      </c>
    </row>
    <row r="245" spans="1:29" customFormat="1" ht="13.8" x14ac:dyDescent="0.25">
      <c r="A245" s="11">
        <f ca="1">OFFSET(A245,-CFF.NumLinha,0)+1</f>
        <v>76</v>
      </c>
      <c r="B245" s="11" t="b">
        <f ca="1">$C245&gt;=OFFSET($C245,CFF.NumLinha,0)</f>
        <v>1</v>
      </c>
      <c r="C245" s="11">
        <f ca="1">INDEX(PO!A$12:A$603,MATCH($A245,PO!$V$12:$V$603,0))</f>
        <v>2</v>
      </c>
      <c r="D245" s="11">
        <f t="shared" ref="D245:D276" ca="1" si="1330">IF(ISERROR(J245),I245,SMALL(I245:J245,1))-1</f>
        <v>2</v>
      </c>
      <c r="E245" s="11">
        <f ca="1">IF($C245=1,OFFSET(E245,-CFF.NumLinha,0)+1,OFFSET(E245,-CFF.NumLinha,0))</f>
        <v>20</v>
      </c>
      <c r="F245" s="11">
        <f ca="1">IF($C245=1,0,IF($C245=2,OFFSET(F245,-CFF.NumLinha,0)+1,OFFSET(F245,-CFF.NumLinha,0)))</f>
        <v>3</v>
      </c>
      <c r="G245" s="11">
        <f ca="1">IF(AND($C245&lt;=2,$C245&lt;&gt;0),0,IF($C245=3,OFFSET(G245,-CFF.NumLinha,0)+1,OFFSET(G245,-CFF.NumLinha,0)))</f>
        <v>0</v>
      </c>
      <c r="H245" s="11">
        <f ca="1">IF(AND($C245&lt;=3,$C245&lt;&gt;0),0,IF($C245=4,OFFSET(H245,-CFF.NumLinha,0)+1,OFFSET(H245,-CFF.NumLinha,0)))</f>
        <v>0</v>
      </c>
      <c r="I245" s="11">
        <f t="shared" ref="I245:I276" ca="1" si="1331">MATCH(0,OFFSET($D245,1,$C245,ROW($A$303)-ROW($A245)),0)</f>
        <v>9</v>
      </c>
      <c r="J245" s="11">
        <f t="shared" ref="J245:J276" ca="1" si="1332">MATCH(OFFSET($D245,0,$C245)+1,OFFSET($D245,1,$C245,ROW($A$303)-ROW($A245)),0)</f>
        <v>3</v>
      </c>
      <c r="K245" s="156">
        <f ca="1">ROUND(INDEX(PO!T$12:T$603,MATCH($A245,PO!$V$12:$V$603,0)),2)+10^-12</f>
        <v>9.9999999999999998E-13</v>
      </c>
      <c r="L245" s="344"/>
      <c r="M245" s="338"/>
      <c r="N245" s="336"/>
      <c r="O245" s="171" t="s">
        <v>20</v>
      </c>
      <c r="P245" s="166">
        <f t="shared" ref="P245:W245" ca="1" si="1333">IF($B245,ROUND(P244*$N243,2),ROUND(SUMIF(OFFSET($B245,1,0,$D245),TRUE,OFFSET(P245,1,0,$D245))/SUMIF(OFFSET($B245,1,0,$D245),TRUE,OFFSET($K245,1,0,$D245))*$N243,2))</f>
        <v>0</v>
      </c>
      <c r="Q245" s="144">
        <f t="shared" ca="1" si="1333"/>
        <v>0</v>
      </c>
      <c r="R245" s="144">
        <f t="shared" ca="1" si="1333"/>
        <v>0</v>
      </c>
      <c r="S245" s="144">
        <f t="shared" ca="1" si="1333"/>
        <v>0</v>
      </c>
      <c r="T245" s="144">
        <f t="shared" ca="1" si="1333"/>
        <v>0</v>
      </c>
      <c r="U245" s="144">
        <f t="shared" ca="1" si="1333"/>
        <v>0</v>
      </c>
      <c r="V245" s="144">
        <f t="shared" ca="1" si="1333"/>
        <v>0</v>
      </c>
      <c r="W245" s="174">
        <f t="shared" ca="1" si="1333"/>
        <v>0</v>
      </c>
      <c r="X245" s="163"/>
      <c r="AC245" s="144">
        <f t="shared" ref="AC245" ca="1" si="1334">IF($B245,ROUND(AC244*$N243,2),ROUND(SUMIF(OFFSET($B245,1,0,$D245),TRUE,OFFSET(AC245,1,0,$D245))/SUMIF(OFFSET($B245,1,0,$D245),TRUE,OFFSET($K245,1,0,$D245))*$N243,2))</f>
        <v>0</v>
      </c>
    </row>
    <row r="246" spans="1:29" customFormat="1" ht="14.25" customHeight="1" x14ac:dyDescent="0.25">
      <c r="A246" s="1"/>
      <c r="B246" s="1"/>
      <c r="C246" s="1"/>
      <c r="D246" s="1"/>
      <c r="E246" s="1"/>
      <c r="F246" s="1"/>
      <c r="G246" s="1"/>
      <c r="H246" s="1"/>
      <c r="I246" s="1"/>
      <c r="J246" s="1"/>
      <c r="K246" s="1"/>
      <c r="L246" s="343" t="str">
        <f ca="1">INDEX(PO!K$12:K$603,MATCH($A248,PO!$V$12:$V$603,0))</f>
        <v>20.4.</v>
      </c>
      <c r="M246" s="337" t="str">
        <f ca="1">INDEX(PO!N$12:N$603,MATCH($A248,PO!$V$12:$V$603,0))</f>
        <v>ELETROCALHAS E ELETODUTOS</v>
      </c>
      <c r="N246" s="335">
        <f t="shared" ref="N246" ca="1" si="1335">IF(ROUND(K248,2)=0,K248,ROUND(K248,2))</f>
        <v>9.9999999999999998E-13</v>
      </c>
      <c r="O246" s="187" t="s">
        <v>143</v>
      </c>
      <c r="P246" s="192">
        <f t="shared" ref="P246" ca="1" si="1336">IF($B248,0,P247-IF(ISNUMBER(O247),O247,0))</f>
        <v>0</v>
      </c>
      <c r="Q246" s="193">
        <f t="shared" ref="Q246" ca="1" si="1337">IF($B248,0,Q247-IF(ISNUMBER(P247),P247,0))</f>
        <v>0</v>
      </c>
      <c r="R246" s="193">
        <f t="shared" ref="R246" ca="1" si="1338">IF($B248,0,R247-IF(ISNUMBER(Q247),Q247,0))</f>
        <v>0</v>
      </c>
      <c r="S246" s="193">
        <f t="shared" ref="S246" ca="1" si="1339">IF($B248,0,S247-IF(ISNUMBER(R247),R247,0))</f>
        <v>0</v>
      </c>
      <c r="T246" s="193">
        <v>0.25</v>
      </c>
      <c r="U246" s="193">
        <v>0.25</v>
      </c>
      <c r="V246" s="193">
        <v>0.25</v>
      </c>
      <c r="W246" s="194">
        <v>0.25</v>
      </c>
      <c r="X246" s="163"/>
      <c r="AC246" s="188">
        <f t="shared" ref="AC246" ca="1" si="1340">IF($B248,0,AC247-IF(ISNUMBER(AB247),AB247,0))</f>
        <v>0</v>
      </c>
    </row>
    <row r="247" spans="1:29" customFormat="1" ht="13.8" x14ac:dyDescent="0.25">
      <c r="A247" s="11"/>
      <c r="B247" s="11"/>
      <c r="C247" s="11"/>
      <c r="D247" s="11"/>
      <c r="E247" s="11"/>
      <c r="F247" s="11"/>
      <c r="G247" s="11"/>
      <c r="H247" s="11"/>
      <c r="I247" s="11"/>
      <c r="J247" s="11"/>
      <c r="K247" s="11"/>
      <c r="L247" s="344"/>
      <c r="M247" s="338"/>
      <c r="N247" s="336"/>
      <c r="O247" s="145" t="s">
        <v>145</v>
      </c>
      <c r="P247" s="165">
        <f t="shared" ref="P247" ca="1" si="1341">MIN(IF($B248,P246+IF(ISNUMBER(O247),O247,0),P248/$N246),1)</f>
        <v>0</v>
      </c>
      <c r="Q247" s="143">
        <f t="shared" ref="Q247" ca="1" si="1342">MIN(IF($B248,Q246+IF(ISNUMBER(P247),P247,0),Q248/$N246),1)</f>
        <v>0</v>
      </c>
      <c r="R247" s="143">
        <f t="shared" ref="R247" ca="1" si="1343">MIN(IF($B248,R246+IF(ISNUMBER(Q247),Q247,0),R248/$N246),1)</f>
        <v>0</v>
      </c>
      <c r="S247" s="143">
        <f t="shared" ref="S247" ca="1" si="1344">MIN(IF($B248,S246+IF(ISNUMBER(R247),R247,0),S248/$N246),1)</f>
        <v>0</v>
      </c>
      <c r="T247" s="143">
        <f t="shared" ref="T247" ca="1" si="1345">MIN(IF($B248,T246+IF(ISNUMBER(S247),S247,0),T248/$N246),1)</f>
        <v>0.25</v>
      </c>
      <c r="U247" s="143">
        <f t="shared" ref="U247" ca="1" si="1346">MIN(IF($B248,U246+IF(ISNUMBER(T247),T247,0),U248/$N246),1)</f>
        <v>0.5</v>
      </c>
      <c r="V247" s="143">
        <f t="shared" ref="V247" ca="1" si="1347">MIN(IF($B248,V246+IF(ISNUMBER(U247),U247,0),V248/$N246),1)</f>
        <v>0.75</v>
      </c>
      <c r="W247" s="143">
        <f t="shared" ref="W247" ca="1" si="1348">MIN(IF($B248,W246+IF(ISNUMBER(V247),V247,0),W248/$N246),1)</f>
        <v>1</v>
      </c>
      <c r="X247" s="163"/>
      <c r="AC247" s="143">
        <f t="shared" ref="AC247" ca="1" si="1349">MIN(IF($B248,AC246+IF(ISNUMBER(AB247),AB247,0),AC248/$N246),1)</f>
        <v>0</v>
      </c>
    </row>
    <row r="248" spans="1:29" customFormat="1" ht="13.8" x14ac:dyDescent="0.25">
      <c r="A248" s="11">
        <f ca="1">OFFSET(A248,-CFF.NumLinha,0)+1</f>
        <v>77</v>
      </c>
      <c r="B248" s="11" t="b">
        <f ca="1">$C248&gt;=OFFSET($C248,CFF.NumLinha,0)</f>
        <v>1</v>
      </c>
      <c r="C248" s="11">
        <f ca="1">INDEX(PO!A$12:A$603,MATCH($A248,PO!$V$12:$V$603,0))</f>
        <v>2</v>
      </c>
      <c r="D248" s="11">
        <f t="shared" ref="D248:D279" ca="1" si="1350">IF(ISERROR(J248),I248,SMALL(I248:J248,1))-1</f>
        <v>2</v>
      </c>
      <c r="E248" s="11">
        <f ca="1">IF($C248=1,OFFSET(E248,-CFF.NumLinha,0)+1,OFFSET(E248,-CFF.NumLinha,0))</f>
        <v>20</v>
      </c>
      <c r="F248" s="11">
        <f ca="1">IF($C248=1,0,IF($C248=2,OFFSET(F248,-CFF.NumLinha,0)+1,OFFSET(F248,-CFF.NumLinha,0)))</f>
        <v>4</v>
      </c>
      <c r="G248" s="11">
        <f ca="1">IF(AND($C248&lt;=2,$C248&lt;&gt;0),0,IF($C248=3,OFFSET(G248,-CFF.NumLinha,0)+1,OFFSET(G248,-CFF.NumLinha,0)))</f>
        <v>0</v>
      </c>
      <c r="H248" s="11">
        <f ca="1">IF(AND($C248&lt;=3,$C248&lt;&gt;0),0,IF($C248=4,OFFSET(H248,-CFF.NumLinha,0)+1,OFFSET(H248,-CFF.NumLinha,0)))</f>
        <v>0</v>
      </c>
      <c r="I248" s="11">
        <f t="shared" ref="I248:I279" ca="1" si="1351">MATCH(0,OFFSET($D248,1,$C248,ROW($A$303)-ROW($A248)),0)</f>
        <v>6</v>
      </c>
      <c r="J248" s="11">
        <f t="shared" ref="J248:J279" ca="1" si="1352">MATCH(OFFSET($D248,0,$C248)+1,OFFSET($D248,1,$C248,ROW($A$303)-ROW($A248)),0)</f>
        <v>3</v>
      </c>
      <c r="K248" s="156">
        <f ca="1">ROUND(INDEX(PO!T$12:T$603,MATCH($A248,PO!$V$12:$V$603,0)),2)+10^-12</f>
        <v>9.9999999999999998E-13</v>
      </c>
      <c r="L248" s="344"/>
      <c r="M248" s="338"/>
      <c r="N248" s="336"/>
      <c r="O248" s="171" t="s">
        <v>20</v>
      </c>
      <c r="P248" s="166">
        <f t="shared" ref="P248:W248" ca="1" si="1353">IF($B248,ROUND(P247*$N246,2),ROUND(SUMIF(OFFSET($B248,1,0,$D248),TRUE,OFFSET(P248,1,0,$D248))/SUMIF(OFFSET($B248,1,0,$D248),TRUE,OFFSET($K248,1,0,$D248))*$N246,2))</f>
        <v>0</v>
      </c>
      <c r="Q248" s="144">
        <f t="shared" ca="1" si="1353"/>
        <v>0</v>
      </c>
      <c r="R248" s="144">
        <f t="shared" ca="1" si="1353"/>
        <v>0</v>
      </c>
      <c r="S248" s="144">
        <f t="shared" ca="1" si="1353"/>
        <v>0</v>
      </c>
      <c r="T248" s="144">
        <f t="shared" ca="1" si="1353"/>
        <v>0</v>
      </c>
      <c r="U248" s="144">
        <f t="shared" ca="1" si="1353"/>
        <v>0</v>
      </c>
      <c r="V248" s="144">
        <f t="shared" ca="1" si="1353"/>
        <v>0</v>
      </c>
      <c r="W248" s="174">
        <f t="shared" ca="1" si="1353"/>
        <v>0</v>
      </c>
      <c r="X248" s="163"/>
      <c r="AC248" s="144">
        <f t="shared" ref="AC248" ca="1" si="1354">IF($B248,ROUND(AC247*$N246,2),ROUND(SUMIF(OFFSET($B248,1,0,$D248),TRUE,OFFSET(AC248,1,0,$D248))/SUMIF(OFFSET($B248,1,0,$D248),TRUE,OFFSET($K248,1,0,$D248))*$N246,2))</f>
        <v>0</v>
      </c>
    </row>
    <row r="249" spans="1:29" customFormat="1" ht="14.25" customHeight="1" x14ac:dyDescent="0.25">
      <c r="A249" s="1"/>
      <c r="B249" s="1"/>
      <c r="C249" s="1"/>
      <c r="D249" s="1"/>
      <c r="E249" s="1"/>
      <c r="F249" s="1"/>
      <c r="G249" s="1"/>
      <c r="H249" s="1"/>
      <c r="I249" s="1"/>
      <c r="J249" s="1"/>
      <c r="K249" s="1"/>
      <c r="L249" s="343" t="str">
        <f ca="1">INDEX(PO!K$12:K$603,MATCH($A251,PO!$V$12:$V$603,0))</f>
        <v>20.5.</v>
      </c>
      <c r="M249" s="337" t="str">
        <f ca="1">INDEX(PO!N$12:N$603,MATCH($A251,PO!$V$12:$V$603,0))</f>
        <v>CABEAMENTO</v>
      </c>
      <c r="N249" s="335">
        <f t="shared" ref="N249" ca="1" si="1355">IF(ROUND(K251,2)=0,K251,ROUND(K251,2))</f>
        <v>9.9999999999999998E-13</v>
      </c>
      <c r="O249" s="187" t="s">
        <v>143</v>
      </c>
      <c r="P249" s="192">
        <f t="shared" ref="P249" ca="1" si="1356">IF($B251,0,P250-IF(ISNUMBER(O250),O250,0))</f>
        <v>0</v>
      </c>
      <c r="Q249" s="193">
        <f t="shared" ref="Q249" ca="1" si="1357">IF($B251,0,Q250-IF(ISNUMBER(P250),P250,0))</f>
        <v>0</v>
      </c>
      <c r="R249" s="193">
        <f t="shared" ref="R249" ca="1" si="1358">IF($B251,0,R250-IF(ISNUMBER(Q250),Q250,0))</f>
        <v>0</v>
      </c>
      <c r="S249" s="193">
        <f t="shared" ref="S249" ca="1" si="1359">IF($B251,0,S250-IF(ISNUMBER(R250),R250,0))</f>
        <v>0</v>
      </c>
      <c r="T249" s="193">
        <v>0.25</v>
      </c>
      <c r="U249" s="193">
        <v>0.25</v>
      </c>
      <c r="V249" s="193">
        <v>0.25</v>
      </c>
      <c r="W249" s="194">
        <v>0.25</v>
      </c>
      <c r="X249" s="163"/>
      <c r="AC249" s="188">
        <f t="shared" ref="AC249" ca="1" si="1360">IF($B251,0,AC250-IF(ISNUMBER(AB250),AB250,0))</f>
        <v>0</v>
      </c>
    </row>
    <row r="250" spans="1:29" customFormat="1" ht="13.8" x14ac:dyDescent="0.25">
      <c r="A250" s="11"/>
      <c r="B250" s="11"/>
      <c r="C250" s="11"/>
      <c r="D250" s="11"/>
      <c r="E250" s="11"/>
      <c r="F250" s="11"/>
      <c r="G250" s="11"/>
      <c r="H250" s="11"/>
      <c r="I250" s="11"/>
      <c r="J250" s="11"/>
      <c r="K250" s="11"/>
      <c r="L250" s="344"/>
      <c r="M250" s="338"/>
      <c r="N250" s="336"/>
      <c r="O250" s="145" t="s">
        <v>145</v>
      </c>
      <c r="P250" s="165">
        <f t="shared" ref="P250" ca="1" si="1361">MIN(IF($B251,P249+IF(ISNUMBER(O250),O250,0),P251/$N249),1)</f>
        <v>0</v>
      </c>
      <c r="Q250" s="143">
        <f t="shared" ref="Q250" ca="1" si="1362">MIN(IF($B251,Q249+IF(ISNUMBER(P250),P250,0),Q251/$N249),1)</f>
        <v>0</v>
      </c>
      <c r="R250" s="143">
        <f t="shared" ref="R250" ca="1" si="1363">MIN(IF($B251,R249+IF(ISNUMBER(Q250),Q250,0),R251/$N249),1)</f>
        <v>0</v>
      </c>
      <c r="S250" s="143">
        <f t="shared" ref="S250" ca="1" si="1364">MIN(IF($B251,S249+IF(ISNUMBER(R250),R250,0),S251/$N249),1)</f>
        <v>0</v>
      </c>
      <c r="T250" s="143">
        <f t="shared" ref="T250" ca="1" si="1365">MIN(IF($B251,T249+IF(ISNUMBER(S250),S250,0),T251/$N249),1)</f>
        <v>0.25</v>
      </c>
      <c r="U250" s="143">
        <f t="shared" ref="U250" ca="1" si="1366">MIN(IF($B251,U249+IF(ISNUMBER(T250),T250,0),U251/$N249),1)</f>
        <v>0.5</v>
      </c>
      <c r="V250" s="143">
        <f t="shared" ref="V250" ca="1" si="1367">MIN(IF($B251,V249+IF(ISNUMBER(U250),U250,0),V251/$N249),1)</f>
        <v>0.75</v>
      </c>
      <c r="W250" s="143">
        <f t="shared" ref="W250" ca="1" si="1368">MIN(IF($B251,W249+IF(ISNUMBER(V250),V250,0),W251/$N249),1)</f>
        <v>1</v>
      </c>
      <c r="X250" s="163"/>
      <c r="AC250" s="143">
        <f t="shared" ref="AC250" ca="1" si="1369">MIN(IF($B251,AC249+IF(ISNUMBER(AB250),AB250,0),AC251/$N249),1)</f>
        <v>0</v>
      </c>
    </row>
    <row r="251" spans="1:29" customFormat="1" ht="13.8" x14ac:dyDescent="0.25">
      <c r="A251" s="11">
        <f ca="1">OFFSET(A251,-CFF.NumLinha,0)+1</f>
        <v>78</v>
      </c>
      <c r="B251" s="11" t="b">
        <f ca="1">$C251&gt;=OFFSET($C251,CFF.NumLinha,0)</f>
        <v>1</v>
      </c>
      <c r="C251" s="11">
        <f ca="1">INDEX(PO!A$12:A$603,MATCH($A251,PO!$V$12:$V$603,0))</f>
        <v>2</v>
      </c>
      <c r="D251" s="11">
        <f t="shared" ref="D251:D282" ca="1" si="1370">IF(ISERROR(J251),I251,SMALL(I251:J251,1))-1</f>
        <v>2</v>
      </c>
      <c r="E251" s="11">
        <f ca="1">IF($C251=1,OFFSET(E251,-CFF.NumLinha,0)+1,OFFSET(E251,-CFF.NumLinha,0))</f>
        <v>20</v>
      </c>
      <c r="F251" s="11">
        <f ca="1">IF($C251=1,0,IF($C251=2,OFFSET(F251,-CFF.NumLinha,0)+1,OFFSET(F251,-CFF.NumLinha,0)))</f>
        <v>5</v>
      </c>
      <c r="G251" s="11">
        <f ca="1">IF(AND($C251&lt;=2,$C251&lt;&gt;0),0,IF($C251=3,OFFSET(G251,-CFF.NumLinha,0)+1,OFFSET(G251,-CFF.NumLinha,0)))</f>
        <v>0</v>
      </c>
      <c r="H251" s="11">
        <f ca="1">IF(AND($C251&lt;=3,$C251&lt;&gt;0),0,IF($C251=4,OFFSET(H251,-CFF.NumLinha,0)+1,OFFSET(H251,-CFF.NumLinha,0)))</f>
        <v>0</v>
      </c>
      <c r="I251" s="11">
        <f t="shared" ref="I251:I282" ca="1" si="1371">MATCH(0,OFFSET($D251,1,$C251,ROW($A$303)-ROW($A251)),0)</f>
        <v>3</v>
      </c>
      <c r="J251" s="11">
        <f t="shared" ref="J251:J282" ca="1" si="1372">MATCH(OFFSET($D251,0,$C251)+1,OFFSET($D251,1,$C251,ROW($A$303)-ROW($A251)),0)</f>
        <v>30</v>
      </c>
      <c r="K251" s="156">
        <f ca="1">ROUND(INDEX(PO!T$12:T$603,MATCH($A251,PO!$V$12:$V$603,0)),2)+10^-12</f>
        <v>9.9999999999999998E-13</v>
      </c>
      <c r="L251" s="344"/>
      <c r="M251" s="338"/>
      <c r="N251" s="336"/>
      <c r="O251" s="171" t="s">
        <v>20</v>
      </c>
      <c r="P251" s="166">
        <f t="shared" ref="P251:W251" ca="1" si="1373">IF($B251,ROUND(P250*$N249,2),ROUND(SUMIF(OFFSET($B251,1,0,$D251),TRUE,OFFSET(P251,1,0,$D251))/SUMIF(OFFSET($B251,1,0,$D251),TRUE,OFFSET($K251,1,0,$D251))*$N249,2))</f>
        <v>0</v>
      </c>
      <c r="Q251" s="144">
        <f t="shared" ca="1" si="1373"/>
        <v>0</v>
      </c>
      <c r="R251" s="144">
        <f t="shared" ca="1" si="1373"/>
        <v>0</v>
      </c>
      <c r="S251" s="144">
        <f t="shared" ca="1" si="1373"/>
        <v>0</v>
      </c>
      <c r="T251" s="144">
        <f t="shared" ca="1" si="1373"/>
        <v>0</v>
      </c>
      <c r="U251" s="144">
        <f t="shared" ca="1" si="1373"/>
        <v>0</v>
      </c>
      <c r="V251" s="144">
        <f t="shared" ca="1" si="1373"/>
        <v>0</v>
      </c>
      <c r="W251" s="174">
        <f t="shared" ca="1" si="1373"/>
        <v>0</v>
      </c>
      <c r="X251" s="163"/>
      <c r="AC251" s="144">
        <f t="shared" ref="AC251" ca="1" si="1374">IF($B251,ROUND(AC250*$N249,2),ROUND(SUMIF(OFFSET($B251,1,0,$D251),TRUE,OFFSET(AC251,1,0,$D251))/SUMIF(OFFSET($B251,1,0,$D251),TRUE,OFFSET($K251,1,0,$D251))*$N249,2))</f>
        <v>0</v>
      </c>
    </row>
    <row r="252" spans="1:29" customFormat="1" ht="14.25" customHeight="1" x14ac:dyDescent="0.25">
      <c r="A252" s="1"/>
      <c r="B252" s="1"/>
      <c r="C252" s="1"/>
      <c r="D252" s="1"/>
      <c r="E252" s="1"/>
      <c r="F252" s="1"/>
      <c r="G252" s="1"/>
      <c r="H252" s="1"/>
      <c r="I252" s="1"/>
      <c r="J252" s="1"/>
      <c r="K252" s="1"/>
      <c r="L252" s="343" t="str">
        <f ca="1">INDEX(PO!K$12:K$603,MATCH($A254,PO!$V$12:$V$603,0))</f>
        <v>21.</v>
      </c>
      <c r="M252" s="337" t="str">
        <f ca="1">INDEX(PO!N$12:N$603,MATCH($A254,PO!$V$12:$V$603,0))</f>
        <v>SISTEMA DE EXAUSTÃO MECANICA</v>
      </c>
      <c r="N252" s="335">
        <f t="shared" ref="N252" ca="1" si="1375">IF(ROUND(K254,2)=0,K254,ROUND(K254,2))</f>
        <v>9.9999999999999998E-13</v>
      </c>
      <c r="O252" s="187" t="s">
        <v>143</v>
      </c>
      <c r="P252" s="192">
        <f t="shared" ref="P252" ca="1" si="1376">IF($B254,0,P253-IF(ISNUMBER(O253),O253,0))</f>
        <v>0</v>
      </c>
      <c r="Q252" s="193">
        <f t="shared" ref="Q252" ca="1" si="1377">IF($B254,0,Q253-IF(ISNUMBER(P253),P253,0))</f>
        <v>0</v>
      </c>
      <c r="R252" s="193">
        <f t="shared" ref="R252" ca="1" si="1378">IF($B254,0,R253-IF(ISNUMBER(Q253),Q253,0))</f>
        <v>0</v>
      </c>
      <c r="S252" s="193">
        <f t="shared" ref="S252" ca="1" si="1379">IF($B254,0,S253-IF(ISNUMBER(R253),R253,0))</f>
        <v>0</v>
      </c>
      <c r="T252" s="193">
        <v>0.25</v>
      </c>
      <c r="U252" s="193">
        <v>0.25</v>
      </c>
      <c r="V252" s="193">
        <v>0.25</v>
      </c>
      <c r="W252" s="194">
        <v>0.25</v>
      </c>
      <c r="X252" s="163"/>
      <c r="AC252" s="188">
        <f t="shared" ref="AC252" ca="1" si="1380">IF($B254,0,AC253-IF(ISNUMBER(AB253),AB253,0))</f>
        <v>0</v>
      </c>
    </row>
    <row r="253" spans="1:29" customFormat="1" ht="13.8" x14ac:dyDescent="0.25">
      <c r="A253" s="11"/>
      <c r="B253" s="11"/>
      <c r="C253" s="11"/>
      <c r="D253" s="11"/>
      <c r="E253" s="11"/>
      <c r="F253" s="11"/>
      <c r="G253" s="11"/>
      <c r="H253" s="11"/>
      <c r="I253" s="11"/>
      <c r="J253" s="11"/>
      <c r="K253" s="11"/>
      <c r="L253" s="344"/>
      <c r="M253" s="338"/>
      <c r="N253" s="336"/>
      <c r="O253" s="145" t="s">
        <v>145</v>
      </c>
      <c r="P253" s="165">
        <f t="shared" ref="P253" ca="1" si="1381">MIN(IF($B254,P252+IF(ISNUMBER(O253),O253,0),P254/$N252),1)</f>
        <v>0</v>
      </c>
      <c r="Q253" s="143">
        <f t="shared" ref="Q253" ca="1" si="1382">MIN(IF($B254,Q252+IF(ISNUMBER(P253),P253,0),Q254/$N252),1)</f>
        <v>0</v>
      </c>
      <c r="R253" s="143">
        <f t="shared" ref="R253" ca="1" si="1383">MIN(IF($B254,R252+IF(ISNUMBER(Q253),Q253,0),R254/$N252),1)</f>
        <v>0</v>
      </c>
      <c r="S253" s="143">
        <f t="shared" ref="S253" ca="1" si="1384">MIN(IF($B254,S252+IF(ISNUMBER(R253),R253,0),S254/$N252),1)</f>
        <v>0</v>
      </c>
      <c r="T253" s="143">
        <f t="shared" ref="T253" ca="1" si="1385">MIN(IF($B254,T252+IF(ISNUMBER(S253),S253,0),T254/$N252),1)</f>
        <v>0.25</v>
      </c>
      <c r="U253" s="143">
        <f t="shared" ref="U253" ca="1" si="1386">MIN(IF($B254,U252+IF(ISNUMBER(T253),T253,0),U254/$N252),1)</f>
        <v>0.5</v>
      </c>
      <c r="V253" s="143">
        <f t="shared" ref="V253" ca="1" si="1387">MIN(IF($B254,V252+IF(ISNUMBER(U253),U253,0),V254/$N252),1)</f>
        <v>0.75</v>
      </c>
      <c r="W253" s="143">
        <f t="shared" ref="W253" ca="1" si="1388">MIN(IF($B254,W252+IF(ISNUMBER(V253),V253,0),W254/$N252),1)</f>
        <v>1</v>
      </c>
      <c r="X253" s="163"/>
      <c r="AC253" s="143">
        <f t="shared" ref="AC253" ca="1" si="1389">MIN(IF($B254,AC252+IF(ISNUMBER(AB253),AB253,0),AC254/$N252),1)</f>
        <v>0</v>
      </c>
    </row>
    <row r="254" spans="1:29" customFormat="1" ht="13.8" x14ac:dyDescent="0.25">
      <c r="A254" s="11">
        <f ca="1">OFFSET(A254,-CFF.NumLinha,0)+1</f>
        <v>79</v>
      </c>
      <c r="B254" s="11" t="b">
        <f ca="1">$C254&gt;=OFFSET($C254,CFF.NumLinha,0)</f>
        <v>1</v>
      </c>
      <c r="C254" s="11">
        <f ca="1">INDEX(PO!A$12:A$603,MATCH($A254,PO!$V$12:$V$603,0))</f>
        <v>1</v>
      </c>
      <c r="D254" s="11">
        <f t="shared" ref="D254:D285" ca="1" si="1390">IF(ISERROR(J254),I254,SMALL(I254:J254,1))-1</f>
        <v>2</v>
      </c>
      <c r="E254" s="11">
        <f ca="1">IF($C254=1,OFFSET(E254,-CFF.NumLinha,0)+1,OFFSET(E254,-CFF.NumLinha,0))</f>
        <v>21</v>
      </c>
      <c r="F254" s="11">
        <f ca="1">IF($C254=1,0,IF($C254=2,OFFSET(F254,-CFF.NumLinha,0)+1,OFFSET(F254,-CFF.NumLinha,0)))</f>
        <v>0</v>
      </c>
      <c r="G254" s="11">
        <f ca="1">IF(AND($C254&lt;=2,$C254&lt;&gt;0),0,IF($C254=3,OFFSET(G254,-CFF.NumLinha,0)+1,OFFSET(G254,-CFF.NumLinha,0)))</f>
        <v>0</v>
      </c>
      <c r="H254" s="11">
        <f ca="1">IF(AND($C254&lt;=3,$C254&lt;&gt;0),0,IF($C254=4,OFFSET(H254,-CFF.NumLinha,0)+1,OFFSET(H254,-CFF.NumLinha,0)))</f>
        <v>0</v>
      </c>
      <c r="I254" s="11">
        <f t="shared" ref="I254:I285" ca="1" si="1391">MATCH(0,OFFSET($D254,1,$C254,ROW($A$303)-ROW($A254)),0)</f>
        <v>49</v>
      </c>
      <c r="J254" s="11">
        <f t="shared" ref="J254:J285" ca="1" si="1392">MATCH(OFFSET($D254,0,$C254)+1,OFFSET($D254,1,$C254,ROW($A$303)-ROW($A254)),0)</f>
        <v>3</v>
      </c>
      <c r="K254" s="156">
        <f ca="1">ROUND(INDEX(PO!T$12:T$603,MATCH($A254,PO!$V$12:$V$603,0)),2)+10^-12</f>
        <v>9.9999999999999998E-13</v>
      </c>
      <c r="L254" s="344"/>
      <c r="M254" s="338"/>
      <c r="N254" s="336"/>
      <c r="O254" s="171" t="s">
        <v>20</v>
      </c>
      <c r="P254" s="166">
        <f t="shared" ref="P254:W254" ca="1" si="1393">IF($B254,ROUND(P253*$N252,2),ROUND(SUMIF(OFFSET($B254,1,0,$D254),TRUE,OFFSET(P254,1,0,$D254))/SUMIF(OFFSET($B254,1,0,$D254),TRUE,OFFSET($K254,1,0,$D254))*$N252,2))</f>
        <v>0</v>
      </c>
      <c r="Q254" s="144">
        <f t="shared" ca="1" si="1393"/>
        <v>0</v>
      </c>
      <c r="R254" s="144">
        <f t="shared" ca="1" si="1393"/>
        <v>0</v>
      </c>
      <c r="S254" s="144">
        <f t="shared" ca="1" si="1393"/>
        <v>0</v>
      </c>
      <c r="T254" s="144">
        <f t="shared" ca="1" si="1393"/>
        <v>0</v>
      </c>
      <c r="U254" s="144">
        <f t="shared" ca="1" si="1393"/>
        <v>0</v>
      </c>
      <c r="V254" s="144">
        <f t="shared" ca="1" si="1393"/>
        <v>0</v>
      </c>
      <c r="W254" s="174">
        <f t="shared" ca="1" si="1393"/>
        <v>0</v>
      </c>
      <c r="X254" s="163"/>
      <c r="AC254" s="144">
        <f t="shared" ref="AC254" ca="1" si="1394">IF($B254,ROUND(AC253*$N252,2),ROUND(SUMIF(OFFSET($B254,1,0,$D254),TRUE,OFFSET(AC254,1,0,$D254))/SUMIF(OFFSET($B254,1,0,$D254),TRUE,OFFSET($K254,1,0,$D254))*$N252,2))</f>
        <v>0</v>
      </c>
    </row>
    <row r="255" spans="1:29" customFormat="1" ht="14.25" customHeight="1" x14ac:dyDescent="0.25">
      <c r="A255" s="1"/>
      <c r="B255" s="1"/>
      <c r="C255" s="1"/>
      <c r="D255" s="1"/>
      <c r="E255" s="1"/>
      <c r="F255" s="1"/>
      <c r="G255" s="1"/>
      <c r="H255" s="1"/>
      <c r="I255" s="1"/>
      <c r="J255" s="1"/>
      <c r="K255" s="1"/>
      <c r="L255" s="343" t="str">
        <f ca="1">INDEX(PO!K$12:K$603,MATCH($A257,PO!$V$12:$V$603,0))</f>
        <v>22.</v>
      </c>
      <c r="M255" s="337" t="str">
        <f ca="1">INDEX(PO!N$12:N$603,MATCH($A257,PO!$V$12:$V$603,0))</f>
        <v>SISTEMA DE PROTEÇÃO CONTRA DESCARGAS ATMOSFÉRICAS - SPDA</v>
      </c>
      <c r="N255" s="335">
        <f t="shared" ref="N255" ca="1" si="1395">IF(ROUND(K257,2)=0,K257,ROUND(K257,2))</f>
        <v>9.9999999999999998E-13</v>
      </c>
      <c r="O255" s="187" t="s">
        <v>143</v>
      </c>
      <c r="P255" s="192">
        <f t="shared" ref="P255" ca="1" si="1396">IF($B257,0,P256-IF(ISNUMBER(O256),O256,0))</f>
        <v>0</v>
      </c>
      <c r="Q255" s="193">
        <f t="shared" ref="Q255" ca="1" si="1397">IF($B257,0,Q256-IF(ISNUMBER(P256),P256,0))</f>
        <v>0</v>
      </c>
      <c r="R255" s="193">
        <f t="shared" ref="R255" ca="1" si="1398">IF($B257,0,R256-IF(ISNUMBER(Q256),Q256,0))</f>
        <v>0</v>
      </c>
      <c r="S255" s="193">
        <f t="shared" ref="S255" ca="1" si="1399">IF($B257,0,S256-IF(ISNUMBER(R256),R256,0))</f>
        <v>0</v>
      </c>
      <c r="T255" s="193">
        <v>0.25</v>
      </c>
      <c r="U255" s="193">
        <v>0.25</v>
      </c>
      <c r="V255" s="193">
        <v>0.25</v>
      </c>
      <c r="W255" s="194">
        <v>0.25</v>
      </c>
      <c r="X255" s="163"/>
      <c r="AC255" s="188">
        <f t="shared" ref="AC255" ca="1" si="1400">IF($B257,0,AC256-IF(ISNUMBER(AB256),AB256,0))</f>
        <v>0</v>
      </c>
    </row>
    <row r="256" spans="1:29" customFormat="1" ht="13.8" x14ac:dyDescent="0.25">
      <c r="A256" s="11"/>
      <c r="B256" s="11"/>
      <c r="C256" s="11"/>
      <c r="D256" s="11"/>
      <c r="E256" s="11"/>
      <c r="F256" s="11"/>
      <c r="G256" s="11"/>
      <c r="H256" s="11"/>
      <c r="I256" s="11"/>
      <c r="J256" s="11"/>
      <c r="K256" s="11"/>
      <c r="L256" s="344"/>
      <c r="M256" s="338"/>
      <c r="N256" s="336"/>
      <c r="O256" s="145" t="s">
        <v>145</v>
      </c>
      <c r="P256" s="165">
        <f t="shared" ref="P256" ca="1" si="1401">MIN(IF($B257,P255+IF(ISNUMBER(O256),O256,0),P257/$N255),1)</f>
        <v>0</v>
      </c>
      <c r="Q256" s="143">
        <f t="shared" ref="Q256" ca="1" si="1402">MIN(IF($B257,Q255+IF(ISNUMBER(P256),P256,0),Q257/$N255),1)</f>
        <v>0</v>
      </c>
      <c r="R256" s="143">
        <f t="shared" ref="R256" ca="1" si="1403">MIN(IF($B257,R255+IF(ISNUMBER(Q256),Q256,0),R257/$N255),1)</f>
        <v>0</v>
      </c>
      <c r="S256" s="143">
        <f t="shared" ref="S256" ca="1" si="1404">MIN(IF($B257,S255+IF(ISNUMBER(R256),R256,0),S257/$N255),1)</f>
        <v>0</v>
      </c>
      <c r="T256" s="143">
        <f t="shared" ref="T256" ca="1" si="1405">MIN(IF($B257,T255+IF(ISNUMBER(S256),S256,0),T257/$N255),1)</f>
        <v>0.25</v>
      </c>
      <c r="U256" s="143">
        <f t="shared" ref="U256" ca="1" si="1406">MIN(IF($B257,U255+IF(ISNUMBER(T256),T256,0),U257/$N255),1)</f>
        <v>0.5</v>
      </c>
      <c r="V256" s="143">
        <f t="shared" ref="V256" ca="1" si="1407">MIN(IF($B257,V255+IF(ISNUMBER(U256),U256,0),V257/$N255),1)</f>
        <v>0.75</v>
      </c>
      <c r="W256" s="143">
        <f t="shared" ref="W256" ca="1" si="1408">MIN(IF($B257,W255+IF(ISNUMBER(V256),V256,0),W257/$N255),1)</f>
        <v>1</v>
      </c>
      <c r="X256" s="163"/>
      <c r="AC256" s="143">
        <f t="shared" ref="AC256" ca="1" si="1409">MIN(IF($B257,AC255+IF(ISNUMBER(AB256),AB256,0),AC257/$N255),1)</f>
        <v>0</v>
      </c>
    </row>
    <row r="257" spans="1:29" customFormat="1" ht="13.8" x14ac:dyDescent="0.25">
      <c r="A257" s="11">
        <f ca="1">OFFSET(A257,-CFF.NumLinha,0)+1</f>
        <v>80</v>
      </c>
      <c r="B257" s="11" t="b">
        <f ca="1">$C257&gt;=OFFSET($C257,CFF.NumLinha,0)</f>
        <v>1</v>
      </c>
      <c r="C257" s="11">
        <f ca="1">INDEX(PO!A$12:A$603,MATCH($A257,PO!$V$12:$V$603,0))</f>
        <v>1</v>
      </c>
      <c r="D257" s="11">
        <f t="shared" ref="D257:D302" ca="1" si="1410">IF(ISERROR(J257),I257,SMALL(I257:J257,1))-1</f>
        <v>2</v>
      </c>
      <c r="E257" s="11">
        <f ca="1">IF($C257=1,OFFSET(E257,-CFF.NumLinha,0)+1,OFFSET(E257,-CFF.NumLinha,0))</f>
        <v>22</v>
      </c>
      <c r="F257" s="11">
        <f ca="1">IF($C257=1,0,IF($C257=2,OFFSET(F257,-CFF.NumLinha,0)+1,OFFSET(F257,-CFF.NumLinha,0)))</f>
        <v>0</v>
      </c>
      <c r="G257" s="11">
        <f ca="1">IF(AND($C257&lt;=2,$C257&lt;&gt;0),0,IF($C257=3,OFFSET(G257,-CFF.NumLinha,0)+1,OFFSET(G257,-CFF.NumLinha,0)))</f>
        <v>0</v>
      </c>
      <c r="H257" s="11">
        <f ca="1">IF(AND($C257&lt;=3,$C257&lt;&gt;0),0,IF($C257=4,OFFSET(H257,-CFF.NumLinha,0)+1,OFFSET(H257,-CFF.NumLinha,0)))</f>
        <v>0</v>
      </c>
      <c r="I257" s="11">
        <f t="shared" ref="I257:I302" ca="1" si="1411">MATCH(0,OFFSET($D257,1,$C257,ROW($A$303)-ROW($A257)),0)</f>
        <v>46</v>
      </c>
      <c r="J257" s="11">
        <f t="shared" ref="J257:J302" ca="1" si="1412">MATCH(OFFSET($D257,0,$C257)+1,OFFSET($D257,1,$C257,ROW($A$303)-ROW($A257)),0)</f>
        <v>3</v>
      </c>
      <c r="K257" s="156">
        <f ca="1">ROUND(INDEX(PO!T$12:T$603,MATCH($A257,PO!$V$12:$V$603,0)),2)+10^-12</f>
        <v>9.9999999999999998E-13</v>
      </c>
      <c r="L257" s="344"/>
      <c r="M257" s="338"/>
      <c r="N257" s="336"/>
      <c r="O257" s="171" t="s">
        <v>20</v>
      </c>
      <c r="P257" s="166">
        <f t="shared" ref="P257:W257" ca="1" si="1413">IF($B257,ROUND(P256*$N255,2),ROUND(SUMIF(OFFSET($B257,1,0,$D257),TRUE,OFFSET(P257,1,0,$D257))/SUMIF(OFFSET($B257,1,0,$D257),TRUE,OFFSET($K257,1,0,$D257))*$N255,2))</f>
        <v>0</v>
      </c>
      <c r="Q257" s="144">
        <f t="shared" ca="1" si="1413"/>
        <v>0</v>
      </c>
      <c r="R257" s="144">
        <f t="shared" ca="1" si="1413"/>
        <v>0</v>
      </c>
      <c r="S257" s="144">
        <f t="shared" ca="1" si="1413"/>
        <v>0</v>
      </c>
      <c r="T257" s="144">
        <f t="shared" ca="1" si="1413"/>
        <v>0</v>
      </c>
      <c r="U257" s="144">
        <f t="shared" ca="1" si="1413"/>
        <v>0</v>
      </c>
      <c r="V257" s="144">
        <f t="shared" ca="1" si="1413"/>
        <v>0</v>
      </c>
      <c r="W257" s="174">
        <f t="shared" ca="1" si="1413"/>
        <v>0</v>
      </c>
      <c r="X257" s="163"/>
      <c r="AC257" s="144">
        <f t="shared" ref="AC257" ca="1" si="1414">IF($B257,ROUND(AC256*$N255,2),ROUND(SUMIF(OFFSET($B257,1,0,$D257),TRUE,OFFSET(AC257,1,0,$D257))/SUMIF(OFFSET($B257,1,0,$D257),TRUE,OFFSET($K257,1,0,$D257))*$N255,2))</f>
        <v>0</v>
      </c>
    </row>
    <row r="258" spans="1:29" customFormat="1" ht="14.25" customHeight="1" x14ac:dyDescent="0.25">
      <c r="A258" s="1"/>
      <c r="B258" s="1"/>
      <c r="C258" s="1"/>
      <c r="D258" s="1"/>
      <c r="E258" s="1"/>
      <c r="F258" s="1"/>
      <c r="G258" s="1"/>
      <c r="H258" s="1"/>
      <c r="I258" s="1"/>
      <c r="J258" s="1"/>
      <c r="K258" s="1"/>
      <c r="L258" s="343" t="str">
        <f ca="1">INDEX(PO!K$12:K$603,MATCH($A260,PO!$V$12:$V$603,0))</f>
        <v>23.</v>
      </c>
      <c r="M258" s="337" t="str">
        <f ca="1">INDEX(PO!N$12:N$603,MATCH($A260,PO!$V$12:$V$603,0))</f>
        <v>SERVIÇOS COMPLEMENTARES</v>
      </c>
      <c r="N258" s="335">
        <f t="shared" ref="N258" ca="1" si="1415">IF(ROUND(K260,2)=0,K260,ROUND(K260,2))</f>
        <v>9.9999999999999998E-13</v>
      </c>
      <c r="O258" s="187" t="s">
        <v>143</v>
      </c>
      <c r="P258" s="192">
        <f t="shared" ref="P258" ca="1" si="1416">IF($B260,0,P259-IF(ISNUMBER(O259),O259,0))</f>
        <v>0</v>
      </c>
      <c r="Q258" s="193">
        <f t="shared" ref="Q258" ca="1" si="1417">IF($B260,0,Q259-IF(ISNUMBER(P259),P259,0))</f>
        <v>0</v>
      </c>
      <c r="R258" s="193">
        <f t="shared" ref="R258" ca="1" si="1418">IF($B260,0,R259-IF(ISNUMBER(Q259),Q259,0))</f>
        <v>0</v>
      </c>
      <c r="S258" s="193">
        <f t="shared" ref="S258" ca="1" si="1419">IF($B260,0,S259-IF(ISNUMBER(R259),R259,0))</f>
        <v>0</v>
      </c>
      <c r="T258" s="193">
        <v>0.25</v>
      </c>
      <c r="U258" s="193">
        <v>0.25</v>
      </c>
      <c r="V258" s="193">
        <v>0.25</v>
      </c>
      <c r="W258" s="194">
        <v>0.25</v>
      </c>
      <c r="X258" s="163"/>
      <c r="AC258" s="188">
        <f t="shared" ref="AC258" ca="1" si="1420">IF($B260,0,AC259-IF(ISNUMBER(AB259),AB259,0))</f>
        <v>0</v>
      </c>
    </row>
    <row r="259" spans="1:29" customFormat="1" ht="13.8" x14ac:dyDescent="0.25">
      <c r="A259" s="11"/>
      <c r="B259" s="11"/>
      <c r="C259" s="11"/>
      <c r="D259" s="11"/>
      <c r="E259" s="11"/>
      <c r="F259" s="11"/>
      <c r="G259" s="11"/>
      <c r="H259" s="11"/>
      <c r="I259" s="11"/>
      <c r="J259" s="11"/>
      <c r="K259" s="11"/>
      <c r="L259" s="344"/>
      <c r="M259" s="338"/>
      <c r="N259" s="336"/>
      <c r="O259" s="145" t="s">
        <v>145</v>
      </c>
      <c r="P259" s="165">
        <f t="shared" ref="P259" ca="1" si="1421">MIN(IF($B260,P258+IF(ISNUMBER(O259),O259,0),P260/$N258),1)</f>
        <v>0</v>
      </c>
      <c r="Q259" s="143">
        <f t="shared" ref="Q259" ca="1" si="1422">MIN(IF($B260,Q258+IF(ISNUMBER(P259),P259,0),Q260/$N258),1)</f>
        <v>0</v>
      </c>
      <c r="R259" s="143">
        <f t="shared" ref="R259" ca="1" si="1423">MIN(IF($B260,R258+IF(ISNUMBER(Q259),Q259,0),R260/$N258),1)</f>
        <v>0</v>
      </c>
      <c r="S259" s="143">
        <f t="shared" ref="S259" ca="1" si="1424">MIN(IF($B260,S258+IF(ISNUMBER(R259),R259,0),S260/$N258),1)</f>
        <v>0</v>
      </c>
      <c r="T259" s="143">
        <f t="shared" ref="T259" ca="1" si="1425">MIN(IF($B260,T258+IF(ISNUMBER(S259),S259,0),T260/$N258),1)</f>
        <v>0.25</v>
      </c>
      <c r="U259" s="143">
        <f t="shared" ref="U259" ca="1" si="1426">MIN(IF($B260,U258+IF(ISNUMBER(T259),T259,0),U260/$N258),1)</f>
        <v>0.5</v>
      </c>
      <c r="V259" s="143">
        <f t="shared" ref="V259" ca="1" si="1427">MIN(IF($B260,V258+IF(ISNUMBER(U259),U259,0),V260/$N258),1)</f>
        <v>0.75</v>
      </c>
      <c r="W259" s="143">
        <f t="shared" ref="W259" ca="1" si="1428">MIN(IF($B260,W258+IF(ISNUMBER(V259),V259,0),W260/$N258),1)</f>
        <v>1</v>
      </c>
      <c r="X259" s="163"/>
      <c r="AC259" s="143">
        <f t="shared" ref="AC259" ca="1" si="1429">MIN(IF($B260,AC258+IF(ISNUMBER(AB259),AB259,0),AC260/$N258),1)</f>
        <v>0</v>
      </c>
    </row>
    <row r="260" spans="1:29" customFormat="1" ht="13.8" x14ac:dyDescent="0.25">
      <c r="A260" s="11">
        <f ca="1">OFFSET(A260,-CFF.NumLinha,0)+1</f>
        <v>81</v>
      </c>
      <c r="B260" s="11" t="b">
        <f ca="1">$C260&gt;=OFFSET($C260,CFF.NumLinha,0)</f>
        <v>1</v>
      </c>
      <c r="C260" s="11">
        <f ca="1">INDEX(PO!A$12:A$603,MATCH($A260,PO!$V$12:$V$603,0))</f>
        <v>1</v>
      </c>
      <c r="D260" s="11">
        <f t="shared" ref="D260:D302" ca="1" si="1430">IF(ISERROR(J260),I260,SMALL(I260:J260,1))-1</f>
        <v>2</v>
      </c>
      <c r="E260" s="11">
        <f ca="1">IF($C260=1,OFFSET(E260,-CFF.NumLinha,0)+1,OFFSET(E260,-CFF.NumLinha,0))</f>
        <v>23</v>
      </c>
      <c r="F260" s="11">
        <f ca="1">IF($C260=1,0,IF($C260=2,OFFSET(F260,-CFF.NumLinha,0)+1,OFFSET(F260,-CFF.NumLinha,0)))</f>
        <v>0</v>
      </c>
      <c r="G260" s="11">
        <f ca="1">IF(AND($C260&lt;=2,$C260&lt;&gt;0),0,IF($C260=3,OFFSET(G260,-CFF.NumLinha,0)+1,OFFSET(G260,-CFF.NumLinha,0)))</f>
        <v>0</v>
      </c>
      <c r="H260" s="11">
        <f ca="1">IF(AND($C260&lt;=3,$C260&lt;&gt;0),0,IF($C260=4,OFFSET(H260,-CFF.NumLinha,0)+1,OFFSET(H260,-CFF.NumLinha,0)))</f>
        <v>0</v>
      </c>
      <c r="I260" s="11">
        <f t="shared" ref="I260:I302" ca="1" si="1431">MATCH(0,OFFSET($D260,1,$C260,ROW($A$303)-ROW($A260)),0)</f>
        <v>43</v>
      </c>
      <c r="J260" s="11">
        <f t="shared" ref="J260:J302" ca="1" si="1432">MATCH(OFFSET($D260,0,$C260)+1,OFFSET($D260,1,$C260,ROW($A$303)-ROW($A260)),0)</f>
        <v>3</v>
      </c>
      <c r="K260" s="156">
        <f ca="1">ROUND(INDEX(PO!T$12:T$603,MATCH($A260,PO!$V$12:$V$603,0)),2)+10^-12</f>
        <v>9.9999999999999998E-13</v>
      </c>
      <c r="L260" s="344"/>
      <c r="M260" s="338"/>
      <c r="N260" s="336"/>
      <c r="O260" s="171" t="s">
        <v>20</v>
      </c>
      <c r="P260" s="166">
        <f t="shared" ref="P260:W260" ca="1" si="1433">IF($B260,ROUND(P259*$N258,2),ROUND(SUMIF(OFFSET($B260,1,0,$D260),TRUE,OFFSET(P260,1,0,$D260))/SUMIF(OFFSET($B260,1,0,$D260),TRUE,OFFSET($K260,1,0,$D260))*$N258,2))</f>
        <v>0</v>
      </c>
      <c r="Q260" s="144">
        <f t="shared" ca="1" si="1433"/>
        <v>0</v>
      </c>
      <c r="R260" s="144">
        <f t="shared" ca="1" si="1433"/>
        <v>0</v>
      </c>
      <c r="S260" s="144">
        <f t="shared" ca="1" si="1433"/>
        <v>0</v>
      </c>
      <c r="T260" s="144">
        <f t="shared" ca="1" si="1433"/>
        <v>0</v>
      </c>
      <c r="U260" s="144">
        <f t="shared" ca="1" si="1433"/>
        <v>0</v>
      </c>
      <c r="V260" s="144">
        <f t="shared" ca="1" si="1433"/>
        <v>0</v>
      </c>
      <c r="W260" s="174">
        <f t="shared" ca="1" si="1433"/>
        <v>0</v>
      </c>
      <c r="X260" s="163"/>
      <c r="AC260" s="144">
        <f t="shared" ref="AC260" ca="1" si="1434">IF($B260,ROUND(AC259*$N258,2),ROUND(SUMIF(OFFSET($B260,1,0,$D260),TRUE,OFFSET(AC260,1,0,$D260))/SUMIF(OFFSET($B260,1,0,$D260),TRUE,OFFSET($K260,1,0,$D260))*$N258,2))</f>
        <v>0</v>
      </c>
    </row>
    <row r="261" spans="1:29" customFormat="1" ht="14.25" customHeight="1" x14ac:dyDescent="0.25">
      <c r="A261" s="1"/>
      <c r="B261" s="1"/>
      <c r="C261" s="1"/>
      <c r="D261" s="1"/>
      <c r="E261" s="1"/>
      <c r="F261" s="1"/>
      <c r="G261" s="1"/>
      <c r="H261" s="1"/>
      <c r="I261" s="1"/>
      <c r="J261" s="1"/>
      <c r="K261" s="1"/>
      <c r="L261" s="343" t="str">
        <f ca="1">INDEX(PO!K$12:K$603,MATCH($A263,PO!$V$12:$V$603,0))</f>
        <v>24.</v>
      </c>
      <c r="M261" s="337" t="str">
        <f ca="1">INDEX(PO!N$12:N$603,MATCH($A263,PO!$V$12:$V$603,0))</f>
        <v>SERVIÇOS EXECUTADOS COM CONTRAPARTIDA DO MUNICÍPIO</v>
      </c>
      <c r="N261" s="335">
        <f t="shared" ref="N261" ca="1" si="1435">IF(ROUND(K263,2)=0,K263,ROUND(K263,2))</f>
        <v>9.9999999999999998E-13</v>
      </c>
      <c r="O261" s="187" t="s">
        <v>143</v>
      </c>
      <c r="P261" s="192">
        <f t="shared" ref="P261" ca="1" si="1436">IF($B263,0,P262-IF(ISNUMBER(O262),O262,0))</f>
        <v>0</v>
      </c>
      <c r="Q261" s="193">
        <f t="shared" ref="Q261" ca="1" si="1437">IF($B263,0,Q262-IF(ISNUMBER(P262),P262,0))</f>
        <v>0</v>
      </c>
      <c r="R261" s="193">
        <f t="shared" ref="R261" ca="1" si="1438">IF($B263,0,R262-IF(ISNUMBER(Q262),Q262,0))</f>
        <v>0</v>
      </c>
      <c r="S261" s="193">
        <f t="shared" ref="S261" ca="1" si="1439">IF($B263,0,S262-IF(ISNUMBER(R262),R262,0))</f>
        <v>0</v>
      </c>
      <c r="T261" s="193">
        <f t="shared" ref="T261" ca="1" si="1440">IF($B263,0,T262-IF(ISNUMBER(S262),S262,0))</f>
        <v>0</v>
      </c>
      <c r="U261" s="193">
        <f t="shared" ref="U261" ca="1" si="1441">IF($B263,0,U262-IF(ISNUMBER(T262),T262,0))</f>
        <v>0</v>
      </c>
      <c r="V261" s="193">
        <f t="shared" ref="V261" ca="1" si="1442">IF($B263,0,V262-IF(ISNUMBER(U262),U262,0))</f>
        <v>0</v>
      </c>
      <c r="W261" s="194">
        <f t="shared" ref="W261" ca="1" si="1443">IF($B263,0,W262-IF(ISNUMBER(V262),V262,0))</f>
        <v>0</v>
      </c>
      <c r="X261" s="163"/>
      <c r="AC261" s="188">
        <f t="shared" ref="AC261" ca="1" si="1444">IF($B263,0,AC262-IF(ISNUMBER(AB262),AB262,0))</f>
        <v>0</v>
      </c>
    </row>
    <row r="262" spans="1:29" customFormat="1" ht="13.8" x14ac:dyDescent="0.25">
      <c r="A262" s="11"/>
      <c r="B262" s="11"/>
      <c r="C262" s="11"/>
      <c r="D262" s="11"/>
      <c r="E262" s="11"/>
      <c r="F262" s="11"/>
      <c r="G262" s="11"/>
      <c r="H262" s="11"/>
      <c r="I262" s="11"/>
      <c r="J262" s="11"/>
      <c r="K262" s="11"/>
      <c r="L262" s="344"/>
      <c r="M262" s="338"/>
      <c r="N262" s="336"/>
      <c r="O262" s="145" t="s">
        <v>145</v>
      </c>
      <c r="P262" s="165">
        <f t="shared" ref="P262" ca="1" si="1445">MIN(IF($B263,P261+IF(ISNUMBER(O262),O262,0),P263/$N261),1)</f>
        <v>0</v>
      </c>
      <c r="Q262" s="143">
        <f t="shared" ref="Q262" ca="1" si="1446">MIN(IF($B263,Q261+IF(ISNUMBER(P262),P262,0),Q263/$N261),1)</f>
        <v>0</v>
      </c>
      <c r="R262" s="143">
        <f t="shared" ref="R262" ca="1" si="1447">MIN(IF($B263,R261+IF(ISNUMBER(Q262),Q262,0),R263/$N261),1)</f>
        <v>0</v>
      </c>
      <c r="S262" s="143">
        <f t="shared" ref="S262" ca="1" si="1448">MIN(IF($B263,S261+IF(ISNUMBER(R262),R262,0),S263/$N261),1)</f>
        <v>0</v>
      </c>
      <c r="T262" s="143">
        <f t="shared" ref="T262" ca="1" si="1449">MIN(IF($B263,T261+IF(ISNUMBER(S262),S262,0),T263/$N261),1)</f>
        <v>0</v>
      </c>
      <c r="U262" s="143">
        <f t="shared" ref="U262" ca="1" si="1450">MIN(IF($B263,U261+IF(ISNUMBER(T262),T262,0),U263/$N261),1)</f>
        <v>0</v>
      </c>
      <c r="V262" s="143">
        <f t="shared" ref="V262" ca="1" si="1451">MIN(IF($B263,V261+IF(ISNUMBER(U262),U262,0),V263/$N261),1)</f>
        <v>0</v>
      </c>
      <c r="W262" s="143">
        <f t="shared" ref="W262" ca="1" si="1452">MIN(IF($B263,W261+IF(ISNUMBER(V262),V262,0),W263/$N261),1)</f>
        <v>0</v>
      </c>
      <c r="X262" s="163"/>
      <c r="AC262" s="143">
        <f t="shared" ref="AC262" ca="1" si="1453">MIN(IF($B263,AC261+IF(ISNUMBER(AB262),AB262,0),AC263/$N261),1)</f>
        <v>0</v>
      </c>
    </row>
    <row r="263" spans="1:29" customFormat="1" ht="13.8" x14ac:dyDescent="0.25">
      <c r="A263" s="11">
        <f ca="1">OFFSET(A263,-CFF.NumLinha,0)+1</f>
        <v>82</v>
      </c>
      <c r="B263" s="11" t="b">
        <f ca="1">$C263&gt;=OFFSET($C263,CFF.NumLinha,0)</f>
        <v>0</v>
      </c>
      <c r="C263" s="11">
        <f ca="1">INDEX(PO!A$12:A$603,MATCH($A263,PO!$V$12:$V$603,0))</f>
        <v>1</v>
      </c>
      <c r="D263" s="11">
        <f t="shared" ref="D263:D302" ca="1" si="1454">IF(ISERROR(J263),I263,SMALL(I263:J263,1))-1</f>
        <v>38</v>
      </c>
      <c r="E263" s="11">
        <f ca="1">IF($C263=1,OFFSET(E263,-CFF.NumLinha,0)+1,OFFSET(E263,-CFF.NumLinha,0))</f>
        <v>24</v>
      </c>
      <c r="F263" s="11">
        <f ca="1">IF($C263=1,0,IF($C263=2,OFFSET(F263,-CFF.NumLinha,0)+1,OFFSET(F263,-CFF.NumLinha,0)))</f>
        <v>0</v>
      </c>
      <c r="G263" s="11">
        <f ca="1">IF(AND($C263&lt;=2,$C263&lt;&gt;0),0,IF($C263=3,OFFSET(G263,-CFF.NumLinha,0)+1,OFFSET(G263,-CFF.NumLinha,0)))</f>
        <v>0</v>
      </c>
      <c r="H263" s="11">
        <f ca="1">IF(AND($C263&lt;=3,$C263&lt;&gt;0),0,IF($C263=4,OFFSET(H263,-CFF.NumLinha,0)+1,OFFSET(H263,-CFF.NumLinha,0)))</f>
        <v>0</v>
      </c>
      <c r="I263" s="11">
        <f t="shared" ref="I263:I302" ca="1" si="1455">MATCH(0,OFFSET($D263,1,$C263,ROW($A$303)-ROW($A263)),0)</f>
        <v>40</v>
      </c>
      <c r="J263" s="11">
        <f t="shared" ref="J263:J302" ca="1" si="1456">MATCH(OFFSET($D263,0,$C263)+1,OFFSET($D263,1,$C263,ROW($A$303)-ROW($A263)),0)</f>
        <v>39</v>
      </c>
      <c r="K263" s="156">
        <f ca="1">ROUND(INDEX(PO!T$12:T$603,MATCH($A263,PO!$V$12:$V$603,0)),2)+10^-12</f>
        <v>9.9999999999999998E-13</v>
      </c>
      <c r="L263" s="344"/>
      <c r="M263" s="338"/>
      <c r="N263" s="336"/>
      <c r="O263" s="171" t="s">
        <v>20</v>
      </c>
      <c r="P263" s="166">
        <f t="shared" ref="P263:W263" ca="1" si="1457">IF($B263,ROUND(P262*$N261,2),ROUND(SUMIF(OFFSET($B263,1,0,$D263),TRUE,OFFSET(P263,1,0,$D263))/SUMIF(OFFSET($B263,1,0,$D263),TRUE,OFFSET($K263,1,0,$D263))*$N261,2))</f>
        <v>0</v>
      </c>
      <c r="Q263" s="144">
        <f t="shared" ca="1" si="1457"/>
        <v>0</v>
      </c>
      <c r="R263" s="144">
        <f t="shared" ca="1" si="1457"/>
        <v>0</v>
      </c>
      <c r="S263" s="144">
        <f t="shared" ca="1" si="1457"/>
        <v>0</v>
      </c>
      <c r="T263" s="144">
        <f t="shared" ca="1" si="1457"/>
        <v>0</v>
      </c>
      <c r="U263" s="144">
        <f t="shared" ca="1" si="1457"/>
        <v>0</v>
      </c>
      <c r="V263" s="144">
        <f t="shared" ca="1" si="1457"/>
        <v>0</v>
      </c>
      <c r="W263" s="174">
        <f t="shared" ca="1" si="1457"/>
        <v>0</v>
      </c>
      <c r="X263" s="163"/>
      <c r="AC263" s="144">
        <f t="shared" ref="AC263" ca="1" si="1458">IF($B263,ROUND(AC262*$N261,2),ROUND(SUMIF(OFFSET($B263,1,0,$D263),TRUE,OFFSET(AC263,1,0,$D263))/SUMIF(OFFSET($B263,1,0,$D263),TRUE,OFFSET($K263,1,0,$D263))*$N261,2))</f>
        <v>0</v>
      </c>
    </row>
    <row r="264" spans="1:29" customFormat="1" ht="14.25" customHeight="1" x14ac:dyDescent="0.25">
      <c r="A264" s="1"/>
      <c r="B264" s="1"/>
      <c r="C264" s="1"/>
      <c r="D264" s="1"/>
      <c r="E264" s="1"/>
      <c r="F264" s="1"/>
      <c r="G264" s="1"/>
      <c r="H264" s="1"/>
      <c r="I264" s="1"/>
      <c r="J264" s="1"/>
      <c r="K264" s="1"/>
      <c r="L264" s="343" t="str">
        <f ca="1">INDEX(PO!K$12:K$603,MATCH($A266,PO!$V$12:$V$603,0))</f>
        <v>24.1.</v>
      </c>
      <c r="M264" s="337" t="str">
        <f ca="1">INDEX(PO!N$12:N$603,MATCH($A266,PO!$V$12:$V$603,0))</f>
        <v>REVISÕES E ADEQUAÇÕES DE PROJETOS</v>
      </c>
      <c r="N264" s="335">
        <f t="shared" ref="N264" ca="1" si="1459">IF(ROUND(K266,2)=0,K266,ROUND(K266,2))</f>
        <v>9.9999999999999998E-13</v>
      </c>
      <c r="O264" s="187" t="s">
        <v>143</v>
      </c>
      <c r="P264" s="193">
        <v>0.25</v>
      </c>
      <c r="Q264" s="193">
        <v>0.25</v>
      </c>
      <c r="R264" s="193">
        <v>0.25</v>
      </c>
      <c r="S264" s="194">
        <v>0.25</v>
      </c>
      <c r="T264" s="193">
        <v>0.25</v>
      </c>
      <c r="U264" s="193">
        <v>0.25</v>
      </c>
      <c r="V264" s="193">
        <v>0.25</v>
      </c>
      <c r="W264" s="194">
        <v>0.25</v>
      </c>
      <c r="X264" s="163"/>
      <c r="AC264" s="188">
        <f t="shared" ref="AC264" ca="1" si="1460">IF($B266,0,AC265-IF(ISNUMBER(AB265),AB265,0))</f>
        <v>0</v>
      </c>
    </row>
    <row r="265" spans="1:29" customFormat="1" ht="13.8" x14ac:dyDescent="0.25">
      <c r="A265" s="11"/>
      <c r="B265" s="11"/>
      <c r="C265" s="11"/>
      <c r="D265" s="11"/>
      <c r="E265" s="11"/>
      <c r="F265" s="11"/>
      <c r="G265" s="11"/>
      <c r="H265" s="11"/>
      <c r="I265" s="11"/>
      <c r="J265" s="11"/>
      <c r="K265" s="11"/>
      <c r="L265" s="344"/>
      <c r="M265" s="338"/>
      <c r="N265" s="336"/>
      <c r="O265" s="145" t="s">
        <v>145</v>
      </c>
      <c r="P265" s="165">
        <f t="shared" ref="P265" ca="1" si="1461">MIN(IF($B266,P264+IF(ISNUMBER(O265),O265,0),P266/$N264),1)</f>
        <v>0.25</v>
      </c>
      <c r="Q265" s="143">
        <f t="shared" ref="Q265" ca="1" si="1462">MIN(IF($B266,Q264+IF(ISNUMBER(P265),P265,0),Q266/$N264),1)</f>
        <v>0.5</v>
      </c>
      <c r="R265" s="143">
        <f t="shared" ref="R265" ca="1" si="1463">MIN(IF($B266,R264+IF(ISNUMBER(Q265),Q265,0),R266/$N264),1)</f>
        <v>0.75</v>
      </c>
      <c r="S265" s="143">
        <f t="shared" ref="S265" ca="1" si="1464">MIN(IF($B266,S264+IF(ISNUMBER(R265),R265,0),S266/$N264),1)</f>
        <v>1</v>
      </c>
      <c r="T265" s="143">
        <f t="shared" ref="T265" ca="1" si="1465">MIN(IF($B266,T264+IF(ISNUMBER(S265),S265,0),T266/$N264),1)</f>
        <v>1</v>
      </c>
      <c r="U265" s="143">
        <f t="shared" ref="U265" ca="1" si="1466">MIN(IF($B266,U264+IF(ISNUMBER(T265),T265,0),U266/$N264),1)</f>
        <v>1</v>
      </c>
      <c r="V265" s="143">
        <f t="shared" ref="V265" ca="1" si="1467">MIN(IF($B266,V264+IF(ISNUMBER(U265),U265,0),V266/$N264),1)</f>
        <v>1</v>
      </c>
      <c r="W265" s="143">
        <f t="shared" ref="W265" ca="1" si="1468">MIN(IF($B266,W264+IF(ISNUMBER(V265),V265,0),W266/$N264),1)</f>
        <v>1</v>
      </c>
      <c r="X265" s="163"/>
      <c r="AC265" s="143">
        <f t="shared" ref="AC265" ca="1" si="1469">MIN(IF($B266,AC264+IF(ISNUMBER(AB265),AB265,0),AC266/$N264),1)</f>
        <v>0</v>
      </c>
    </row>
    <row r="266" spans="1:29" customFormat="1" ht="13.8" x14ac:dyDescent="0.25">
      <c r="A266" s="11">
        <f ca="1">OFFSET(A266,-CFF.NumLinha,0)+1</f>
        <v>83</v>
      </c>
      <c r="B266" s="11" t="b">
        <f ca="1">$C266&gt;=OFFSET($C266,CFF.NumLinha,0)</f>
        <v>1</v>
      </c>
      <c r="C266" s="11">
        <f ca="1">INDEX(PO!A$12:A$603,MATCH($A266,PO!$V$12:$V$603,0))</f>
        <v>2</v>
      </c>
      <c r="D266" s="11">
        <f t="shared" ref="D266:D302" ca="1" si="1470">IF(ISERROR(J266),I266,SMALL(I266:J266,1))-1</f>
        <v>2</v>
      </c>
      <c r="E266" s="11">
        <f ca="1">IF($C266=1,OFFSET(E266,-CFF.NumLinha,0)+1,OFFSET(E266,-CFF.NumLinha,0))</f>
        <v>24</v>
      </c>
      <c r="F266" s="11">
        <f ca="1">IF($C266=1,0,IF($C266=2,OFFSET(F266,-CFF.NumLinha,0)+1,OFFSET(F266,-CFF.NumLinha,0)))</f>
        <v>1</v>
      </c>
      <c r="G266" s="11">
        <f ca="1">IF(AND($C266&lt;=2,$C266&lt;&gt;0),0,IF($C266=3,OFFSET(G266,-CFF.NumLinha,0)+1,OFFSET(G266,-CFF.NumLinha,0)))</f>
        <v>0</v>
      </c>
      <c r="H266" s="11">
        <f ca="1">IF(AND($C266&lt;=3,$C266&lt;&gt;0),0,IF($C266=4,OFFSET(H266,-CFF.NumLinha,0)+1,OFFSET(H266,-CFF.NumLinha,0)))</f>
        <v>0</v>
      </c>
      <c r="I266" s="11">
        <f t="shared" ref="I266:I302" ca="1" si="1471">MATCH(0,OFFSET($D266,1,$C266,ROW($A$303)-ROW($A266)),0)</f>
        <v>36</v>
      </c>
      <c r="J266" s="11">
        <f t="shared" ref="J266:J302" ca="1" si="1472">MATCH(OFFSET($D266,0,$C266)+1,OFFSET($D266,1,$C266,ROW($A$303)-ROW($A266)),0)</f>
        <v>3</v>
      </c>
      <c r="K266" s="156">
        <f ca="1">ROUND(INDEX(PO!T$12:T$603,MATCH($A266,PO!$V$12:$V$603,0)),2)+10^-12</f>
        <v>9.9999999999999998E-13</v>
      </c>
      <c r="L266" s="344"/>
      <c r="M266" s="338"/>
      <c r="N266" s="336"/>
      <c r="O266" s="171" t="s">
        <v>20</v>
      </c>
      <c r="P266" s="166">
        <f t="shared" ref="P266:W266" ca="1" si="1473">IF($B266,ROUND(P265*$N264,2),ROUND(SUMIF(OFFSET($B266,1,0,$D266),TRUE,OFFSET(P266,1,0,$D266))/SUMIF(OFFSET($B266,1,0,$D266),TRUE,OFFSET($K266,1,0,$D266))*$N264,2))</f>
        <v>0</v>
      </c>
      <c r="Q266" s="144">
        <f t="shared" ca="1" si="1473"/>
        <v>0</v>
      </c>
      <c r="R266" s="144">
        <f t="shared" ca="1" si="1473"/>
        <v>0</v>
      </c>
      <c r="S266" s="144">
        <f t="shared" ca="1" si="1473"/>
        <v>0</v>
      </c>
      <c r="T266" s="144">
        <f t="shared" ca="1" si="1473"/>
        <v>0</v>
      </c>
      <c r="U266" s="144">
        <f t="shared" ca="1" si="1473"/>
        <v>0</v>
      </c>
      <c r="V266" s="144">
        <f t="shared" ca="1" si="1473"/>
        <v>0</v>
      </c>
      <c r="W266" s="174">
        <f t="shared" ca="1" si="1473"/>
        <v>0</v>
      </c>
      <c r="X266" s="163"/>
      <c r="AC266" s="144">
        <f t="shared" ref="AC266" ca="1" si="1474">IF($B266,ROUND(AC265*$N264,2),ROUND(SUMIF(OFFSET($B266,1,0,$D266),TRUE,OFFSET(AC266,1,0,$D266))/SUMIF(OFFSET($B266,1,0,$D266),TRUE,OFFSET($K266,1,0,$D266))*$N264,2))</f>
        <v>0</v>
      </c>
    </row>
    <row r="267" spans="1:29" customFormat="1" ht="14.25" customHeight="1" x14ac:dyDescent="0.25">
      <c r="A267" s="1"/>
      <c r="B267" s="1"/>
      <c r="C267" s="1"/>
      <c r="D267" s="1"/>
      <c r="E267" s="1"/>
      <c r="F267" s="1"/>
      <c r="G267" s="1"/>
      <c r="H267" s="1"/>
      <c r="I267" s="1"/>
      <c r="J267" s="1"/>
      <c r="K267" s="1"/>
      <c r="L267" s="343" t="str">
        <f ca="1">INDEX(PO!K$12:K$603,MATCH($A269,PO!$V$12:$V$603,0))</f>
        <v>24.2.</v>
      </c>
      <c r="M267" s="337" t="str">
        <f ca="1">INDEX(PO!N$12:N$603,MATCH($A269,PO!$V$12:$V$603,0))</f>
        <v>ESCAVAÇÃO DE 3ª CATEGORIA</v>
      </c>
      <c r="N267" s="335">
        <f t="shared" ref="N267" ca="1" si="1475">IF(ROUND(K269,2)=0,K269,ROUND(K269,2))</f>
        <v>9.9999999999999998E-13</v>
      </c>
      <c r="O267" s="187" t="s">
        <v>143</v>
      </c>
      <c r="P267" s="193">
        <v>0.25</v>
      </c>
      <c r="Q267" s="193">
        <v>0.25</v>
      </c>
      <c r="R267" s="193">
        <v>0.25</v>
      </c>
      <c r="S267" s="194">
        <v>0.25</v>
      </c>
      <c r="T267" s="193">
        <v>0.25</v>
      </c>
      <c r="U267" s="193">
        <v>0.25</v>
      </c>
      <c r="V267" s="193">
        <v>0.25</v>
      </c>
      <c r="W267" s="194">
        <v>0.25</v>
      </c>
      <c r="X267" s="163"/>
      <c r="AC267" s="188">
        <f t="shared" ref="AC267" ca="1" si="1476">IF($B269,0,AC268-IF(ISNUMBER(AB268),AB268,0))</f>
        <v>0</v>
      </c>
    </row>
    <row r="268" spans="1:29" customFormat="1" ht="13.8" x14ac:dyDescent="0.25">
      <c r="A268" s="11"/>
      <c r="B268" s="11"/>
      <c r="C268" s="11"/>
      <c r="D268" s="11"/>
      <c r="E268" s="11"/>
      <c r="F268" s="11"/>
      <c r="G268" s="11"/>
      <c r="H268" s="11"/>
      <c r="I268" s="11"/>
      <c r="J268" s="11"/>
      <c r="K268" s="11"/>
      <c r="L268" s="344"/>
      <c r="M268" s="338"/>
      <c r="N268" s="336"/>
      <c r="O268" s="145" t="s">
        <v>145</v>
      </c>
      <c r="P268" s="165">
        <f t="shared" ref="P268" ca="1" si="1477">MIN(IF($B269,P267+IF(ISNUMBER(O268),O268,0),P269/$N267),1)</f>
        <v>0.25</v>
      </c>
      <c r="Q268" s="143">
        <f t="shared" ref="Q268" ca="1" si="1478">MIN(IF($B269,Q267+IF(ISNUMBER(P268),P268,0),Q269/$N267),1)</f>
        <v>0.5</v>
      </c>
      <c r="R268" s="143">
        <f t="shared" ref="R268" ca="1" si="1479">MIN(IF($B269,R267+IF(ISNUMBER(Q268),Q268,0),R269/$N267),1)</f>
        <v>0.75</v>
      </c>
      <c r="S268" s="143">
        <f t="shared" ref="S268" ca="1" si="1480">MIN(IF($B269,S267+IF(ISNUMBER(R268),R268,0),S269/$N267),1)</f>
        <v>1</v>
      </c>
      <c r="T268" s="143">
        <f t="shared" ref="T268" ca="1" si="1481">MIN(IF($B269,T267+IF(ISNUMBER(S268),S268,0),T269/$N267),1)</f>
        <v>1</v>
      </c>
      <c r="U268" s="143">
        <f t="shared" ref="U268" ca="1" si="1482">MIN(IF($B269,U267+IF(ISNUMBER(T268),T268,0),U269/$N267),1)</f>
        <v>1</v>
      </c>
      <c r="V268" s="143">
        <f t="shared" ref="V268" ca="1" si="1483">MIN(IF($B269,V267+IF(ISNUMBER(U268),U268,0),V269/$N267),1)</f>
        <v>1</v>
      </c>
      <c r="W268" s="143">
        <f t="shared" ref="W268" ca="1" si="1484">MIN(IF($B269,W267+IF(ISNUMBER(V268),V268,0),W269/$N267),1)</f>
        <v>1</v>
      </c>
      <c r="X268" s="163"/>
      <c r="AC268" s="143">
        <f t="shared" ref="AC268" ca="1" si="1485">MIN(IF($B269,AC267+IF(ISNUMBER(AB268),AB268,0),AC269/$N267),1)</f>
        <v>0</v>
      </c>
    </row>
    <row r="269" spans="1:29" customFormat="1" ht="13.8" x14ac:dyDescent="0.25">
      <c r="A269" s="11">
        <f ca="1">OFFSET(A269,-CFF.NumLinha,0)+1</f>
        <v>84</v>
      </c>
      <c r="B269" s="11" t="b">
        <f ca="1">$C269&gt;=OFFSET($C269,CFF.NumLinha,0)</f>
        <v>1</v>
      </c>
      <c r="C269" s="11">
        <f ca="1">INDEX(PO!A$12:A$603,MATCH($A269,PO!$V$12:$V$603,0))</f>
        <v>2</v>
      </c>
      <c r="D269" s="11">
        <f t="shared" ref="D269:D302" ca="1" si="1486">IF(ISERROR(J269),I269,SMALL(I269:J269,1))-1</f>
        <v>2</v>
      </c>
      <c r="E269" s="11">
        <f ca="1">IF($C269=1,OFFSET(E269,-CFF.NumLinha,0)+1,OFFSET(E269,-CFF.NumLinha,0))</f>
        <v>24</v>
      </c>
      <c r="F269" s="11">
        <f ca="1">IF($C269=1,0,IF($C269=2,OFFSET(F269,-CFF.NumLinha,0)+1,OFFSET(F269,-CFF.NumLinha,0)))</f>
        <v>2</v>
      </c>
      <c r="G269" s="11">
        <f ca="1">IF(AND($C269&lt;=2,$C269&lt;&gt;0),0,IF($C269=3,OFFSET(G269,-CFF.NumLinha,0)+1,OFFSET(G269,-CFF.NumLinha,0)))</f>
        <v>0</v>
      </c>
      <c r="H269" s="11">
        <f ca="1">IF(AND($C269&lt;=3,$C269&lt;&gt;0),0,IF($C269=4,OFFSET(H269,-CFF.NumLinha,0)+1,OFFSET(H269,-CFF.NumLinha,0)))</f>
        <v>0</v>
      </c>
      <c r="I269" s="11">
        <f t="shared" ref="I269:I302" ca="1" si="1487">MATCH(0,OFFSET($D269,1,$C269,ROW($A$303)-ROW($A269)),0)</f>
        <v>33</v>
      </c>
      <c r="J269" s="11">
        <f t="shared" ref="J269:J302" ca="1" si="1488">MATCH(OFFSET($D269,0,$C269)+1,OFFSET($D269,1,$C269,ROW($A$303)-ROW($A269)),0)</f>
        <v>3</v>
      </c>
      <c r="K269" s="156">
        <f ca="1">ROUND(INDEX(PO!T$12:T$603,MATCH($A269,PO!$V$12:$V$603,0)),2)+10^-12</f>
        <v>9.9999999999999998E-13</v>
      </c>
      <c r="L269" s="344"/>
      <c r="M269" s="338"/>
      <c r="N269" s="336"/>
      <c r="O269" s="171" t="s">
        <v>20</v>
      </c>
      <c r="P269" s="166">
        <f t="shared" ref="P269:W269" ca="1" si="1489">IF($B269,ROUND(P268*$N267,2),ROUND(SUMIF(OFFSET($B269,1,0,$D269),TRUE,OFFSET(P269,1,0,$D269))/SUMIF(OFFSET($B269,1,0,$D269),TRUE,OFFSET($K269,1,0,$D269))*$N267,2))</f>
        <v>0</v>
      </c>
      <c r="Q269" s="144">
        <f t="shared" ca="1" si="1489"/>
        <v>0</v>
      </c>
      <c r="R269" s="144">
        <f t="shared" ca="1" si="1489"/>
        <v>0</v>
      </c>
      <c r="S269" s="144">
        <f t="shared" ca="1" si="1489"/>
        <v>0</v>
      </c>
      <c r="T269" s="144">
        <f t="shared" ca="1" si="1489"/>
        <v>0</v>
      </c>
      <c r="U269" s="144">
        <f t="shared" ca="1" si="1489"/>
        <v>0</v>
      </c>
      <c r="V269" s="144">
        <f t="shared" ca="1" si="1489"/>
        <v>0</v>
      </c>
      <c r="W269" s="174">
        <f t="shared" ca="1" si="1489"/>
        <v>0</v>
      </c>
      <c r="X269" s="163"/>
      <c r="AC269" s="144">
        <f t="shared" ref="AC269" ca="1" si="1490">IF($B269,ROUND(AC268*$N267,2),ROUND(SUMIF(OFFSET($B269,1,0,$D269),TRUE,OFFSET(AC269,1,0,$D269))/SUMIF(OFFSET($B269,1,0,$D269),TRUE,OFFSET($K269,1,0,$D269))*$N267,2))</f>
        <v>0</v>
      </c>
    </row>
    <row r="270" spans="1:29" customFormat="1" ht="14.25" customHeight="1" x14ac:dyDescent="0.25">
      <c r="A270" s="1"/>
      <c r="B270" s="1"/>
      <c r="C270" s="1"/>
      <c r="D270" s="1"/>
      <c r="E270" s="1"/>
      <c r="F270" s="1"/>
      <c r="G270" s="1"/>
      <c r="H270" s="1"/>
      <c r="I270" s="1"/>
      <c r="J270" s="1"/>
      <c r="K270" s="1"/>
      <c r="L270" s="343" t="str">
        <f ca="1">INDEX(PO!K$12:K$603,MATCH($A272,PO!$V$12:$V$603,0))</f>
        <v>24.3.</v>
      </c>
      <c r="M270" s="337" t="str">
        <f ca="1">INDEX(PO!N$12:N$603,MATCH($A272,PO!$V$12:$V$603,0))</f>
        <v>FUNDAÇÕES</v>
      </c>
      <c r="N270" s="335">
        <f t="shared" ref="N270" ca="1" si="1491">IF(ROUND(K272,2)=0,K272,ROUND(K272,2))</f>
        <v>9.9999999999999998E-13</v>
      </c>
      <c r="O270" s="187" t="s">
        <v>143</v>
      </c>
      <c r="P270" s="192">
        <f t="shared" ref="P270" ca="1" si="1492">IF($B272,0,P271-IF(ISNUMBER(O271),O271,0))</f>
        <v>0</v>
      </c>
      <c r="Q270" s="193">
        <v>0.25</v>
      </c>
      <c r="R270" s="193">
        <v>0.25</v>
      </c>
      <c r="S270" s="193">
        <v>0.25</v>
      </c>
      <c r="T270" s="194">
        <v>0.25</v>
      </c>
      <c r="U270" s="193">
        <f t="shared" ref="U270" ca="1" si="1493">IF($B272,0,U271-IF(ISNUMBER(T271),T271,0))</f>
        <v>0</v>
      </c>
      <c r="V270" s="193">
        <f t="shared" ref="V270" ca="1" si="1494">IF($B272,0,V271-IF(ISNUMBER(U271),U271,0))</f>
        <v>0</v>
      </c>
      <c r="W270" s="194">
        <f t="shared" ref="W270" ca="1" si="1495">IF($B272,0,W271-IF(ISNUMBER(V271),V271,0))</f>
        <v>0</v>
      </c>
      <c r="X270" s="163"/>
      <c r="AC270" s="188">
        <f t="shared" ref="AC270" ca="1" si="1496">IF($B272,0,AC271-IF(ISNUMBER(AB271),AB271,0))</f>
        <v>0</v>
      </c>
    </row>
    <row r="271" spans="1:29" customFormat="1" ht="13.8" x14ac:dyDescent="0.25">
      <c r="A271" s="11"/>
      <c r="B271" s="11"/>
      <c r="C271" s="11"/>
      <c r="D271" s="11"/>
      <c r="E271" s="11"/>
      <c r="F271" s="11"/>
      <c r="G271" s="11"/>
      <c r="H271" s="11"/>
      <c r="I271" s="11"/>
      <c r="J271" s="11"/>
      <c r="K271" s="11"/>
      <c r="L271" s="344"/>
      <c r="M271" s="338"/>
      <c r="N271" s="336"/>
      <c r="O271" s="145" t="s">
        <v>145</v>
      </c>
      <c r="P271" s="165">
        <f t="shared" ref="P271" ca="1" si="1497">MIN(IF($B272,P270+IF(ISNUMBER(O271),O271,0),P272/$N270),1)</f>
        <v>0</v>
      </c>
      <c r="Q271" s="143">
        <f t="shared" ref="Q271" ca="1" si="1498">MIN(IF($B272,Q270+IF(ISNUMBER(P271),P271,0),Q272/$N270),1)</f>
        <v>0.25</v>
      </c>
      <c r="R271" s="143">
        <f t="shared" ref="R271" ca="1" si="1499">MIN(IF($B272,R270+IF(ISNUMBER(Q271),Q271,0),R272/$N270),1)</f>
        <v>0.5</v>
      </c>
      <c r="S271" s="143">
        <f t="shared" ref="S271" ca="1" si="1500">MIN(IF($B272,S270+IF(ISNUMBER(R271),R271,0),S272/$N270),1)</f>
        <v>0.75</v>
      </c>
      <c r="T271" s="143">
        <f t="shared" ref="T271" ca="1" si="1501">MIN(IF($B272,T270+IF(ISNUMBER(S271),S271,0),T272/$N270),1)</f>
        <v>1</v>
      </c>
      <c r="U271" s="143">
        <f t="shared" ref="U271" ca="1" si="1502">MIN(IF($B272,U270+IF(ISNUMBER(T271),T271,0),U272/$N270),1)</f>
        <v>1</v>
      </c>
      <c r="V271" s="143">
        <f t="shared" ref="V271" ca="1" si="1503">MIN(IF($B272,V270+IF(ISNUMBER(U271),U271,0),V272/$N270),1)</f>
        <v>1</v>
      </c>
      <c r="W271" s="143">
        <f t="shared" ref="W271" ca="1" si="1504">MIN(IF($B272,W270+IF(ISNUMBER(V271),V271,0),W272/$N270),1)</f>
        <v>1</v>
      </c>
      <c r="X271" s="163"/>
      <c r="AC271" s="143">
        <f t="shared" ref="AC271" ca="1" si="1505">MIN(IF($B272,AC270+IF(ISNUMBER(AB271),AB271,0),AC272/$N270),1)</f>
        <v>0</v>
      </c>
    </row>
    <row r="272" spans="1:29" customFormat="1" ht="13.8" x14ac:dyDescent="0.25">
      <c r="A272" s="11">
        <f ca="1">OFFSET(A272,-CFF.NumLinha,0)+1</f>
        <v>85</v>
      </c>
      <c r="B272" s="11" t="b">
        <f ca="1">$C272&gt;=OFFSET($C272,CFF.NumLinha,0)</f>
        <v>1</v>
      </c>
      <c r="C272" s="11">
        <f ca="1">INDEX(PO!A$12:A$603,MATCH($A272,PO!$V$12:$V$603,0))</f>
        <v>2</v>
      </c>
      <c r="D272" s="11">
        <f t="shared" ref="D272:D302" ca="1" si="1506">IF(ISERROR(J272),I272,SMALL(I272:J272,1))-1</f>
        <v>2</v>
      </c>
      <c r="E272" s="11">
        <f ca="1">IF($C272=1,OFFSET(E272,-CFF.NumLinha,0)+1,OFFSET(E272,-CFF.NumLinha,0))</f>
        <v>24</v>
      </c>
      <c r="F272" s="11">
        <f ca="1">IF($C272=1,0,IF($C272=2,OFFSET(F272,-CFF.NumLinha,0)+1,OFFSET(F272,-CFF.NumLinha,0)))</f>
        <v>3</v>
      </c>
      <c r="G272" s="11">
        <f ca="1">IF(AND($C272&lt;=2,$C272&lt;&gt;0),0,IF($C272=3,OFFSET(G272,-CFF.NumLinha,0)+1,OFFSET(G272,-CFF.NumLinha,0)))</f>
        <v>0</v>
      </c>
      <c r="H272" s="11">
        <f ca="1">IF(AND($C272&lt;=3,$C272&lt;&gt;0),0,IF($C272=4,OFFSET(H272,-CFF.NumLinha,0)+1,OFFSET(H272,-CFF.NumLinha,0)))</f>
        <v>0</v>
      </c>
      <c r="I272" s="11">
        <f t="shared" ref="I272:I302" ca="1" si="1507">MATCH(0,OFFSET($D272,1,$C272,ROW($A$303)-ROW($A272)),0)</f>
        <v>30</v>
      </c>
      <c r="J272" s="11">
        <f t="shared" ref="J272:J302" ca="1" si="1508">MATCH(OFFSET($D272,0,$C272)+1,OFFSET($D272,1,$C272,ROW($A$303)-ROW($A272)),0)</f>
        <v>3</v>
      </c>
      <c r="K272" s="156">
        <f ca="1">ROUND(INDEX(PO!T$12:T$603,MATCH($A272,PO!$V$12:$V$603,0)),2)+10^-12</f>
        <v>9.9999999999999998E-13</v>
      </c>
      <c r="L272" s="344"/>
      <c r="M272" s="338"/>
      <c r="N272" s="336"/>
      <c r="O272" s="171" t="s">
        <v>20</v>
      </c>
      <c r="P272" s="166">
        <f t="shared" ref="P272:W272" ca="1" si="1509">IF($B272,ROUND(P271*$N270,2),ROUND(SUMIF(OFFSET($B272,1,0,$D272),TRUE,OFFSET(P272,1,0,$D272))/SUMIF(OFFSET($B272,1,0,$D272),TRUE,OFFSET($K272,1,0,$D272))*$N270,2))</f>
        <v>0</v>
      </c>
      <c r="Q272" s="144">
        <f t="shared" ca="1" si="1509"/>
        <v>0</v>
      </c>
      <c r="R272" s="144">
        <f t="shared" ca="1" si="1509"/>
        <v>0</v>
      </c>
      <c r="S272" s="144">
        <f t="shared" ca="1" si="1509"/>
        <v>0</v>
      </c>
      <c r="T272" s="144">
        <f t="shared" ca="1" si="1509"/>
        <v>0</v>
      </c>
      <c r="U272" s="144">
        <f t="shared" ca="1" si="1509"/>
        <v>0</v>
      </c>
      <c r="V272" s="144">
        <f t="shared" ca="1" si="1509"/>
        <v>0</v>
      </c>
      <c r="W272" s="174">
        <f t="shared" ca="1" si="1509"/>
        <v>0</v>
      </c>
      <c r="X272" s="163"/>
      <c r="AC272" s="144">
        <f t="shared" ref="AC272" ca="1" si="1510">IF($B272,ROUND(AC271*$N270,2),ROUND(SUMIF(OFFSET($B272,1,0,$D272),TRUE,OFFSET(AC272,1,0,$D272))/SUMIF(OFFSET($B272,1,0,$D272),TRUE,OFFSET($K272,1,0,$D272))*$N270,2))</f>
        <v>0</v>
      </c>
    </row>
    <row r="273" spans="1:29" customFormat="1" ht="14.25" customHeight="1" x14ac:dyDescent="0.25">
      <c r="A273" s="1"/>
      <c r="B273" s="1"/>
      <c r="C273" s="1"/>
      <c r="D273" s="1"/>
      <c r="E273" s="1"/>
      <c r="F273" s="1"/>
      <c r="G273" s="1"/>
      <c r="H273" s="1"/>
      <c r="I273" s="1"/>
      <c r="J273" s="1"/>
      <c r="K273" s="1"/>
      <c r="L273" s="343" t="str">
        <f ca="1">INDEX(PO!K$12:K$603,MATCH($A275,PO!$V$12:$V$603,0))</f>
        <v>24.4.</v>
      </c>
      <c r="M273" s="337" t="str">
        <f ca="1">INDEX(PO!N$12:N$603,MATCH($A275,PO!$V$12:$V$603,0))</f>
        <v>PISOS DE CONCRETO</v>
      </c>
      <c r="N273" s="335">
        <f t="shared" ref="N273" ca="1" si="1511">IF(ROUND(K275,2)=0,K275,ROUND(K275,2))</f>
        <v>9.9999999999999998E-13</v>
      </c>
      <c r="O273" s="187" t="s">
        <v>143</v>
      </c>
      <c r="P273" s="192">
        <f t="shared" ref="P273" ca="1" si="1512">IF($B275,0,P274-IF(ISNUMBER(O274),O274,0))</f>
        <v>0</v>
      </c>
      <c r="Q273" s="193">
        <v>0.25</v>
      </c>
      <c r="R273" s="193">
        <v>0.25</v>
      </c>
      <c r="S273" s="193">
        <v>0.25</v>
      </c>
      <c r="T273" s="194">
        <v>0.25</v>
      </c>
      <c r="U273" s="193">
        <f t="shared" ref="U273" ca="1" si="1513">IF($B275,0,U274-IF(ISNUMBER(T274),T274,0))</f>
        <v>0</v>
      </c>
      <c r="V273" s="193">
        <f t="shared" ref="V273" ca="1" si="1514">IF($B275,0,V274-IF(ISNUMBER(U274),U274,0))</f>
        <v>0</v>
      </c>
      <c r="W273" s="194">
        <f t="shared" ref="W273" ca="1" si="1515">IF($B275,0,W274-IF(ISNUMBER(V274),V274,0))</f>
        <v>0</v>
      </c>
      <c r="X273" s="163"/>
      <c r="AC273" s="188">
        <f t="shared" ref="AC273" ca="1" si="1516">IF($B275,0,AC274-IF(ISNUMBER(AB274),AB274,0))</f>
        <v>0</v>
      </c>
    </row>
    <row r="274" spans="1:29" customFormat="1" ht="13.8" x14ac:dyDescent="0.25">
      <c r="A274" s="11"/>
      <c r="B274" s="11"/>
      <c r="C274" s="11"/>
      <c r="D274" s="11"/>
      <c r="E274" s="11"/>
      <c r="F274" s="11"/>
      <c r="G274" s="11"/>
      <c r="H274" s="11"/>
      <c r="I274" s="11"/>
      <c r="J274" s="11"/>
      <c r="K274" s="11"/>
      <c r="L274" s="344"/>
      <c r="M274" s="338"/>
      <c r="N274" s="336"/>
      <c r="O274" s="145" t="s">
        <v>145</v>
      </c>
      <c r="P274" s="165">
        <f t="shared" ref="P274" ca="1" si="1517">MIN(IF($B275,P273+IF(ISNUMBER(O274),O274,0),P275/$N273),1)</f>
        <v>0</v>
      </c>
      <c r="Q274" s="143">
        <f t="shared" ref="Q274" ca="1" si="1518">MIN(IF($B275,Q273+IF(ISNUMBER(P274),P274,0),Q275/$N273),1)</f>
        <v>0.25</v>
      </c>
      <c r="R274" s="143">
        <f t="shared" ref="R274" ca="1" si="1519">MIN(IF($B275,R273+IF(ISNUMBER(Q274),Q274,0),R275/$N273),1)</f>
        <v>0.5</v>
      </c>
      <c r="S274" s="143">
        <f t="shared" ref="S274" ca="1" si="1520">MIN(IF($B275,S273+IF(ISNUMBER(R274),R274,0),S275/$N273),1)</f>
        <v>0.75</v>
      </c>
      <c r="T274" s="143">
        <f t="shared" ref="T274" ca="1" si="1521">MIN(IF($B275,T273+IF(ISNUMBER(S274),S274,0),T275/$N273),1)</f>
        <v>1</v>
      </c>
      <c r="U274" s="143">
        <f t="shared" ref="U274" ca="1" si="1522">MIN(IF($B275,U273+IF(ISNUMBER(T274),T274,0),U275/$N273),1)</f>
        <v>1</v>
      </c>
      <c r="V274" s="143">
        <f t="shared" ref="V274" ca="1" si="1523">MIN(IF($B275,V273+IF(ISNUMBER(U274),U274,0),V275/$N273),1)</f>
        <v>1</v>
      </c>
      <c r="W274" s="143">
        <f t="shared" ref="W274" ca="1" si="1524">MIN(IF($B275,W273+IF(ISNUMBER(V274),V274,0),W275/$N273),1)</f>
        <v>1</v>
      </c>
      <c r="X274" s="163"/>
      <c r="AC274" s="143">
        <f t="shared" ref="AC274" ca="1" si="1525">MIN(IF($B275,AC273+IF(ISNUMBER(AB274),AB274,0),AC275/$N273),1)</f>
        <v>0</v>
      </c>
    </row>
    <row r="275" spans="1:29" customFormat="1" ht="13.8" x14ac:dyDescent="0.25">
      <c r="A275" s="11">
        <f ca="1">OFFSET(A275,-CFF.NumLinha,0)+1</f>
        <v>86</v>
      </c>
      <c r="B275" s="11" t="b">
        <f ca="1">$C275&gt;=OFFSET($C275,CFF.NumLinha,0)</f>
        <v>1</v>
      </c>
      <c r="C275" s="11">
        <f ca="1">INDEX(PO!A$12:A$603,MATCH($A275,PO!$V$12:$V$603,0))</f>
        <v>2</v>
      </c>
      <c r="D275" s="11">
        <f t="shared" ref="D275:D302" ca="1" si="1526">IF(ISERROR(J275),I275,SMALL(I275:J275,1))-1</f>
        <v>2</v>
      </c>
      <c r="E275" s="11">
        <f ca="1">IF($C275=1,OFFSET(E275,-CFF.NumLinha,0)+1,OFFSET(E275,-CFF.NumLinha,0))</f>
        <v>24</v>
      </c>
      <c r="F275" s="11">
        <f ca="1">IF($C275=1,0,IF($C275=2,OFFSET(F275,-CFF.NumLinha,0)+1,OFFSET(F275,-CFF.NumLinha,0)))</f>
        <v>4</v>
      </c>
      <c r="G275" s="11">
        <f ca="1">IF(AND($C275&lt;=2,$C275&lt;&gt;0),0,IF($C275=3,OFFSET(G275,-CFF.NumLinha,0)+1,OFFSET(G275,-CFF.NumLinha,0)))</f>
        <v>0</v>
      </c>
      <c r="H275" s="11">
        <f ca="1">IF(AND($C275&lt;=3,$C275&lt;&gt;0),0,IF($C275=4,OFFSET(H275,-CFF.NumLinha,0)+1,OFFSET(H275,-CFF.NumLinha,0)))</f>
        <v>0</v>
      </c>
      <c r="I275" s="11">
        <f t="shared" ref="I275:I302" ca="1" si="1527">MATCH(0,OFFSET($D275,1,$C275,ROW($A$303)-ROW($A275)),0)</f>
        <v>27</v>
      </c>
      <c r="J275" s="11">
        <f t="shared" ref="J275:J302" ca="1" si="1528">MATCH(OFFSET($D275,0,$C275)+1,OFFSET($D275,1,$C275,ROW($A$303)-ROW($A275)),0)</f>
        <v>3</v>
      </c>
      <c r="K275" s="156">
        <f ca="1">ROUND(INDEX(PO!T$12:T$603,MATCH($A275,PO!$V$12:$V$603,0)),2)+10^-12</f>
        <v>9.9999999999999998E-13</v>
      </c>
      <c r="L275" s="344"/>
      <c r="M275" s="338"/>
      <c r="N275" s="336"/>
      <c r="O275" s="171" t="s">
        <v>20</v>
      </c>
      <c r="P275" s="166">
        <f t="shared" ref="P275:W275" ca="1" si="1529">IF($B275,ROUND(P274*$N273,2),ROUND(SUMIF(OFFSET($B275,1,0,$D275),TRUE,OFFSET(P275,1,0,$D275))/SUMIF(OFFSET($B275,1,0,$D275),TRUE,OFFSET($K275,1,0,$D275))*$N273,2))</f>
        <v>0</v>
      </c>
      <c r="Q275" s="144">
        <f t="shared" ca="1" si="1529"/>
        <v>0</v>
      </c>
      <c r="R275" s="144">
        <f t="shared" ca="1" si="1529"/>
        <v>0</v>
      </c>
      <c r="S275" s="144">
        <f t="shared" ca="1" si="1529"/>
        <v>0</v>
      </c>
      <c r="T275" s="144">
        <f t="shared" ca="1" si="1529"/>
        <v>0</v>
      </c>
      <c r="U275" s="144">
        <f t="shared" ca="1" si="1529"/>
        <v>0</v>
      </c>
      <c r="V275" s="144">
        <f t="shared" ca="1" si="1529"/>
        <v>0</v>
      </c>
      <c r="W275" s="174">
        <f t="shared" ca="1" si="1529"/>
        <v>0</v>
      </c>
      <c r="X275" s="163"/>
      <c r="AC275" s="144">
        <f t="shared" ref="AC275" ca="1" si="1530">IF($B275,ROUND(AC274*$N273,2),ROUND(SUMIF(OFFSET($B275,1,0,$D275),TRUE,OFFSET(AC275,1,0,$D275))/SUMIF(OFFSET($B275,1,0,$D275),TRUE,OFFSET($K275,1,0,$D275))*$N273,2))</f>
        <v>0</v>
      </c>
    </row>
    <row r="276" spans="1:29" customFormat="1" ht="14.25" customHeight="1" x14ac:dyDescent="0.25">
      <c r="A276" s="1"/>
      <c r="B276" s="1"/>
      <c r="C276" s="1"/>
      <c r="D276" s="1"/>
      <c r="E276" s="1"/>
      <c r="F276" s="1"/>
      <c r="G276" s="1"/>
      <c r="H276" s="1"/>
      <c r="I276" s="1"/>
      <c r="J276" s="1"/>
      <c r="K276" s="1"/>
      <c r="L276" s="343" t="str">
        <f ca="1">INDEX(PO!K$12:K$603,MATCH($A278,PO!$V$12:$V$603,0))</f>
        <v>24.5.</v>
      </c>
      <c r="M276" s="337" t="str">
        <f ca="1">INDEX(PO!N$12:N$603,MATCH($A278,PO!$V$12:$V$603,0))</f>
        <v>ALVENARIAS E VEDAÇÕES</v>
      </c>
      <c r="N276" s="335">
        <f t="shared" ref="N276" ca="1" si="1531">IF(ROUND(K278,2)=0,K278,ROUND(K278,2))</f>
        <v>9.9999999999999998E-13</v>
      </c>
      <c r="O276" s="187" t="s">
        <v>143</v>
      </c>
      <c r="P276" s="192">
        <f t="shared" ref="P276" ca="1" si="1532">IF($B278,0,P277-IF(ISNUMBER(O277),O277,0))</f>
        <v>0</v>
      </c>
      <c r="Q276" s="193">
        <v>0.25</v>
      </c>
      <c r="R276" s="193">
        <v>0.25</v>
      </c>
      <c r="S276" s="193">
        <v>0.25</v>
      </c>
      <c r="T276" s="194">
        <v>0.25</v>
      </c>
      <c r="U276" s="193">
        <f t="shared" ref="U276" ca="1" si="1533">IF($B278,0,U277-IF(ISNUMBER(T277),T277,0))</f>
        <v>0</v>
      </c>
      <c r="V276" s="193">
        <f t="shared" ref="V276" ca="1" si="1534">IF($B278,0,V277-IF(ISNUMBER(U277),U277,0))</f>
        <v>0</v>
      </c>
      <c r="W276" s="194">
        <f t="shared" ref="W276" ca="1" si="1535">IF($B278,0,W277-IF(ISNUMBER(V277),V277,0))</f>
        <v>0</v>
      </c>
      <c r="X276" s="163"/>
      <c r="AC276" s="188">
        <f t="shared" ref="AC276" ca="1" si="1536">IF($B278,0,AC277-IF(ISNUMBER(AB277),AB277,0))</f>
        <v>0</v>
      </c>
    </row>
    <row r="277" spans="1:29" customFormat="1" ht="13.8" x14ac:dyDescent="0.25">
      <c r="A277" s="11"/>
      <c r="B277" s="11"/>
      <c r="C277" s="11"/>
      <c r="D277" s="11"/>
      <c r="E277" s="11"/>
      <c r="F277" s="11"/>
      <c r="G277" s="11"/>
      <c r="H277" s="11"/>
      <c r="I277" s="11"/>
      <c r="J277" s="11"/>
      <c r="K277" s="11"/>
      <c r="L277" s="344"/>
      <c r="M277" s="338"/>
      <c r="N277" s="336"/>
      <c r="O277" s="145" t="s">
        <v>145</v>
      </c>
      <c r="P277" s="165">
        <f t="shared" ref="P277" ca="1" si="1537">MIN(IF($B278,P276+IF(ISNUMBER(O277),O277,0),P278/$N276),1)</f>
        <v>0</v>
      </c>
      <c r="Q277" s="143">
        <f t="shared" ref="Q277" ca="1" si="1538">MIN(IF($B278,Q276+IF(ISNUMBER(P277),P277,0),Q278/$N276),1)</f>
        <v>0.25</v>
      </c>
      <c r="R277" s="143">
        <f t="shared" ref="R277" ca="1" si="1539">MIN(IF($B278,R276+IF(ISNUMBER(Q277),Q277,0),R278/$N276),1)</f>
        <v>0.5</v>
      </c>
      <c r="S277" s="143">
        <f t="shared" ref="S277" ca="1" si="1540">MIN(IF($B278,S276+IF(ISNUMBER(R277),R277,0),S278/$N276),1)</f>
        <v>0.75</v>
      </c>
      <c r="T277" s="143">
        <f t="shared" ref="T277" ca="1" si="1541">MIN(IF($B278,T276+IF(ISNUMBER(S277),S277,0),T278/$N276),1)</f>
        <v>1</v>
      </c>
      <c r="U277" s="143">
        <f t="shared" ref="U277" ca="1" si="1542">MIN(IF($B278,U276+IF(ISNUMBER(T277),T277,0),U278/$N276),1)</f>
        <v>1</v>
      </c>
      <c r="V277" s="143">
        <f t="shared" ref="V277" ca="1" si="1543">MIN(IF($B278,V276+IF(ISNUMBER(U277),U277,0),V278/$N276),1)</f>
        <v>1</v>
      </c>
      <c r="W277" s="143">
        <f t="shared" ref="W277" ca="1" si="1544">MIN(IF($B278,W276+IF(ISNUMBER(V277),V277,0),W278/$N276),1)</f>
        <v>1</v>
      </c>
      <c r="X277" s="163"/>
      <c r="AC277" s="143">
        <f t="shared" ref="AC277" ca="1" si="1545">MIN(IF($B278,AC276+IF(ISNUMBER(AB277),AB277,0),AC278/$N276),1)</f>
        <v>0</v>
      </c>
    </row>
    <row r="278" spans="1:29" customFormat="1" ht="13.8" x14ac:dyDescent="0.25">
      <c r="A278" s="11">
        <f ca="1">OFFSET(A278,-CFF.NumLinha,0)+1</f>
        <v>87</v>
      </c>
      <c r="B278" s="11" t="b">
        <f ca="1">$C278&gt;=OFFSET($C278,CFF.NumLinha,0)</f>
        <v>1</v>
      </c>
      <c r="C278" s="11">
        <f ca="1">INDEX(PO!A$12:A$603,MATCH($A278,PO!$V$12:$V$603,0))</f>
        <v>2</v>
      </c>
      <c r="D278" s="11">
        <f t="shared" ref="D278:D302" ca="1" si="1546">IF(ISERROR(J278),I278,SMALL(I278:J278,1))-1</f>
        <v>2</v>
      </c>
      <c r="E278" s="11">
        <f ca="1">IF($C278=1,OFFSET(E278,-CFF.NumLinha,0)+1,OFFSET(E278,-CFF.NumLinha,0))</f>
        <v>24</v>
      </c>
      <c r="F278" s="11">
        <f ca="1">IF($C278=1,0,IF($C278=2,OFFSET(F278,-CFF.NumLinha,0)+1,OFFSET(F278,-CFF.NumLinha,0)))</f>
        <v>5</v>
      </c>
      <c r="G278" s="11">
        <f ca="1">IF(AND($C278&lt;=2,$C278&lt;&gt;0),0,IF($C278=3,OFFSET(G278,-CFF.NumLinha,0)+1,OFFSET(G278,-CFF.NumLinha,0)))</f>
        <v>0</v>
      </c>
      <c r="H278" s="11">
        <f ca="1">IF(AND($C278&lt;=3,$C278&lt;&gt;0),0,IF($C278=4,OFFSET(H278,-CFF.NumLinha,0)+1,OFFSET(H278,-CFF.NumLinha,0)))</f>
        <v>0</v>
      </c>
      <c r="I278" s="11">
        <f t="shared" ref="I278:I302" ca="1" si="1547">MATCH(0,OFFSET($D278,1,$C278,ROW($A$303)-ROW($A278)),0)</f>
        <v>24</v>
      </c>
      <c r="J278" s="11">
        <f t="shared" ref="J278:J302" ca="1" si="1548">MATCH(OFFSET($D278,0,$C278)+1,OFFSET($D278,1,$C278,ROW($A$303)-ROW($A278)),0)</f>
        <v>3</v>
      </c>
      <c r="K278" s="156">
        <f ca="1">ROUND(INDEX(PO!T$12:T$603,MATCH($A278,PO!$V$12:$V$603,0)),2)+10^-12</f>
        <v>9.9999999999999998E-13</v>
      </c>
      <c r="L278" s="344"/>
      <c r="M278" s="338"/>
      <c r="N278" s="336"/>
      <c r="O278" s="171" t="s">
        <v>20</v>
      </c>
      <c r="P278" s="166">
        <f t="shared" ref="P278:W278" ca="1" si="1549">IF($B278,ROUND(P277*$N276,2),ROUND(SUMIF(OFFSET($B278,1,0,$D278),TRUE,OFFSET(P278,1,0,$D278))/SUMIF(OFFSET($B278,1,0,$D278),TRUE,OFFSET($K278,1,0,$D278))*$N276,2))</f>
        <v>0</v>
      </c>
      <c r="Q278" s="144">
        <f t="shared" ca="1" si="1549"/>
        <v>0</v>
      </c>
      <c r="R278" s="144">
        <f t="shared" ca="1" si="1549"/>
        <v>0</v>
      </c>
      <c r="S278" s="144">
        <f t="shared" ca="1" si="1549"/>
        <v>0</v>
      </c>
      <c r="T278" s="144">
        <f t="shared" ca="1" si="1549"/>
        <v>0</v>
      </c>
      <c r="U278" s="144">
        <f t="shared" ca="1" si="1549"/>
        <v>0</v>
      </c>
      <c r="V278" s="144">
        <f t="shared" ca="1" si="1549"/>
        <v>0</v>
      </c>
      <c r="W278" s="174">
        <f t="shared" ca="1" si="1549"/>
        <v>0</v>
      </c>
      <c r="X278" s="163"/>
      <c r="AC278" s="144">
        <f t="shared" ref="AC278" ca="1" si="1550">IF($B278,ROUND(AC277*$N276,2),ROUND(SUMIF(OFFSET($B278,1,0,$D278),TRUE,OFFSET(AC278,1,0,$D278))/SUMIF(OFFSET($B278,1,0,$D278),TRUE,OFFSET($K278,1,0,$D278))*$N276,2))</f>
        <v>0</v>
      </c>
    </row>
    <row r="279" spans="1:29" customFormat="1" ht="14.25" customHeight="1" x14ac:dyDescent="0.25">
      <c r="A279" s="1"/>
      <c r="B279" s="1"/>
      <c r="C279" s="1"/>
      <c r="D279" s="1"/>
      <c r="E279" s="1"/>
      <c r="F279" s="1"/>
      <c r="G279" s="1"/>
      <c r="H279" s="1"/>
      <c r="I279" s="1"/>
      <c r="J279" s="1"/>
      <c r="K279" s="1"/>
      <c r="L279" s="343" t="str">
        <f ca="1">INDEX(PO!K$12:K$603,MATCH($A281,PO!$V$12:$V$603,0))</f>
        <v>24.6.</v>
      </c>
      <c r="M279" s="337" t="str">
        <f ca="1">INDEX(PO!N$12:N$603,MATCH($A281,PO!$V$12:$V$603,0))</f>
        <v>DIVISÓRIAS</v>
      </c>
      <c r="N279" s="335">
        <f t="shared" ref="N279" ca="1" si="1551">IF(ROUND(K281,2)=0,K281,ROUND(K281,2))</f>
        <v>9.9999999999999998E-13</v>
      </c>
      <c r="O279" s="187" t="s">
        <v>143</v>
      </c>
      <c r="P279" s="192">
        <f t="shared" ref="P279" ca="1" si="1552">IF($B281,0,P280-IF(ISNUMBER(O280),O280,0))</f>
        <v>0</v>
      </c>
      <c r="Q279" s="193">
        <f t="shared" ref="Q279" ca="1" si="1553">IF($B281,0,Q280-IF(ISNUMBER(P280),P280,0))</f>
        <v>0</v>
      </c>
      <c r="R279" s="193">
        <v>0.25</v>
      </c>
      <c r="S279" s="193">
        <v>0.25</v>
      </c>
      <c r="T279" s="193">
        <v>0.25</v>
      </c>
      <c r="U279" s="194">
        <v>0.25</v>
      </c>
      <c r="V279" s="193">
        <f t="shared" ref="V279" ca="1" si="1554">IF($B281,0,V280-IF(ISNUMBER(U280),U280,0))</f>
        <v>0</v>
      </c>
      <c r="W279" s="194">
        <f t="shared" ref="W279" ca="1" si="1555">IF($B281,0,W280-IF(ISNUMBER(V280),V280,0))</f>
        <v>0</v>
      </c>
      <c r="X279" s="163"/>
      <c r="AC279" s="188">
        <f t="shared" ref="AC279" ca="1" si="1556">IF($B281,0,AC280-IF(ISNUMBER(AB280),AB280,0))</f>
        <v>0</v>
      </c>
    </row>
    <row r="280" spans="1:29" customFormat="1" ht="13.8" x14ac:dyDescent="0.25">
      <c r="A280" s="11"/>
      <c r="B280" s="11"/>
      <c r="C280" s="11"/>
      <c r="D280" s="11"/>
      <c r="E280" s="11"/>
      <c r="F280" s="11"/>
      <c r="G280" s="11"/>
      <c r="H280" s="11"/>
      <c r="I280" s="11"/>
      <c r="J280" s="11"/>
      <c r="K280" s="11"/>
      <c r="L280" s="344"/>
      <c r="M280" s="338"/>
      <c r="N280" s="336"/>
      <c r="O280" s="145" t="s">
        <v>145</v>
      </c>
      <c r="P280" s="165">
        <f t="shared" ref="P280" ca="1" si="1557">MIN(IF($B281,P279+IF(ISNUMBER(O280),O280,0),P281/$N279),1)</f>
        <v>0</v>
      </c>
      <c r="Q280" s="143">
        <f t="shared" ref="Q280" ca="1" si="1558">MIN(IF($B281,Q279+IF(ISNUMBER(P280),P280,0),Q281/$N279),1)</f>
        <v>0</v>
      </c>
      <c r="R280" s="143">
        <f t="shared" ref="R280" ca="1" si="1559">MIN(IF($B281,R279+IF(ISNUMBER(Q280),Q280,0),R281/$N279),1)</f>
        <v>0.25</v>
      </c>
      <c r="S280" s="143">
        <f t="shared" ref="S280" ca="1" si="1560">MIN(IF($B281,S279+IF(ISNUMBER(R280),R280,0),S281/$N279),1)</f>
        <v>0.5</v>
      </c>
      <c r="T280" s="143">
        <f t="shared" ref="T280" ca="1" si="1561">MIN(IF($B281,T279+IF(ISNUMBER(S280),S280,0),T281/$N279),1)</f>
        <v>0.75</v>
      </c>
      <c r="U280" s="143">
        <f t="shared" ref="U280" ca="1" si="1562">MIN(IF($B281,U279+IF(ISNUMBER(T280),T280,0),U281/$N279),1)</f>
        <v>1</v>
      </c>
      <c r="V280" s="143">
        <f t="shared" ref="V280" ca="1" si="1563">MIN(IF($B281,V279+IF(ISNUMBER(U280),U280,0),V281/$N279),1)</f>
        <v>1</v>
      </c>
      <c r="W280" s="143">
        <f t="shared" ref="W280" ca="1" si="1564">MIN(IF($B281,W279+IF(ISNUMBER(V280),V280,0),W281/$N279),1)</f>
        <v>1</v>
      </c>
      <c r="X280" s="163"/>
      <c r="AC280" s="143">
        <f t="shared" ref="AC280" ca="1" si="1565">MIN(IF($B281,AC279+IF(ISNUMBER(AB280),AB280,0),AC281/$N279),1)</f>
        <v>0</v>
      </c>
    </row>
    <row r="281" spans="1:29" customFormat="1" ht="13.8" x14ac:dyDescent="0.25">
      <c r="A281" s="11">
        <f ca="1">OFFSET(A281,-CFF.NumLinha,0)+1</f>
        <v>88</v>
      </c>
      <c r="B281" s="11" t="b">
        <f ca="1">$C281&gt;=OFFSET($C281,CFF.NumLinha,0)</f>
        <v>1</v>
      </c>
      <c r="C281" s="11">
        <f ca="1">INDEX(PO!A$12:A$603,MATCH($A281,PO!$V$12:$V$603,0))</f>
        <v>2</v>
      </c>
      <c r="D281" s="11">
        <f t="shared" ref="D281:D302" ca="1" si="1566">IF(ISERROR(J281),I281,SMALL(I281:J281,1))-1</f>
        <v>2</v>
      </c>
      <c r="E281" s="11">
        <f ca="1">IF($C281=1,OFFSET(E281,-CFF.NumLinha,0)+1,OFFSET(E281,-CFF.NumLinha,0))</f>
        <v>24</v>
      </c>
      <c r="F281" s="11">
        <f ca="1">IF($C281=1,0,IF($C281=2,OFFSET(F281,-CFF.NumLinha,0)+1,OFFSET(F281,-CFF.NumLinha,0)))</f>
        <v>6</v>
      </c>
      <c r="G281" s="11">
        <f ca="1">IF(AND($C281&lt;=2,$C281&lt;&gt;0),0,IF($C281=3,OFFSET(G281,-CFF.NumLinha,0)+1,OFFSET(G281,-CFF.NumLinha,0)))</f>
        <v>0</v>
      </c>
      <c r="H281" s="11">
        <f ca="1">IF(AND($C281&lt;=3,$C281&lt;&gt;0),0,IF($C281=4,OFFSET(H281,-CFF.NumLinha,0)+1,OFFSET(H281,-CFF.NumLinha,0)))</f>
        <v>0</v>
      </c>
      <c r="I281" s="11">
        <f t="shared" ref="I281:I302" ca="1" si="1567">MATCH(0,OFFSET($D281,1,$C281,ROW($A$303)-ROW($A281)),0)</f>
        <v>21</v>
      </c>
      <c r="J281" s="11">
        <f t="shared" ref="J281:J302" ca="1" si="1568">MATCH(OFFSET($D281,0,$C281)+1,OFFSET($D281,1,$C281,ROW($A$303)-ROW($A281)),0)</f>
        <v>3</v>
      </c>
      <c r="K281" s="156">
        <f ca="1">ROUND(INDEX(PO!T$12:T$603,MATCH($A281,PO!$V$12:$V$603,0)),2)+10^-12</f>
        <v>9.9999999999999998E-13</v>
      </c>
      <c r="L281" s="344"/>
      <c r="M281" s="338"/>
      <c r="N281" s="336"/>
      <c r="O281" s="171" t="s">
        <v>20</v>
      </c>
      <c r="P281" s="166">
        <f t="shared" ref="P281:W281" ca="1" si="1569">IF($B281,ROUND(P280*$N279,2),ROUND(SUMIF(OFFSET($B281,1,0,$D281),TRUE,OFFSET(P281,1,0,$D281))/SUMIF(OFFSET($B281,1,0,$D281),TRUE,OFFSET($K281,1,0,$D281))*$N279,2))</f>
        <v>0</v>
      </c>
      <c r="Q281" s="144">
        <f t="shared" ca="1" si="1569"/>
        <v>0</v>
      </c>
      <c r="R281" s="144">
        <f t="shared" ca="1" si="1569"/>
        <v>0</v>
      </c>
      <c r="S281" s="144">
        <f t="shared" ca="1" si="1569"/>
        <v>0</v>
      </c>
      <c r="T281" s="144">
        <f t="shared" ca="1" si="1569"/>
        <v>0</v>
      </c>
      <c r="U281" s="144">
        <f t="shared" ca="1" si="1569"/>
        <v>0</v>
      </c>
      <c r="V281" s="144">
        <f t="shared" ca="1" si="1569"/>
        <v>0</v>
      </c>
      <c r="W281" s="174">
        <f t="shared" ca="1" si="1569"/>
        <v>0</v>
      </c>
      <c r="X281" s="163"/>
      <c r="AC281" s="144">
        <f t="shared" ref="AC281" ca="1" si="1570">IF($B281,ROUND(AC280*$N279,2),ROUND(SUMIF(OFFSET($B281,1,0,$D281),TRUE,OFFSET(AC281,1,0,$D281))/SUMIF(OFFSET($B281,1,0,$D281),TRUE,OFFSET($K281,1,0,$D281))*$N279,2))</f>
        <v>0</v>
      </c>
    </row>
    <row r="282" spans="1:29" customFormat="1" ht="14.25" customHeight="1" x14ac:dyDescent="0.25">
      <c r="A282" s="1"/>
      <c r="B282" s="1"/>
      <c r="C282" s="1"/>
      <c r="D282" s="1"/>
      <c r="E282" s="1"/>
      <c r="F282" s="1"/>
      <c r="G282" s="1"/>
      <c r="H282" s="1"/>
      <c r="I282" s="1"/>
      <c r="J282" s="1"/>
      <c r="K282" s="1"/>
      <c r="L282" s="343" t="str">
        <f ca="1">INDEX(PO!K$12:K$603,MATCH($A284,PO!$V$12:$V$603,0))</f>
        <v>24.7.</v>
      </c>
      <c r="M282" s="337" t="str">
        <f ca="1">INDEX(PO!N$12:N$603,MATCH($A284,PO!$V$12:$V$603,0))</f>
        <v>ESQUADRIAS</v>
      </c>
      <c r="N282" s="335">
        <f t="shared" ref="N282" ca="1" si="1571">IF(ROUND(K284,2)=0,K284,ROUND(K284,2))</f>
        <v>9.9999999999999998E-13</v>
      </c>
      <c r="O282" s="187" t="s">
        <v>143</v>
      </c>
      <c r="P282" s="192">
        <f t="shared" ref="P282" ca="1" si="1572">IF($B284,0,P283-IF(ISNUMBER(O283),O283,0))</f>
        <v>0</v>
      </c>
      <c r="Q282" s="193">
        <f t="shared" ref="Q282" ca="1" si="1573">IF($B284,0,Q283-IF(ISNUMBER(P283),P283,0))</f>
        <v>0</v>
      </c>
      <c r="R282" s="193">
        <f t="shared" ref="R282" ca="1" si="1574">IF($B284,0,R283-IF(ISNUMBER(Q283),Q283,0))</f>
        <v>0</v>
      </c>
      <c r="S282" s="193">
        <f t="shared" ref="S282" ca="1" si="1575">IF($B284,0,S283-IF(ISNUMBER(R283),R283,0))</f>
        <v>0</v>
      </c>
      <c r="T282" s="193">
        <v>0.25</v>
      </c>
      <c r="U282" s="193">
        <v>0.25</v>
      </c>
      <c r="V282" s="193">
        <v>0.25</v>
      </c>
      <c r="W282" s="194">
        <v>0.25</v>
      </c>
      <c r="X282" s="163"/>
      <c r="AC282" s="188">
        <f t="shared" ref="AC282" ca="1" si="1576">IF($B284,0,AC283-IF(ISNUMBER(AB283),AB283,0))</f>
        <v>0</v>
      </c>
    </row>
    <row r="283" spans="1:29" customFormat="1" ht="13.8" x14ac:dyDescent="0.25">
      <c r="A283" s="11"/>
      <c r="B283" s="11"/>
      <c r="C283" s="11"/>
      <c r="D283" s="11"/>
      <c r="E283" s="11"/>
      <c r="F283" s="11"/>
      <c r="G283" s="11"/>
      <c r="H283" s="11"/>
      <c r="I283" s="11"/>
      <c r="J283" s="11"/>
      <c r="K283" s="11"/>
      <c r="L283" s="344"/>
      <c r="M283" s="338"/>
      <c r="N283" s="336"/>
      <c r="O283" s="145" t="s">
        <v>145</v>
      </c>
      <c r="P283" s="165">
        <f t="shared" ref="P283" ca="1" si="1577">MIN(IF($B284,P282+IF(ISNUMBER(O283),O283,0),P284/$N282),1)</f>
        <v>0</v>
      </c>
      <c r="Q283" s="143">
        <f t="shared" ref="Q283" ca="1" si="1578">MIN(IF($B284,Q282+IF(ISNUMBER(P283),P283,0),Q284/$N282),1)</f>
        <v>0</v>
      </c>
      <c r="R283" s="143">
        <f t="shared" ref="R283" ca="1" si="1579">MIN(IF($B284,R282+IF(ISNUMBER(Q283),Q283,0),R284/$N282),1)</f>
        <v>0</v>
      </c>
      <c r="S283" s="143">
        <f t="shared" ref="S283" ca="1" si="1580">MIN(IF($B284,S282+IF(ISNUMBER(R283),R283,0),S284/$N282),1)</f>
        <v>0</v>
      </c>
      <c r="T283" s="143">
        <f t="shared" ref="T283" ca="1" si="1581">MIN(IF($B284,T282+IF(ISNUMBER(S283),S283,0),T284/$N282),1)</f>
        <v>0.25</v>
      </c>
      <c r="U283" s="143">
        <f t="shared" ref="U283" ca="1" si="1582">MIN(IF($B284,U282+IF(ISNUMBER(T283),T283,0),U284/$N282),1)</f>
        <v>0.5</v>
      </c>
      <c r="V283" s="143">
        <f t="shared" ref="V283" ca="1" si="1583">MIN(IF($B284,V282+IF(ISNUMBER(U283),U283,0),V284/$N282),1)</f>
        <v>0.75</v>
      </c>
      <c r="W283" s="143">
        <f t="shared" ref="W283" ca="1" si="1584">MIN(IF($B284,W282+IF(ISNUMBER(V283),V283,0),W284/$N282),1)</f>
        <v>1</v>
      </c>
      <c r="X283" s="163"/>
      <c r="AC283" s="143">
        <f t="shared" ref="AC283" ca="1" si="1585">MIN(IF($B284,AC282+IF(ISNUMBER(AB283),AB283,0),AC284/$N282),1)</f>
        <v>0</v>
      </c>
    </row>
    <row r="284" spans="1:29" customFormat="1" ht="13.8" x14ac:dyDescent="0.25">
      <c r="A284" s="11">
        <f ca="1">OFFSET(A284,-CFF.NumLinha,0)+1</f>
        <v>89</v>
      </c>
      <c r="B284" s="11" t="b">
        <f ca="1">$C284&gt;=OFFSET($C284,CFF.NumLinha,0)</f>
        <v>1</v>
      </c>
      <c r="C284" s="11">
        <f ca="1">INDEX(PO!A$12:A$603,MATCH($A284,PO!$V$12:$V$603,0))</f>
        <v>2</v>
      </c>
      <c r="D284" s="11">
        <f t="shared" ref="D284:D302" ca="1" si="1586">IF(ISERROR(J284),I284,SMALL(I284:J284,1))-1</f>
        <v>2</v>
      </c>
      <c r="E284" s="11">
        <f ca="1">IF($C284=1,OFFSET(E284,-CFF.NumLinha,0)+1,OFFSET(E284,-CFF.NumLinha,0))</f>
        <v>24</v>
      </c>
      <c r="F284" s="11">
        <f ca="1">IF($C284=1,0,IF($C284=2,OFFSET(F284,-CFF.NumLinha,0)+1,OFFSET(F284,-CFF.NumLinha,0)))</f>
        <v>7</v>
      </c>
      <c r="G284" s="11">
        <f ca="1">IF(AND($C284&lt;=2,$C284&lt;&gt;0),0,IF($C284=3,OFFSET(G284,-CFF.NumLinha,0)+1,OFFSET(G284,-CFF.NumLinha,0)))</f>
        <v>0</v>
      </c>
      <c r="H284" s="11">
        <f ca="1">IF(AND($C284&lt;=3,$C284&lt;&gt;0),0,IF($C284=4,OFFSET(H284,-CFF.NumLinha,0)+1,OFFSET(H284,-CFF.NumLinha,0)))</f>
        <v>0</v>
      </c>
      <c r="I284" s="11">
        <f t="shared" ref="I284:I302" ca="1" si="1587">MATCH(0,OFFSET($D284,1,$C284,ROW($A$303)-ROW($A284)),0)</f>
        <v>18</v>
      </c>
      <c r="J284" s="11">
        <f t="shared" ref="J284:J302" ca="1" si="1588">MATCH(OFFSET($D284,0,$C284)+1,OFFSET($D284,1,$C284,ROW($A$303)-ROW($A284)),0)</f>
        <v>3</v>
      </c>
      <c r="K284" s="156">
        <f ca="1">ROUND(INDEX(PO!T$12:T$603,MATCH($A284,PO!$V$12:$V$603,0)),2)+10^-12</f>
        <v>9.9999999999999998E-13</v>
      </c>
      <c r="L284" s="344"/>
      <c r="M284" s="338"/>
      <c r="N284" s="336"/>
      <c r="O284" s="171" t="s">
        <v>20</v>
      </c>
      <c r="P284" s="166">
        <f t="shared" ref="P284:W284" ca="1" si="1589">IF($B284,ROUND(P283*$N282,2),ROUND(SUMIF(OFFSET($B284,1,0,$D284),TRUE,OFFSET(P284,1,0,$D284))/SUMIF(OFFSET($B284,1,0,$D284),TRUE,OFFSET($K284,1,0,$D284))*$N282,2))</f>
        <v>0</v>
      </c>
      <c r="Q284" s="144">
        <f t="shared" ca="1" si="1589"/>
        <v>0</v>
      </c>
      <c r="R284" s="144">
        <f t="shared" ca="1" si="1589"/>
        <v>0</v>
      </c>
      <c r="S284" s="144">
        <f t="shared" ca="1" si="1589"/>
        <v>0</v>
      </c>
      <c r="T284" s="144">
        <f t="shared" ca="1" si="1589"/>
        <v>0</v>
      </c>
      <c r="U284" s="144">
        <f t="shared" ca="1" si="1589"/>
        <v>0</v>
      </c>
      <c r="V284" s="144">
        <f t="shared" ca="1" si="1589"/>
        <v>0</v>
      </c>
      <c r="W284" s="174">
        <f t="shared" ca="1" si="1589"/>
        <v>0</v>
      </c>
      <c r="X284" s="163"/>
      <c r="AC284" s="144">
        <f t="shared" ref="AC284" ca="1" si="1590">IF($B284,ROUND(AC283*$N282,2),ROUND(SUMIF(OFFSET($B284,1,0,$D284),TRUE,OFFSET(AC284,1,0,$D284))/SUMIF(OFFSET($B284,1,0,$D284),TRUE,OFFSET($K284,1,0,$D284))*$N282,2))</f>
        <v>0</v>
      </c>
    </row>
    <row r="285" spans="1:29" customFormat="1" ht="14.25" customHeight="1" x14ac:dyDescent="0.25">
      <c r="A285" s="1"/>
      <c r="B285" s="1"/>
      <c r="C285" s="1"/>
      <c r="D285" s="1"/>
      <c r="E285" s="1"/>
      <c r="F285" s="1"/>
      <c r="G285" s="1"/>
      <c r="H285" s="1"/>
      <c r="I285" s="1"/>
      <c r="J285" s="1"/>
      <c r="K285" s="1"/>
      <c r="L285" s="343" t="str">
        <f ca="1">INDEX(PO!K$12:K$603,MATCH($A287,PO!$V$12:$V$603,0))</f>
        <v>24.8.</v>
      </c>
      <c r="M285" s="337" t="str">
        <f ca="1">INDEX(PO!N$12:N$603,MATCH($A287,PO!$V$12:$V$603,0))</f>
        <v>ACESSÓRIOS</v>
      </c>
      <c r="N285" s="335">
        <f t="shared" ref="N285" ca="1" si="1591">IF(ROUND(K287,2)=0,K287,ROUND(K287,2))</f>
        <v>9.9999999999999998E-13</v>
      </c>
      <c r="O285" s="187" t="s">
        <v>143</v>
      </c>
      <c r="P285" s="192">
        <f t="shared" ref="P285" ca="1" si="1592">IF($B287,0,P286-IF(ISNUMBER(O286),O286,0))</f>
        <v>0</v>
      </c>
      <c r="Q285" s="193">
        <f t="shared" ref="Q285" ca="1" si="1593">IF($B287,0,Q286-IF(ISNUMBER(P286),P286,0))</f>
        <v>0</v>
      </c>
      <c r="R285" s="193">
        <f t="shared" ref="R285" ca="1" si="1594">IF($B287,0,R286-IF(ISNUMBER(Q286),Q286,0))</f>
        <v>0</v>
      </c>
      <c r="S285" s="193">
        <f t="shared" ref="S285" ca="1" si="1595">IF($B287,0,S286-IF(ISNUMBER(R286),R286,0))</f>
        <v>0</v>
      </c>
      <c r="T285" s="193">
        <v>0.25</v>
      </c>
      <c r="U285" s="193">
        <v>0.25</v>
      </c>
      <c r="V285" s="193">
        <v>0.25</v>
      </c>
      <c r="W285" s="194">
        <v>0.25</v>
      </c>
      <c r="X285" s="163"/>
      <c r="AC285" s="188">
        <f t="shared" ref="AC285" ca="1" si="1596">IF($B287,0,AC286-IF(ISNUMBER(AB286),AB286,0))</f>
        <v>0</v>
      </c>
    </row>
    <row r="286" spans="1:29" customFormat="1" ht="13.8" x14ac:dyDescent="0.25">
      <c r="A286" s="11"/>
      <c r="B286" s="11"/>
      <c r="C286" s="11"/>
      <c r="D286" s="11"/>
      <c r="E286" s="11"/>
      <c r="F286" s="11"/>
      <c r="G286" s="11"/>
      <c r="H286" s="11"/>
      <c r="I286" s="11"/>
      <c r="J286" s="11"/>
      <c r="K286" s="11"/>
      <c r="L286" s="344"/>
      <c r="M286" s="338"/>
      <c r="N286" s="336"/>
      <c r="O286" s="145" t="s">
        <v>145</v>
      </c>
      <c r="P286" s="165">
        <f t="shared" ref="P286" ca="1" si="1597">MIN(IF($B287,P285+IF(ISNUMBER(O286),O286,0),P287/$N285),1)</f>
        <v>0</v>
      </c>
      <c r="Q286" s="143">
        <f t="shared" ref="Q286" ca="1" si="1598">MIN(IF($B287,Q285+IF(ISNUMBER(P286),P286,0),Q287/$N285),1)</f>
        <v>0</v>
      </c>
      <c r="R286" s="143">
        <f t="shared" ref="R286" ca="1" si="1599">MIN(IF($B287,R285+IF(ISNUMBER(Q286),Q286,0),R287/$N285),1)</f>
        <v>0</v>
      </c>
      <c r="S286" s="143">
        <f t="shared" ref="S286" ca="1" si="1600">MIN(IF($B287,S285+IF(ISNUMBER(R286),R286,0),S287/$N285),1)</f>
        <v>0</v>
      </c>
      <c r="T286" s="143">
        <f t="shared" ref="T286" ca="1" si="1601">MIN(IF($B287,T285+IF(ISNUMBER(S286),S286,0),T287/$N285),1)</f>
        <v>0.25</v>
      </c>
      <c r="U286" s="143">
        <f t="shared" ref="U286" ca="1" si="1602">MIN(IF($B287,U285+IF(ISNUMBER(T286),T286,0),U287/$N285),1)</f>
        <v>0.5</v>
      </c>
      <c r="V286" s="143">
        <f t="shared" ref="V286" ca="1" si="1603">MIN(IF($B287,V285+IF(ISNUMBER(U286),U286,0),V287/$N285),1)</f>
        <v>0.75</v>
      </c>
      <c r="W286" s="143">
        <f t="shared" ref="W286" ca="1" si="1604">MIN(IF($B287,W285+IF(ISNUMBER(V286),V286,0),W287/$N285),1)</f>
        <v>1</v>
      </c>
      <c r="X286" s="163"/>
      <c r="AC286" s="143">
        <f t="shared" ref="AC286" ca="1" si="1605">MIN(IF($B287,AC285+IF(ISNUMBER(AB286),AB286,0),AC287/$N285),1)</f>
        <v>0</v>
      </c>
    </row>
    <row r="287" spans="1:29" customFormat="1" ht="13.8" x14ac:dyDescent="0.25">
      <c r="A287" s="11">
        <f ca="1">OFFSET(A287,-CFF.NumLinha,0)+1</f>
        <v>90</v>
      </c>
      <c r="B287" s="11" t="b">
        <f ca="1">$C287&gt;=OFFSET($C287,CFF.NumLinha,0)</f>
        <v>1</v>
      </c>
      <c r="C287" s="11">
        <f ca="1">INDEX(PO!A$12:A$603,MATCH($A287,PO!$V$12:$V$603,0))</f>
        <v>2</v>
      </c>
      <c r="D287" s="11">
        <f t="shared" ref="D287:D302" ca="1" si="1606">IF(ISERROR(J287),I287,SMALL(I287:J287,1))-1</f>
        <v>2</v>
      </c>
      <c r="E287" s="11">
        <f ca="1">IF($C287=1,OFFSET(E287,-CFF.NumLinha,0)+1,OFFSET(E287,-CFF.NumLinha,0))</f>
        <v>24</v>
      </c>
      <c r="F287" s="11">
        <f ca="1">IF($C287=1,0,IF($C287=2,OFFSET(F287,-CFF.NumLinha,0)+1,OFFSET(F287,-CFF.NumLinha,0)))</f>
        <v>8</v>
      </c>
      <c r="G287" s="11">
        <f ca="1">IF(AND($C287&lt;=2,$C287&lt;&gt;0),0,IF($C287=3,OFFSET(G287,-CFF.NumLinha,0)+1,OFFSET(G287,-CFF.NumLinha,0)))</f>
        <v>0</v>
      </c>
      <c r="H287" s="11">
        <f ca="1">IF(AND($C287&lt;=3,$C287&lt;&gt;0),0,IF($C287=4,OFFSET(H287,-CFF.NumLinha,0)+1,OFFSET(H287,-CFF.NumLinha,0)))</f>
        <v>0</v>
      </c>
      <c r="I287" s="11">
        <f t="shared" ref="I287:I302" ca="1" si="1607">MATCH(0,OFFSET($D287,1,$C287,ROW($A$303)-ROW($A287)),0)</f>
        <v>15</v>
      </c>
      <c r="J287" s="11">
        <f t="shared" ref="J287:J302" ca="1" si="1608">MATCH(OFFSET($D287,0,$C287)+1,OFFSET($D287,1,$C287,ROW($A$303)-ROW($A287)),0)</f>
        <v>3</v>
      </c>
      <c r="K287" s="156">
        <f ca="1">ROUND(INDEX(PO!T$12:T$603,MATCH($A287,PO!$V$12:$V$603,0)),2)+10^-12</f>
        <v>9.9999999999999998E-13</v>
      </c>
      <c r="L287" s="344"/>
      <c r="M287" s="338"/>
      <c r="N287" s="336"/>
      <c r="O287" s="171" t="s">
        <v>20</v>
      </c>
      <c r="P287" s="166">
        <f t="shared" ref="P287:W287" ca="1" si="1609">IF($B287,ROUND(P286*$N285,2),ROUND(SUMIF(OFFSET($B287,1,0,$D287),TRUE,OFFSET(P287,1,0,$D287))/SUMIF(OFFSET($B287,1,0,$D287),TRUE,OFFSET($K287,1,0,$D287))*$N285,2))</f>
        <v>0</v>
      </c>
      <c r="Q287" s="144">
        <f t="shared" ca="1" si="1609"/>
        <v>0</v>
      </c>
      <c r="R287" s="144">
        <f t="shared" ca="1" si="1609"/>
        <v>0</v>
      </c>
      <c r="S287" s="144">
        <f t="shared" ca="1" si="1609"/>
        <v>0</v>
      </c>
      <c r="T287" s="144">
        <f t="shared" ca="1" si="1609"/>
        <v>0</v>
      </c>
      <c r="U287" s="144">
        <f t="shared" ca="1" si="1609"/>
        <v>0</v>
      </c>
      <c r="V287" s="144">
        <f t="shared" ca="1" si="1609"/>
        <v>0</v>
      </c>
      <c r="W287" s="174">
        <f t="shared" ca="1" si="1609"/>
        <v>0</v>
      </c>
      <c r="X287" s="163"/>
      <c r="AC287" s="144">
        <f t="shared" ref="AC287" ca="1" si="1610">IF($B287,ROUND(AC286*$N285,2),ROUND(SUMIF(OFFSET($B287,1,0,$D287),TRUE,OFFSET(AC287,1,0,$D287))/SUMIF(OFFSET($B287,1,0,$D287),TRUE,OFFSET($K287,1,0,$D287))*$N285,2))</f>
        <v>0</v>
      </c>
    </row>
    <row r="288" spans="1:29" customFormat="1" ht="14.25" customHeight="1" x14ac:dyDescent="0.25">
      <c r="A288" s="1"/>
      <c r="B288" s="1"/>
      <c r="C288" s="1"/>
      <c r="D288" s="1"/>
      <c r="E288" s="1"/>
      <c r="F288" s="1"/>
      <c r="G288" s="1"/>
      <c r="H288" s="1"/>
      <c r="I288" s="1"/>
      <c r="J288" s="1"/>
      <c r="K288" s="1"/>
      <c r="L288" s="343" t="str">
        <f ca="1">INDEX(PO!K$12:K$603,MATCH($A290,PO!$V$12:$V$603,0))</f>
        <v>24.9.</v>
      </c>
      <c r="M288" s="337" t="str">
        <f ca="1">INDEX(PO!N$12:N$603,MATCH($A290,PO!$V$12:$V$603,0))</f>
        <v>REVESTIMENTO INTERNO E EXTERNO</v>
      </c>
      <c r="N288" s="335">
        <f t="shared" ref="N288" ca="1" si="1611">IF(ROUND(K290,2)=0,K290,ROUND(K290,2))</f>
        <v>9.9999999999999998E-13</v>
      </c>
      <c r="O288" s="187" t="s">
        <v>143</v>
      </c>
      <c r="P288" s="192">
        <f t="shared" ref="P288" ca="1" si="1612">IF($B290,0,P289-IF(ISNUMBER(O289),O289,0))</f>
        <v>0</v>
      </c>
      <c r="Q288" s="193">
        <f t="shared" ref="Q288" ca="1" si="1613">IF($B290,0,Q289-IF(ISNUMBER(P289),P289,0))</f>
        <v>0</v>
      </c>
      <c r="R288" s="193">
        <f t="shared" ref="R288" ca="1" si="1614">IF($B290,0,R289-IF(ISNUMBER(Q289),Q289,0))</f>
        <v>0</v>
      </c>
      <c r="S288" s="193">
        <f t="shared" ref="S288" ca="1" si="1615">IF($B290,0,S289-IF(ISNUMBER(R289),R289,0))</f>
        <v>0</v>
      </c>
      <c r="T288" s="193">
        <v>0.25</v>
      </c>
      <c r="U288" s="193">
        <v>0.25</v>
      </c>
      <c r="V288" s="193">
        <v>0.25</v>
      </c>
      <c r="W288" s="194">
        <v>0.25</v>
      </c>
      <c r="X288" s="163"/>
      <c r="AC288" s="188">
        <f t="shared" ref="AC288" ca="1" si="1616">IF($B290,0,AC289-IF(ISNUMBER(AB289),AB289,0))</f>
        <v>0</v>
      </c>
    </row>
    <row r="289" spans="1:29" customFormat="1" ht="13.8" x14ac:dyDescent="0.25">
      <c r="A289" s="11"/>
      <c r="B289" s="11"/>
      <c r="C289" s="11"/>
      <c r="D289" s="11"/>
      <c r="E289" s="11"/>
      <c r="F289" s="11"/>
      <c r="G289" s="11"/>
      <c r="H289" s="11"/>
      <c r="I289" s="11"/>
      <c r="J289" s="11"/>
      <c r="K289" s="11"/>
      <c r="L289" s="344"/>
      <c r="M289" s="338"/>
      <c r="N289" s="336"/>
      <c r="O289" s="145" t="s">
        <v>145</v>
      </c>
      <c r="P289" s="165">
        <f t="shared" ref="P289" ca="1" si="1617">MIN(IF($B290,P288+IF(ISNUMBER(O289),O289,0),P290/$N288),1)</f>
        <v>0</v>
      </c>
      <c r="Q289" s="143">
        <f t="shared" ref="Q289" ca="1" si="1618">MIN(IF($B290,Q288+IF(ISNUMBER(P289),P289,0),Q290/$N288),1)</f>
        <v>0</v>
      </c>
      <c r="R289" s="143">
        <f t="shared" ref="R289" ca="1" si="1619">MIN(IF($B290,R288+IF(ISNUMBER(Q289),Q289,0),R290/$N288),1)</f>
        <v>0</v>
      </c>
      <c r="S289" s="143">
        <f t="shared" ref="S289" ca="1" si="1620">MIN(IF($B290,S288+IF(ISNUMBER(R289),R289,0),S290/$N288),1)</f>
        <v>0</v>
      </c>
      <c r="T289" s="143">
        <f t="shared" ref="T289" ca="1" si="1621">MIN(IF($B290,T288+IF(ISNUMBER(S289),S289,0),T290/$N288),1)</f>
        <v>0.25</v>
      </c>
      <c r="U289" s="143">
        <f t="shared" ref="U289" ca="1" si="1622">MIN(IF($B290,U288+IF(ISNUMBER(T289),T289,0),U290/$N288),1)</f>
        <v>0.5</v>
      </c>
      <c r="V289" s="143">
        <f t="shared" ref="V289" ca="1" si="1623">MIN(IF($B290,V288+IF(ISNUMBER(U289),U289,0),V290/$N288),1)</f>
        <v>0.75</v>
      </c>
      <c r="W289" s="143">
        <f t="shared" ref="W289" ca="1" si="1624">MIN(IF($B290,W288+IF(ISNUMBER(V289),V289,0),W290/$N288),1)</f>
        <v>1</v>
      </c>
      <c r="X289" s="163"/>
      <c r="AC289" s="143">
        <f t="shared" ref="AC289" ca="1" si="1625">MIN(IF($B290,AC288+IF(ISNUMBER(AB289),AB289,0),AC290/$N288),1)</f>
        <v>0</v>
      </c>
    </row>
    <row r="290" spans="1:29" customFormat="1" ht="13.8" x14ac:dyDescent="0.25">
      <c r="A290" s="11">
        <f ca="1">OFFSET(A290,-CFF.NumLinha,0)+1</f>
        <v>91</v>
      </c>
      <c r="B290" s="11" t="b">
        <f ca="1">$C290&gt;=OFFSET($C290,CFF.NumLinha,0)</f>
        <v>1</v>
      </c>
      <c r="C290" s="11">
        <f ca="1">INDEX(PO!A$12:A$603,MATCH($A290,PO!$V$12:$V$603,0))</f>
        <v>2</v>
      </c>
      <c r="D290" s="11">
        <f t="shared" ref="D290:D302" ca="1" si="1626">IF(ISERROR(J290),I290,SMALL(I290:J290,1))-1</f>
        <v>2</v>
      </c>
      <c r="E290" s="11">
        <f ca="1">IF($C290=1,OFFSET(E290,-CFF.NumLinha,0)+1,OFFSET(E290,-CFF.NumLinha,0))</f>
        <v>24</v>
      </c>
      <c r="F290" s="11">
        <f ca="1">IF($C290=1,0,IF($C290=2,OFFSET(F290,-CFF.NumLinha,0)+1,OFFSET(F290,-CFF.NumLinha,0)))</f>
        <v>9</v>
      </c>
      <c r="G290" s="11">
        <f ca="1">IF(AND($C290&lt;=2,$C290&lt;&gt;0),0,IF($C290=3,OFFSET(G290,-CFF.NumLinha,0)+1,OFFSET(G290,-CFF.NumLinha,0)))</f>
        <v>0</v>
      </c>
      <c r="H290" s="11">
        <f ca="1">IF(AND($C290&lt;=3,$C290&lt;&gt;0),0,IF($C290=4,OFFSET(H290,-CFF.NumLinha,0)+1,OFFSET(H290,-CFF.NumLinha,0)))</f>
        <v>0</v>
      </c>
      <c r="I290" s="11">
        <f t="shared" ref="I290:I302" ca="1" si="1627">MATCH(0,OFFSET($D290,1,$C290,ROW($A$303)-ROW($A290)),0)</f>
        <v>12</v>
      </c>
      <c r="J290" s="11">
        <f t="shared" ref="J290:J302" ca="1" si="1628">MATCH(OFFSET($D290,0,$C290)+1,OFFSET($D290,1,$C290,ROW($A$303)-ROW($A290)),0)</f>
        <v>3</v>
      </c>
      <c r="K290" s="156">
        <f ca="1">ROUND(INDEX(PO!T$12:T$603,MATCH($A290,PO!$V$12:$V$603,0)),2)+10^-12</f>
        <v>9.9999999999999998E-13</v>
      </c>
      <c r="L290" s="344"/>
      <c r="M290" s="338"/>
      <c r="N290" s="336"/>
      <c r="O290" s="171" t="s">
        <v>20</v>
      </c>
      <c r="P290" s="166">
        <f t="shared" ref="P290:W290" ca="1" si="1629">IF($B290,ROUND(P289*$N288,2),ROUND(SUMIF(OFFSET($B290,1,0,$D290),TRUE,OFFSET(P290,1,0,$D290))/SUMIF(OFFSET($B290,1,0,$D290),TRUE,OFFSET($K290,1,0,$D290))*$N288,2))</f>
        <v>0</v>
      </c>
      <c r="Q290" s="144">
        <f t="shared" ca="1" si="1629"/>
        <v>0</v>
      </c>
      <c r="R290" s="144">
        <f t="shared" ca="1" si="1629"/>
        <v>0</v>
      </c>
      <c r="S290" s="144">
        <f t="shared" ca="1" si="1629"/>
        <v>0</v>
      </c>
      <c r="T290" s="144">
        <f t="shared" ca="1" si="1629"/>
        <v>0</v>
      </c>
      <c r="U290" s="144">
        <f t="shared" ca="1" si="1629"/>
        <v>0</v>
      </c>
      <c r="V290" s="144">
        <f t="shared" ca="1" si="1629"/>
        <v>0</v>
      </c>
      <c r="W290" s="174">
        <f t="shared" ca="1" si="1629"/>
        <v>0</v>
      </c>
      <c r="X290" s="163"/>
      <c r="AC290" s="144">
        <f t="shared" ref="AC290" ca="1" si="1630">IF($B290,ROUND(AC289*$N288,2),ROUND(SUMIF(OFFSET($B290,1,0,$D290),TRUE,OFFSET(AC290,1,0,$D290))/SUMIF(OFFSET($B290,1,0,$D290),TRUE,OFFSET($K290,1,0,$D290))*$N288,2))</f>
        <v>0</v>
      </c>
    </row>
    <row r="291" spans="1:29" customFormat="1" ht="14.25" customHeight="1" x14ac:dyDescent="0.25">
      <c r="A291" s="1"/>
      <c r="B291" s="1"/>
      <c r="C291" s="1"/>
      <c r="D291" s="1"/>
      <c r="E291" s="1"/>
      <c r="F291" s="1"/>
      <c r="G291" s="1"/>
      <c r="H291" s="1"/>
      <c r="I291" s="1"/>
      <c r="J291" s="1"/>
      <c r="K291" s="1"/>
      <c r="L291" s="343" t="str">
        <f ca="1">INDEX(PO!K$12:K$603,MATCH($A293,PO!$V$12:$V$603,0))</f>
        <v>24.10.</v>
      </c>
      <c r="M291" s="337" t="str">
        <f ca="1">INDEX(PO!N$12:N$603,MATCH($A293,PO!$V$12:$V$603,0))</f>
        <v>SISTEMAS DE PISO</v>
      </c>
      <c r="N291" s="335">
        <f t="shared" ref="N291" ca="1" si="1631">IF(ROUND(K293,2)=0,K293,ROUND(K293,2))</f>
        <v>9.9999999999999998E-13</v>
      </c>
      <c r="O291" s="187" t="s">
        <v>143</v>
      </c>
      <c r="P291" s="192">
        <f t="shared" ref="P291" ca="1" si="1632">IF($B293,0,P292-IF(ISNUMBER(O292),O292,0))</f>
        <v>0</v>
      </c>
      <c r="Q291" s="193">
        <f t="shared" ref="Q291" ca="1" si="1633">IF($B293,0,Q292-IF(ISNUMBER(P292),P292,0))</f>
        <v>0</v>
      </c>
      <c r="R291" s="193">
        <f t="shared" ref="R291" ca="1" si="1634">IF($B293,0,R292-IF(ISNUMBER(Q292),Q292,0))</f>
        <v>0</v>
      </c>
      <c r="S291" s="193">
        <f t="shared" ref="S291" ca="1" si="1635">IF($B293,0,S292-IF(ISNUMBER(R292),R292,0))</f>
        <v>0</v>
      </c>
      <c r="T291" s="193">
        <v>0.25</v>
      </c>
      <c r="U291" s="193">
        <v>0.25</v>
      </c>
      <c r="V291" s="193">
        <v>0.25</v>
      </c>
      <c r="W291" s="194">
        <v>0.25</v>
      </c>
      <c r="X291" s="163"/>
      <c r="AC291" s="188">
        <f t="shared" ref="AC291" ca="1" si="1636">IF($B293,0,AC292-IF(ISNUMBER(AB292),AB292,0))</f>
        <v>0</v>
      </c>
    </row>
    <row r="292" spans="1:29" customFormat="1" ht="13.8" x14ac:dyDescent="0.25">
      <c r="A292" s="11"/>
      <c r="B292" s="11"/>
      <c r="C292" s="11"/>
      <c r="D292" s="11"/>
      <c r="E292" s="11"/>
      <c r="F292" s="11"/>
      <c r="G292" s="11"/>
      <c r="H292" s="11"/>
      <c r="I292" s="11"/>
      <c r="J292" s="11"/>
      <c r="K292" s="11"/>
      <c r="L292" s="344"/>
      <c r="M292" s="338"/>
      <c r="N292" s="336"/>
      <c r="O292" s="145" t="s">
        <v>145</v>
      </c>
      <c r="P292" s="165">
        <f t="shared" ref="P292" ca="1" si="1637">MIN(IF($B293,P291+IF(ISNUMBER(O292),O292,0),P293/$N291),1)</f>
        <v>0</v>
      </c>
      <c r="Q292" s="143">
        <f t="shared" ref="Q292" ca="1" si="1638">MIN(IF($B293,Q291+IF(ISNUMBER(P292),P292,0),Q293/$N291),1)</f>
        <v>0</v>
      </c>
      <c r="R292" s="143">
        <f t="shared" ref="R292" ca="1" si="1639">MIN(IF($B293,R291+IF(ISNUMBER(Q292),Q292,0),R293/$N291),1)</f>
        <v>0</v>
      </c>
      <c r="S292" s="143">
        <f t="shared" ref="S292" ca="1" si="1640">MIN(IF($B293,S291+IF(ISNUMBER(R292),R292,0),S293/$N291),1)</f>
        <v>0</v>
      </c>
      <c r="T292" s="143">
        <f t="shared" ref="T292" ca="1" si="1641">MIN(IF($B293,T291+IF(ISNUMBER(S292),S292,0),T293/$N291),1)</f>
        <v>0.25</v>
      </c>
      <c r="U292" s="143">
        <f t="shared" ref="U292" ca="1" si="1642">MIN(IF($B293,U291+IF(ISNUMBER(T292),T292,0),U293/$N291),1)</f>
        <v>0.5</v>
      </c>
      <c r="V292" s="143">
        <f t="shared" ref="V292" ca="1" si="1643">MIN(IF($B293,V291+IF(ISNUMBER(U292),U292,0),V293/$N291),1)</f>
        <v>0.75</v>
      </c>
      <c r="W292" s="143">
        <f t="shared" ref="W292" ca="1" si="1644">MIN(IF($B293,W291+IF(ISNUMBER(V292),V292,0),W293/$N291),1)</f>
        <v>1</v>
      </c>
      <c r="X292" s="163"/>
      <c r="AC292" s="143">
        <f t="shared" ref="AC292" ca="1" si="1645">MIN(IF($B293,AC291+IF(ISNUMBER(AB292),AB292,0),AC293/$N291),1)</f>
        <v>0</v>
      </c>
    </row>
    <row r="293" spans="1:29" customFormat="1" ht="13.8" x14ac:dyDescent="0.25">
      <c r="A293" s="11">
        <f ca="1">OFFSET(A293,-CFF.NumLinha,0)+1</f>
        <v>92</v>
      </c>
      <c r="B293" s="11" t="b">
        <f ca="1">$C293&gt;=OFFSET($C293,CFF.NumLinha,0)</f>
        <v>1</v>
      </c>
      <c r="C293" s="11">
        <f ca="1">INDEX(PO!A$12:A$603,MATCH($A293,PO!$V$12:$V$603,0))</f>
        <v>2</v>
      </c>
      <c r="D293" s="11">
        <f t="shared" ref="D293:D302" ca="1" si="1646">IF(ISERROR(J293),I293,SMALL(I293:J293,1))-1</f>
        <v>2</v>
      </c>
      <c r="E293" s="11">
        <f ca="1">IF($C293=1,OFFSET(E293,-CFF.NumLinha,0)+1,OFFSET(E293,-CFF.NumLinha,0))</f>
        <v>24</v>
      </c>
      <c r="F293" s="11">
        <f ca="1">IF($C293=1,0,IF($C293=2,OFFSET(F293,-CFF.NumLinha,0)+1,OFFSET(F293,-CFF.NumLinha,0)))</f>
        <v>10</v>
      </c>
      <c r="G293" s="11">
        <f ca="1">IF(AND($C293&lt;=2,$C293&lt;&gt;0),0,IF($C293=3,OFFSET(G293,-CFF.NumLinha,0)+1,OFFSET(G293,-CFF.NumLinha,0)))</f>
        <v>0</v>
      </c>
      <c r="H293" s="11">
        <f ca="1">IF(AND($C293&lt;=3,$C293&lt;&gt;0),0,IF($C293=4,OFFSET(H293,-CFF.NumLinha,0)+1,OFFSET(H293,-CFF.NumLinha,0)))</f>
        <v>0</v>
      </c>
      <c r="I293" s="11">
        <f t="shared" ref="I293:I302" ca="1" si="1647">MATCH(0,OFFSET($D293,1,$C293,ROW($A$303)-ROW($A293)),0)</f>
        <v>9</v>
      </c>
      <c r="J293" s="11">
        <f t="shared" ref="J293:J302" ca="1" si="1648">MATCH(OFFSET($D293,0,$C293)+1,OFFSET($D293,1,$C293,ROW($A$303)-ROW($A293)),0)</f>
        <v>3</v>
      </c>
      <c r="K293" s="156">
        <f ca="1">ROUND(INDEX(PO!T$12:T$603,MATCH($A293,PO!$V$12:$V$603,0)),2)+10^-12</f>
        <v>9.9999999999999998E-13</v>
      </c>
      <c r="L293" s="344"/>
      <c r="M293" s="338"/>
      <c r="N293" s="336"/>
      <c r="O293" s="171" t="s">
        <v>20</v>
      </c>
      <c r="P293" s="166">
        <f t="shared" ref="P293:W293" ca="1" si="1649">IF($B293,ROUND(P292*$N291,2),ROUND(SUMIF(OFFSET($B293,1,0,$D293),TRUE,OFFSET(P293,1,0,$D293))/SUMIF(OFFSET($B293,1,0,$D293),TRUE,OFFSET($K293,1,0,$D293))*$N291,2))</f>
        <v>0</v>
      </c>
      <c r="Q293" s="144">
        <f t="shared" ca="1" si="1649"/>
        <v>0</v>
      </c>
      <c r="R293" s="144">
        <f t="shared" ca="1" si="1649"/>
        <v>0</v>
      </c>
      <c r="S293" s="144">
        <f t="shared" ca="1" si="1649"/>
        <v>0</v>
      </c>
      <c r="T293" s="144">
        <f t="shared" ca="1" si="1649"/>
        <v>0</v>
      </c>
      <c r="U293" s="144">
        <f t="shared" ca="1" si="1649"/>
        <v>0</v>
      </c>
      <c r="V293" s="144">
        <f t="shared" ca="1" si="1649"/>
        <v>0</v>
      </c>
      <c r="W293" s="174">
        <f t="shared" ca="1" si="1649"/>
        <v>0</v>
      </c>
      <c r="X293" s="163"/>
      <c r="AC293" s="144">
        <f t="shared" ref="AC293" ca="1" si="1650">IF($B293,ROUND(AC292*$N291,2),ROUND(SUMIF(OFFSET($B293,1,0,$D293),TRUE,OFFSET(AC293,1,0,$D293))/SUMIF(OFFSET($B293,1,0,$D293),TRUE,OFFSET($K293,1,0,$D293))*$N291,2))</f>
        <v>0</v>
      </c>
    </row>
    <row r="294" spans="1:29" customFormat="1" ht="14.25" customHeight="1" x14ac:dyDescent="0.25">
      <c r="A294" s="1"/>
      <c r="B294" s="1"/>
      <c r="C294" s="1"/>
      <c r="D294" s="1"/>
      <c r="E294" s="1"/>
      <c r="F294" s="1"/>
      <c r="G294" s="1"/>
      <c r="H294" s="1"/>
      <c r="I294" s="1"/>
      <c r="J294" s="1"/>
      <c r="K294" s="1"/>
      <c r="L294" s="343" t="str">
        <f ca="1">INDEX(PO!K$12:K$603,MATCH($A296,PO!$V$12:$V$603,0))</f>
        <v>24.11.</v>
      </c>
      <c r="M294" s="337" t="str">
        <f ca="1">INDEX(PO!N$12:N$603,MATCH($A296,PO!$V$12:$V$603,0))</f>
        <v>INSTALAÇÕES SANITÁRIAS</v>
      </c>
      <c r="N294" s="335">
        <f t="shared" ref="N294" ca="1" si="1651">IF(ROUND(K296,2)=0,K296,ROUND(K296,2))</f>
        <v>9.9999999999999998E-13</v>
      </c>
      <c r="O294" s="187" t="s">
        <v>143</v>
      </c>
      <c r="P294" s="192">
        <f t="shared" ref="P294" ca="1" si="1652">IF($B296,0,P295-IF(ISNUMBER(O295),O295,0))</f>
        <v>0</v>
      </c>
      <c r="Q294" s="193">
        <f t="shared" ref="Q294" ca="1" si="1653">IF($B296,0,Q295-IF(ISNUMBER(P295),P295,0))</f>
        <v>0</v>
      </c>
      <c r="R294" s="193">
        <f t="shared" ref="R294" ca="1" si="1654">IF($B296,0,R295-IF(ISNUMBER(Q295),Q295,0))</f>
        <v>0</v>
      </c>
      <c r="S294" s="193">
        <f t="shared" ref="S294" ca="1" si="1655">IF($B296,0,S295-IF(ISNUMBER(R295),R295,0))</f>
        <v>0</v>
      </c>
      <c r="T294" s="193">
        <v>0.25</v>
      </c>
      <c r="U294" s="193">
        <v>0.25</v>
      </c>
      <c r="V294" s="193">
        <v>0.25</v>
      </c>
      <c r="W294" s="194">
        <v>0.25</v>
      </c>
      <c r="X294" s="163"/>
      <c r="AC294" s="188">
        <f t="shared" ref="AC294" ca="1" si="1656">IF($B296,0,AC295-IF(ISNUMBER(AB295),AB295,0))</f>
        <v>0</v>
      </c>
    </row>
    <row r="295" spans="1:29" customFormat="1" ht="13.8" x14ac:dyDescent="0.25">
      <c r="A295" s="11"/>
      <c r="B295" s="11"/>
      <c r="C295" s="11"/>
      <c r="D295" s="11"/>
      <c r="E295" s="11"/>
      <c r="F295" s="11"/>
      <c r="G295" s="11"/>
      <c r="H295" s="11"/>
      <c r="I295" s="11"/>
      <c r="J295" s="11"/>
      <c r="K295" s="11"/>
      <c r="L295" s="344"/>
      <c r="M295" s="338"/>
      <c r="N295" s="336"/>
      <c r="O295" s="145" t="s">
        <v>145</v>
      </c>
      <c r="P295" s="165">
        <f t="shared" ref="P295" ca="1" si="1657">MIN(IF($B296,P294+IF(ISNUMBER(O295),O295,0),P296/$N294),1)</f>
        <v>0</v>
      </c>
      <c r="Q295" s="143">
        <f t="shared" ref="Q295" ca="1" si="1658">MIN(IF($B296,Q294+IF(ISNUMBER(P295),P295,0),Q296/$N294),1)</f>
        <v>0</v>
      </c>
      <c r="R295" s="143">
        <f t="shared" ref="R295" ca="1" si="1659">MIN(IF($B296,R294+IF(ISNUMBER(Q295),Q295,0),R296/$N294),1)</f>
        <v>0</v>
      </c>
      <c r="S295" s="143">
        <f t="shared" ref="S295" ca="1" si="1660">MIN(IF($B296,S294+IF(ISNUMBER(R295),R295,0),S296/$N294),1)</f>
        <v>0</v>
      </c>
      <c r="T295" s="143">
        <f t="shared" ref="T295" ca="1" si="1661">MIN(IF($B296,T294+IF(ISNUMBER(S295),S295,0),T296/$N294),1)</f>
        <v>0.25</v>
      </c>
      <c r="U295" s="143">
        <f t="shared" ref="U295" ca="1" si="1662">MIN(IF($B296,U294+IF(ISNUMBER(T295),T295,0),U296/$N294),1)</f>
        <v>0.5</v>
      </c>
      <c r="V295" s="143">
        <f t="shared" ref="V295" ca="1" si="1663">MIN(IF($B296,V294+IF(ISNUMBER(U295),U295,0),V296/$N294),1)</f>
        <v>0.75</v>
      </c>
      <c r="W295" s="143">
        <f t="shared" ref="W295" ca="1" si="1664">MIN(IF($B296,W294+IF(ISNUMBER(V295),V295,0),W296/$N294),1)</f>
        <v>1</v>
      </c>
      <c r="X295" s="163"/>
      <c r="AC295" s="143">
        <f t="shared" ref="AC295" ca="1" si="1665">MIN(IF($B296,AC294+IF(ISNUMBER(AB295),AB295,0),AC296/$N294),1)</f>
        <v>0</v>
      </c>
    </row>
    <row r="296" spans="1:29" customFormat="1" ht="13.8" x14ac:dyDescent="0.25">
      <c r="A296" s="11">
        <f ca="1">OFFSET(A296,-CFF.NumLinha,0)+1</f>
        <v>93</v>
      </c>
      <c r="B296" s="11" t="b">
        <f ca="1">$C296&gt;=OFFSET($C296,CFF.NumLinha,0)</f>
        <v>1</v>
      </c>
      <c r="C296" s="11">
        <f ca="1">INDEX(PO!A$12:A$603,MATCH($A296,PO!$V$12:$V$603,0))</f>
        <v>2</v>
      </c>
      <c r="D296" s="11">
        <f t="shared" ref="D296:D302" ca="1" si="1666">IF(ISERROR(J296),I296,SMALL(I296:J296,1))-1</f>
        <v>2</v>
      </c>
      <c r="E296" s="11">
        <f ca="1">IF($C296=1,OFFSET(E296,-CFF.NumLinha,0)+1,OFFSET(E296,-CFF.NumLinha,0))</f>
        <v>24</v>
      </c>
      <c r="F296" s="11">
        <f ca="1">IF($C296=1,0,IF($C296=2,OFFSET(F296,-CFF.NumLinha,0)+1,OFFSET(F296,-CFF.NumLinha,0)))</f>
        <v>11</v>
      </c>
      <c r="G296" s="11">
        <f ca="1">IF(AND($C296&lt;=2,$C296&lt;&gt;0),0,IF($C296=3,OFFSET(G296,-CFF.NumLinha,0)+1,OFFSET(G296,-CFF.NumLinha,0)))</f>
        <v>0</v>
      </c>
      <c r="H296" s="11">
        <f ca="1">IF(AND($C296&lt;=3,$C296&lt;&gt;0),0,IF($C296=4,OFFSET(H296,-CFF.NumLinha,0)+1,OFFSET(H296,-CFF.NumLinha,0)))</f>
        <v>0</v>
      </c>
      <c r="I296" s="11">
        <f t="shared" ref="I296:I302" ca="1" si="1667">MATCH(0,OFFSET($D296,1,$C296,ROW($A$303)-ROW($A296)),0)</f>
        <v>6</v>
      </c>
      <c r="J296" s="11">
        <f t="shared" ref="J296:J302" ca="1" si="1668">MATCH(OFFSET($D296,0,$C296)+1,OFFSET($D296,1,$C296,ROW($A$303)-ROW($A296)),0)</f>
        <v>3</v>
      </c>
      <c r="K296" s="156">
        <f ca="1">ROUND(INDEX(PO!T$12:T$603,MATCH($A296,PO!$V$12:$V$603,0)),2)+10^-12</f>
        <v>9.9999999999999998E-13</v>
      </c>
      <c r="L296" s="344"/>
      <c r="M296" s="338"/>
      <c r="N296" s="336"/>
      <c r="O296" s="171" t="s">
        <v>20</v>
      </c>
      <c r="P296" s="166">
        <f t="shared" ref="P296:W296" ca="1" si="1669">IF($B296,ROUND(P295*$N294,2),ROUND(SUMIF(OFFSET($B296,1,0,$D296),TRUE,OFFSET(P296,1,0,$D296))/SUMIF(OFFSET($B296,1,0,$D296),TRUE,OFFSET($K296,1,0,$D296))*$N294,2))</f>
        <v>0</v>
      </c>
      <c r="Q296" s="144">
        <f t="shared" ca="1" si="1669"/>
        <v>0</v>
      </c>
      <c r="R296" s="144">
        <f t="shared" ca="1" si="1669"/>
        <v>0</v>
      </c>
      <c r="S296" s="144">
        <f t="shared" ca="1" si="1669"/>
        <v>0</v>
      </c>
      <c r="T296" s="144">
        <f t="shared" ca="1" si="1669"/>
        <v>0</v>
      </c>
      <c r="U296" s="144">
        <f t="shared" ca="1" si="1669"/>
        <v>0</v>
      </c>
      <c r="V296" s="144">
        <f t="shared" ca="1" si="1669"/>
        <v>0</v>
      </c>
      <c r="W296" s="174">
        <f t="shared" ca="1" si="1669"/>
        <v>0</v>
      </c>
      <c r="X296" s="163"/>
      <c r="AC296" s="144">
        <f t="shared" ref="AC296" ca="1" si="1670">IF($B296,ROUND(AC295*$N294,2),ROUND(SUMIF(OFFSET($B296,1,0,$D296),TRUE,OFFSET(AC296,1,0,$D296))/SUMIF(OFFSET($B296,1,0,$D296),TRUE,OFFSET($K296,1,0,$D296))*$N294,2))</f>
        <v>0</v>
      </c>
    </row>
    <row r="297" spans="1:29" customFormat="1" ht="14.25" customHeight="1" x14ac:dyDescent="0.25">
      <c r="A297" s="1"/>
      <c r="B297" s="1"/>
      <c r="C297" s="1"/>
      <c r="D297" s="1"/>
      <c r="E297" s="1"/>
      <c r="F297" s="1"/>
      <c r="G297" s="1"/>
      <c r="H297" s="1"/>
      <c r="I297" s="1"/>
      <c r="J297" s="1"/>
      <c r="K297" s="1"/>
      <c r="L297" s="343" t="str">
        <f ca="1">INDEX(PO!K$12:K$603,MATCH($A299,PO!$V$12:$V$603,0))</f>
        <v>24.12.</v>
      </c>
      <c r="M297" s="337" t="str">
        <f ca="1">INDEX(PO!N$12:N$603,MATCH($A299,PO!$V$12:$V$603,0))</f>
        <v>CORTINA DE CONTENÇÃO</v>
      </c>
      <c r="N297" s="335">
        <f t="shared" ref="N297" ca="1" si="1671">IF(ROUND(K299,2)=0,K299,ROUND(K299,2))</f>
        <v>9.9999999999999998E-13</v>
      </c>
      <c r="O297" s="187" t="s">
        <v>143</v>
      </c>
      <c r="P297" s="192">
        <f t="shared" ref="P297" ca="1" si="1672">IF($B299,0,P298-IF(ISNUMBER(O298),O298,0))</f>
        <v>0</v>
      </c>
      <c r="Q297" s="193">
        <v>0.25</v>
      </c>
      <c r="R297" s="193">
        <v>0.25</v>
      </c>
      <c r="S297" s="193">
        <v>0.25</v>
      </c>
      <c r="T297" s="194">
        <v>0.25</v>
      </c>
      <c r="U297" s="193">
        <f t="shared" ref="U297" ca="1" si="1673">IF($B299,0,U298-IF(ISNUMBER(T298),T298,0))</f>
        <v>0</v>
      </c>
      <c r="V297" s="193">
        <f t="shared" ref="V297" ca="1" si="1674">IF($B299,0,V298-IF(ISNUMBER(U298),U298,0))</f>
        <v>0</v>
      </c>
      <c r="W297" s="194">
        <f t="shared" ref="W297" ca="1" si="1675">IF($B299,0,W298-IF(ISNUMBER(V298),V298,0))</f>
        <v>0</v>
      </c>
      <c r="X297" s="163"/>
      <c r="AC297" s="188">
        <f t="shared" ref="AC297" ca="1" si="1676">IF($B299,0,AC298-IF(ISNUMBER(AB298),AB298,0))</f>
        <v>0</v>
      </c>
    </row>
    <row r="298" spans="1:29" customFormat="1" ht="13.8" x14ac:dyDescent="0.25">
      <c r="A298" s="11"/>
      <c r="B298" s="11"/>
      <c r="C298" s="11"/>
      <c r="D298" s="11"/>
      <c r="E298" s="11"/>
      <c r="F298" s="11"/>
      <c r="G298" s="11"/>
      <c r="H298" s="11"/>
      <c r="I298" s="11"/>
      <c r="J298" s="11"/>
      <c r="K298" s="11"/>
      <c r="L298" s="344"/>
      <c r="M298" s="338"/>
      <c r="N298" s="336"/>
      <c r="O298" s="145" t="s">
        <v>145</v>
      </c>
      <c r="P298" s="165">
        <f t="shared" ref="P298" ca="1" si="1677">MIN(IF($B299,P297+IF(ISNUMBER(O298),O298,0),P299/$N297),1)</f>
        <v>0</v>
      </c>
      <c r="Q298" s="143">
        <f t="shared" ref="Q298" ca="1" si="1678">MIN(IF($B299,Q297+IF(ISNUMBER(P298),P298,0),Q299/$N297),1)</f>
        <v>0.25</v>
      </c>
      <c r="R298" s="143">
        <f t="shared" ref="R298" ca="1" si="1679">MIN(IF($B299,R297+IF(ISNUMBER(Q298),Q298,0),R299/$N297),1)</f>
        <v>0.5</v>
      </c>
      <c r="S298" s="143">
        <f t="shared" ref="S298" ca="1" si="1680">MIN(IF($B299,S297+IF(ISNUMBER(R298),R298,0),S299/$N297),1)</f>
        <v>0.75</v>
      </c>
      <c r="T298" s="143">
        <f t="shared" ref="T298" ca="1" si="1681">MIN(IF($B299,T297+IF(ISNUMBER(S298),S298,0),T299/$N297),1)</f>
        <v>1</v>
      </c>
      <c r="U298" s="143">
        <f t="shared" ref="U298" ca="1" si="1682">MIN(IF($B299,U297+IF(ISNUMBER(T298),T298,0),U299/$N297),1)</f>
        <v>1</v>
      </c>
      <c r="V298" s="143">
        <f t="shared" ref="V298" ca="1" si="1683">MIN(IF($B299,V297+IF(ISNUMBER(U298),U298,0),V299/$N297),1)</f>
        <v>1</v>
      </c>
      <c r="W298" s="143">
        <f t="shared" ref="W298" ca="1" si="1684">MIN(IF($B299,W297+IF(ISNUMBER(V298),V298,0),W299/$N297),1)</f>
        <v>1</v>
      </c>
      <c r="X298" s="163"/>
      <c r="AC298" s="143">
        <f t="shared" ref="AC298" ca="1" si="1685">MIN(IF($B299,AC297+IF(ISNUMBER(AB298),AB298,0),AC299/$N297),1)</f>
        <v>0</v>
      </c>
    </row>
    <row r="299" spans="1:29" customFormat="1" ht="13.8" x14ac:dyDescent="0.25">
      <c r="A299" s="11">
        <f ca="1">OFFSET(A299,-CFF.NumLinha,0)+1</f>
        <v>94</v>
      </c>
      <c r="B299" s="11" t="b">
        <f ca="1">$C299&gt;=OFFSET($C299,CFF.NumLinha,0)</f>
        <v>1</v>
      </c>
      <c r="C299" s="11">
        <f ca="1">INDEX(PO!A$12:A$603,MATCH($A299,PO!$V$12:$V$603,0))</f>
        <v>2</v>
      </c>
      <c r="D299" s="11">
        <f t="shared" ref="D299:D302" ca="1" si="1686">IF(ISERROR(J299),I299,SMALL(I299:J299,1))-1</f>
        <v>2</v>
      </c>
      <c r="E299" s="11">
        <f ca="1">IF($C299=1,OFFSET(E299,-CFF.NumLinha,0)+1,OFFSET(E299,-CFF.NumLinha,0))</f>
        <v>24</v>
      </c>
      <c r="F299" s="11">
        <f ca="1">IF($C299=1,0,IF($C299=2,OFFSET(F299,-CFF.NumLinha,0)+1,OFFSET(F299,-CFF.NumLinha,0)))</f>
        <v>12</v>
      </c>
      <c r="G299" s="11">
        <f ca="1">IF(AND($C299&lt;=2,$C299&lt;&gt;0),0,IF($C299=3,OFFSET(G299,-CFF.NumLinha,0)+1,OFFSET(G299,-CFF.NumLinha,0)))</f>
        <v>0</v>
      </c>
      <c r="H299" s="11">
        <f ca="1">IF(AND($C299&lt;=3,$C299&lt;&gt;0),0,IF($C299=4,OFFSET(H299,-CFF.NumLinha,0)+1,OFFSET(H299,-CFF.NumLinha,0)))</f>
        <v>0</v>
      </c>
      <c r="I299" s="11">
        <f t="shared" ref="I299:I302" ca="1" si="1687">MATCH(0,OFFSET($D299,1,$C299,ROW($A$303)-ROW($A299)),0)</f>
        <v>3</v>
      </c>
      <c r="J299" s="11" t="e">
        <f t="shared" ref="J299:J302" ca="1" si="1688">MATCH(OFFSET($D299,0,$C299)+1,OFFSET($D299,1,$C299,ROW($A$303)-ROW($A299)),0)</f>
        <v>#N/A</v>
      </c>
      <c r="K299" s="156">
        <f ca="1">ROUND(INDEX(PO!T$12:T$603,MATCH($A299,PO!$V$12:$V$603,0)),2)+10^-12</f>
        <v>9.9999999999999998E-13</v>
      </c>
      <c r="L299" s="344"/>
      <c r="M299" s="338"/>
      <c r="N299" s="336"/>
      <c r="O299" s="171" t="s">
        <v>20</v>
      </c>
      <c r="P299" s="166">
        <f t="shared" ref="P299:W299" ca="1" si="1689">IF($B299,ROUND(P298*$N297,2),ROUND(SUMIF(OFFSET($B299,1,0,$D299),TRUE,OFFSET(P299,1,0,$D299))/SUMIF(OFFSET($B299,1,0,$D299),TRUE,OFFSET($K299,1,0,$D299))*$N297,2))</f>
        <v>0</v>
      </c>
      <c r="Q299" s="144">
        <f t="shared" ca="1" si="1689"/>
        <v>0</v>
      </c>
      <c r="R299" s="144">
        <f t="shared" ca="1" si="1689"/>
        <v>0</v>
      </c>
      <c r="S299" s="144">
        <f t="shared" ca="1" si="1689"/>
        <v>0</v>
      </c>
      <c r="T299" s="144">
        <f t="shared" ca="1" si="1689"/>
        <v>0</v>
      </c>
      <c r="U299" s="144">
        <f t="shared" ca="1" si="1689"/>
        <v>0</v>
      </c>
      <c r="V299" s="144">
        <f t="shared" ca="1" si="1689"/>
        <v>0</v>
      </c>
      <c r="W299" s="174">
        <f t="shared" ca="1" si="1689"/>
        <v>0</v>
      </c>
      <c r="X299" s="163"/>
      <c r="AC299" s="144">
        <f t="shared" ref="AC299" ca="1" si="1690">IF($B299,ROUND(AC298*$N297,2),ROUND(SUMIF(OFFSET($B299,1,0,$D299),TRUE,OFFSET(AC299,1,0,$D299))/SUMIF(OFFSET($B299,1,0,$D299),TRUE,OFFSET($K299,1,0,$D299))*$N297,2))</f>
        <v>0</v>
      </c>
    </row>
    <row r="300" spans="1:29" customFormat="1" ht="14.25" customHeight="1" x14ac:dyDescent="0.25">
      <c r="A300" s="1"/>
      <c r="B300" s="1"/>
      <c r="C300" s="1"/>
      <c r="D300" s="1"/>
      <c r="E300" s="1"/>
      <c r="F300" s="1"/>
      <c r="G300" s="1"/>
      <c r="H300" s="1"/>
      <c r="I300" s="1"/>
      <c r="J300" s="1"/>
      <c r="K300" s="1"/>
      <c r="L300" s="343" t="str">
        <f ca="1">INDEX(PO!K$12:K$603,MATCH($A302,PO!$V$12:$V$603,0))</f>
        <v>25.</v>
      </c>
      <c r="M300" s="337" t="str">
        <f ca="1">INDEX(PO!N$12:N$603,MATCH($A302,PO!$V$12:$V$603,0))</f>
        <v>SERVIÇOS FINAIS</v>
      </c>
      <c r="N300" s="335">
        <f t="shared" ref="N300" ca="1" si="1691">IF(ROUND(K302,2)=0,K302,ROUND(K302,2))</f>
        <v>9.9999999999999998E-13</v>
      </c>
      <c r="O300" s="187" t="s">
        <v>143</v>
      </c>
      <c r="P300" s="192">
        <f t="shared" ref="P300" ca="1" si="1692">IF($B302,0,P301-IF(ISNUMBER(O301),O301,0))</f>
        <v>0</v>
      </c>
      <c r="Q300" s="193">
        <f t="shared" ref="Q300" ca="1" si="1693">IF($B302,0,Q301-IF(ISNUMBER(P301),P301,0))</f>
        <v>0</v>
      </c>
      <c r="R300" s="193">
        <f t="shared" ref="R300" ca="1" si="1694">IF($B302,0,R301-IF(ISNUMBER(Q301),Q301,0))</f>
        <v>0</v>
      </c>
      <c r="S300" s="193">
        <f t="shared" ref="S300" ca="1" si="1695">IF($B302,0,S301-IF(ISNUMBER(R301),R301,0))</f>
        <v>0</v>
      </c>
      <c r="T300" s="193">
        <v>0.25</v>
      </c>
      <c r="U300" s="193">
        <v>0.25</v>
      </c>
      <c r="V300" s="193">
        <v>0.25</v>
      </c>
      <c r="W300" s="194">
        <v>0.25</v>
      </c>
      <c r="X300" s="163"/>
      <c r="AC300" s="188">
        <f t="shared" ref="AC300" ca="1" si="1696">IF($B302,0,AC301-IF(ISNUMBER(AB301),AB301,0))</f>
        <v>0</v>
      </c>
    </row>
    <row r="301" spans="1:29" customFormat="1" ht="13.8" x14ac:dyDescent="0.25">
      <c r="A301" s="11"/>
      <c r="B301" s="11"/>
      <c r="C301" s="11"/>
      <c r="D301" s="11"/>
      <c r="E301" s="11"/>
      <c r="F301" s="11"/>
      <c r="G301" s="11"/>
      <c r="H301" s="11"/>
      <c r="I301" s="11"/>
      <c r="J301" s="11"/>
      <c r="K301" s="11"/>
      <c r="L301" s="344"/>
      <c r="M301" s="338"/>
      <c r="N301" s="336"/>
      <c r="O301" s="145" t="s">
        <v>145</v>
      </c>
      <c r="P301" s="165">
        <f t="shared" ref="P301" ca="1" si="1697">MIN(IF($B302,P300+IF(ISNUMBER(O301),O301,0),P302/$N300),1)</f>
        <v>0</v>
      </c>
      <c r="Q301" s="143">
        <f t="shared" ref="Q301" ca="1" si="1698">MIN(IF($B302,Q300+IF(ISNUMBER(P301),P301,0),Q302/$N300),1)</f>
        <v>0</v>
      </c>
      <c r="R301" s="143">
        <f t="shared" ref="R301" ca="1" si="1699">MIN(IF($B302,R300+IF(ISNUMBER(Q301),Q301,0),R302/$N300),1)</f>
        <v>0</v>
      </c>
      <c r="S301" s="143">
        <f t="shared" ref="S301" ca="1" si="1700">MIN(IF($B302,S300+IF(ISNUMBER(R301),R301,0),S302/$N300),1)</f>
        <v>0</v>
      </c>
      <c r="T301" s="143">
        <f t="shared" ref="T301" ca="1" si="1701">MIN(IF($B302,T300+IF(ISNUMBER(S301),S301,0),T302/$N300),1)</f>
        <v>0.25</v>
      </c>
      <c r="U301" s="143">
        <f t="shared" ref="U301" ca="1" si="1702">MIN(IF($B302,U300+IF(ISNUMBER(T301),T301,0),U302/$N300),1)</f>
        <v>0.5</v>
      </c>
      <c r="V301" s="143">
        <f t="shared" ref="V301" ca="1" si="1703">MIN(IF($B302,V300+IF(ISNUMBER(U301),U301,0),V302/$N300),1)</f>
        <v>0.75</v>
      </c>
      <c r="W301" s="143">
        <f t="shared" ref="W301" ca="1" si="1704">MIN(IF($B302,W300+IF(ISNUMBER(V301),V301,0),W302/$N300),1)</f>
        <v>1</v>
      </c>
      <c r="X301" s="163"/>
      <c r="AC301" s="143">
        <f t="shared" ref="AC301" ca="1" si="1705">MIN(IF($B302,AC300+IF(ISNUMBER(AB301),AB301,0),AC302/$N300),1)</f>
        <v>0</v>
      </c>
    </row>
    <row r="302" spans="1:29" customFormat="1" ht="13.8" x14ac:dyDescent="0.25">
      <c r="A302" s="11">
        <f ca="1">OFFSET(A302,-CFF.NumLinha,0)+1</f>
        <v>95</v>
      </c>
      <c r="B302" s="11" t="b">
        <f ca="1">$C302&gt;=OFFSET($C302,CFF.NumLinha,0)</f>
        <v>1</v>
      </c>
      <c r="C302" s="11">
        <f ca="1">INDEX(PO!A$12:A$603,MATCH($A302,PO!$V$12:$V$603,0))</f>
        <v>1</v>
      </c>
      <c r="D302" s="11">
        <f t="shared" ref="D302" ca="1" si="1706">IF(ISERROR(J302),I302,SMALL(I302:J302,1))-1</f>
        <v>0</v>
      </c>
      <c r="E302" s="11">
        <f ca="1">IF($C302=1,OFFSET(E302,-CFF.NumLinha,0)+1,OFFSET(E302,-CFF.NumLinha,0))</f>
        <v>25</v>
      </c>
      <c r="F302" s="11">
        <f ca="1">IF($C302=1,0,IF($C302=2,OFFSET(F302,-CFF.NumLinha,0)+1,OFFSET(F302,-CFF.NumLinha,0)))</f>
        <v>0</v>
      </c>
      <c r="G302" s="11">
        <f ca="1">IF(AND($C302&lt;=2,$C302&lt;&gt;0),0,IF($C302=3,OFFSET(G302,-CFF.NumLinha,0)+1,OFFSET(G302,-CFF.NumLinha,0)))</f>
        <v>0</v>
      </c>
      <c r="H302" s="11">
        <f ca="1">IF(AND($C302&lt;=3,$C302&lt;&gt;0),0,IF($C302=4,OFFSET(H302,-CFF.NumLinha,0)+1,OFFSET(H302,-CFF.NumLinha,0)))</f>
        <v>0</v>
      </c>
      <c r="I302" s="11">
        <f t="shared" ref="I302" ca="1" si="1707">MATCH(0,OFFSET($D302,1,$C302,ROW($A$303)-ROW($A302)),0)</f>
        <v>1</v>
      </c>
      <c r="J302" s="11" t="e">
        <f t="shared" ref="J302" ca="1" si="1708">MATCH(OFFSET($D302,0,$C302)+1,OFFSET($D302,1,$C302,ROW($A$303)-ROW($A302)),0)</f>
        <v>#N/A</v>
      </c>
      <c r="K302" s="156">
        <f ca="1">ROUND(INDEX(PO!T$12:T$603,MATCH($A302,PO!$V$12:$V$603,0)),2)+10^-12</f>
        <v>9.9999999999999998E-13</v>
      </c>
      <c r="L302" s="344"/>
      <c r="M302" s="338"/>
      <c r="N302" s="336"/>
      <c r="O302" s="171" t="s">
        <v>20</v>
      </c>
      <c r="P302" s="166">
        <f t="shared" ref="P302:W302" ca="1" si="1709">IF($B302,ROUND(P301*$N300,2),ROUND(SUMIF(OFFSET($B302,1,0,$D302),TRUE,OFFSET(P302,1,0,$D302))/SUMIF(OFFSET($B302,1,0,$D302),TRUE,OFFSET($K302,1,0,$D302))*$N300,2))</f>
        <v>0</v>
      </c>
      <c r="Q302" s="144">
        <f t="shared" ca="1" si="1709"/>
        <v>0</v>
      </c>
      <c r="R302" s="144">
        <f t="shared" ca="1" si="1709"/>
        <v>0</v>
      </c>
      <c r="S302" s="144">
        <f t="shared" ca="1" si="1709"/>
        <v>0</v>
      </c>
      <c r="T302" s="144">
        <f t="shared" ca="1" si="1709"/>
        <v>0</v>
      </c>
      <c r="U302" s="144">
        <f t="shared" ca="1" si="1709"/>
        <v>0</v>
      </c>
      <c r="V302" s="144">
        <f t="shared" ca="1" si="1709"/>
        <v>0</v>
      </c>
      <c r="W302" s="174">
        <f t="shared" ca="1" si="1709"/>
        <v>0</v>
      </c>
      <c r="X302" s="163"/>
      <c r="AC302" s="144">
        <f t="shared" ref="AC302" ca="1" si="1710">IF($B302,ROUND(AC301*$N300,2),ROUND(SUMIF(OFFSET($B302,1,0,$D302),TRUE,OFFSET(AC302,1,0,$D302))/SUMIF(OFFSET($B302,1,0,$D302),TRUE,OFFSET($K302,1,0,$D302))*$N300,2))</f>
        <v>0</v>
      </c>
    </row>
    <row r="303" spans="1:29" ht="12.75" customHeight="1" x14ac:dyDescent="0.25">
      <c r="A303"/>
      <c r="B303"/>
      <c r="C303" s="11">
        <v>-1</v>
      </c>
      <c r="D303" s="11"/>
      <c r="E303" s="11">
        <v>0</v>
      </c>
      <c r="F303" s="11">
        <v>0</v>
      </c>
      <c r="G303" s="11">
        <v>0</v>
      </c>
      <c r="H303" s="11">
        <v>0</v>
      </c>
      <c r="I303"/>
      <c r="J303"/>
      <c r="K303"/>
      <c r="L303" s="69"/>
      <c r="M303" s="69"/>
      <c r="N303" s="131"/>
      <c r="O303" s="69"/>
      <c r="P303" s="69"/>
      <c r="Q303" s="131"/>
      <c r="R303" s="69"/>
      <c r="S303" s="69"/>
      <c r="T303" s="69"/>
      <c r="U303" s="69"/>
      <c r="V303" s="69"/>
      <c r="W303" s="69"/>
      <c r="X303" s="157"/>
      <c r="AC303" s="69"/>
    </row>
    <row r="304" spans="1:29" ht="12" customHeight="1" x14ac:dyDescent="0.25">
      <c r="A304"/>
      <c r="B304"/>
      <c r="C304"/>
      <c r="D304"/>
      <c r="E304"/>
      <c r="F304"/>
      <c r="G304"/>
      <c r="H304"/>
      <c r="I304"/>
      <c r="J304"/>
      <c r="K304"/>
      <c r="L304" s="1"/>
      <c r="M304" s="1"/>
      <c r="N304" s="1"/>
      <c r="O304" s="1"/>
      <c r="P304" s="1"/>
      <c r="Q304" s="1"/>
      <c r="R304" s="1"/>
      <c r="S304" s="1"/>
      <c r="T304" s="1"/>
      <c r="U304" s="1"/>
      <c r="V304" s="1"/>
      <c r="W304" s="1"/>
      <c r="X304" s="157"/>
      <c r="AC304" s="1"/>
    </row>
    <row r="305" spans="1:29" x14ac:dyDescent="0.25">
      <c r="A305"/>
      <c r="B305"/>
      <c r="C305"/>
      <c r="D305"/>
      <c r="E305"/>
      <c r="F305"/>
      <c r="G305"/>
      <c r="H305"/>
      <c r="I305"/>
      <c r="J305"/>
      <c r="K305"/>
      <c r="L305" s="342">
        <f>DADOS!I32</f>
        <v>0</v>
      </c>
      <c r="M305" s="342"/>
      <c r="N305" s="342"/>
      <c r="O305" s="1"/>
      <c r="P305" s="158"/>
      <c r="Q305" s="339"/>
      <c r="R305" s="339"/>
      <c r="S305" s="339"/>
      <c r="T305" s="1"/>
      <c r="U305" s="1"/>
      <c r="V305" s="1"/>
      <c r="W305" s="1"/>
      <c r="X305" s="157"/>
      <c r="AC305" s="1"/>
    </row>
    <row r="306" spans="1:29" x14ac:dyDescent="0.25">
      <c r="A306"/>
      <c r="B306"/>
      <c r="C306"/>
      <c r="D306"/>
      <c r="E306"/>
      <c r="F306"/>
      <c r="G306"/>
      <c r="H306"/>
      <c r="I306"/>
      <c r="J306"/>
      <c r="K306"/>
      <c r="L306" s="159" t="s">
        <v>120</v>
      </c>
      <c r="M306" s="341"/>
      <c r="N306" s="341"/>
      <c r="O306" s="1"/>
      <c r="P306" s="158"/>
      <c r="Q306" s="339"/>
      <c r="R306" s="339"/>
      <c r="S306" s="339"/>
      <c r="T306" s="1"/>
      <c r="U306" s="1"/>
      <c r="V306" s="1"/>
      <c r="W306" s="1"/>
      <c r="X306" s="157"/>
      <c r="AC306" s="1"/>
    </row>
    <row r="307" spans="1:29" x14ac:dyDescent="0.25">
      <c r="A307"/>
      <c r="B307"/>
      <c r="C307"/>
      <c r="D307"/>
      <c r="E307"/>
      <c r="F307"/>
      <c r="G307"/>
      <c r="H307"/>
      <c r="I307"/>
      <c r="J307"/>
      <c r="K307"/>
      <c r="L307" s="158"/>
      <c r="M307" s="340"/>
      <c r="N307" s="341"/>
      <c r="O307" s="1"/>
      <c r="P307" s="158"/>
      <c r="Q307" s="339"/>
      <c r="R307" s="339"/>
      <c r="S307" s="339"/>
      <c r="T307" s="1"/>
      <c r="U307" s="1"/>
      <c r="V307" s="1"/>
      <c r="W307" s="1"/>
      <c r="X307" s="157"/>
      <c r="AC307" s="1"/>
    </row>
    <row r="308" spans="1:29" x14ac:dyDescent="0.25">
      <c r="A308"/>
      <c r="B308"/>
      <c r="C308"/>
      <c r="D308"/>
      <c r="E308"/>
      <c r="F308"/>
      <c r="G308"/>
      <c r="H308"/>
      <c r="I308"/>
      <c r="J308"/>
      <c r="K308"/>
      <c r="L308" s="345">
        <f ca="1">PO!K617</f>
        <v>45770</v>
      </c>
      <c r="M308" s="345"/>
      <c r="N308" s="345"/>
      <c r="O308" s="1"/>
      <c r="P308" s="1"/>
      <c r="Q308" s="1"/>
      <c r="R308" s="1"/>
      <c r="S308" s="1"/>
      <c r="T308" s="1"/>
      <c r="U308" s="1"/>
      <c r="V308" s="1"/>
      <c r="W308" s="1"/>
      <c r="X308" s="160"/>
      <c r="AC308" s="1"/>
    </row>
    <row r="309" spans="1:29" x14ac:dyDescent="0.25">
      <c r="A309"/>
      <c r="B309"/>
      <c r="C309"/>
      <c r="D309"/>
      <c r="E309"/>
      <c r="F309"/>
      <c r="G309"/>
      <c r="H309"/>
      <c r="I309"/>
      <c r="J309"/>
      <c r="K309"/>
      <c r="L309" s="161" t="s">
        <v>121</v>
      </c>
      <c r="M309" s="69"/>
      <c r="N309" s="69"/>
      <c r="O309" s="1"/>
      <c r="P309" s="1"/>
      <c r="Q309" s="1"/>
      <c r="R309" s="1"/>
      <c r="S309" s="1"/>
      <c r="T309" s="1"/>
      <c r="U309" s="1"/>
      <c r="V309" s="1"/>
      <c r="W309" s="1"/>
      <c r="X309" s="160"/>
      <c r="AC309" s="1"/>
    </row>
    <row r="310" spans="1:29" x14ac:dyDescent="0.25">
      <c r="A310"/>
      <c r="B310"/>
      <c r="C310"/>
      <c r="D310"/>
      <c r="E310"/>
      <c r="F310"/>
      <c r="G310"/>
      <c r="H310"/>
      <c r="I310"/>
      <c r="J310"/>
      <c r="K310"/>
      <c r="L310" s="1"/>
      <c r="M310" s="1"/>
      <c r="N310" s="1"/>
      <c r="O310" s="1"/>
      <c r="P310" s="1"/>
      <c r="Q310" s="1"/>
      <c r="R310" s="1"/>
      <c r="S310" s="1"/>
      <c r="T310" s="1"/>
      <c r="U310" s="1"/>
      <c r="V310" s="1"/>
      <c r="W310" s="1"/>
      <c r="X310" s="160"/>
      <c r="AC310" s="1"/>
    </row>
    <row r="311" spans="1:29" x14ac:dyDescent="0.25">
      <c r="A311"/>
      <c r="B311"/>
      <c r="C311"/>
      <c r="D311"/>
      <c r="E311"/>
      <c r="F311"/>
      <c r="G311"/>
      <c r="H311"/>
      <c r="I311"/>
      <c r="J311"/>
      <c r="K311"/>
      <c r="L311" s="1"/>
      <c r="M311" s="1"/>
      <c r="N311" s="4"/>
      <c r="O311" s="1"/>
      <c r="P311" s="1"/>
      <c r="Q311" s="1"/>
      <c r="R311" s="1"/>
      <c r="S311" s="1"/>
      <c r="T311" s="1"/>
      <c r="U311" s="1"/>
      <c r="V311" s="1"/>
      <c r="W311" s="1"/>
      <c r="X311" s="157"/>
      <c r="AC311" s="1"/>
    </row>
    <row r="312" spans="1:29" x14ac:dyDescent="0.25">
      <c r="A312"/>
      <c r="B312"/>
      <c r="C312"/>
      <c r="D312"/>
      <c r="E312"/>
      <c r="F312"/>
      <c r="G312"/>
      <c r="H312"/>
      <c r="I312"/>
      <c r="J312"/>
      <c r="K312"/>
      <c r="L312" s="1"/>
      <c r="M312" s="1"/>
      <c r="N312" s="4"/>
      <c r="O312" s="1"/>
      <c r="P312" s="1"/>
      <c r="Q312" s="1"/>
      <c r="R312" s="1"/>
      <c r="S312" s="1"/>
      <c r="T312" s="1"/>
      <c r="U312" s="1"/>
      <c r="V312" s="1"/>
      <c r="W312" s="1"/>
      <c r="X312" s="157"/>
      <c r="AC312" s="1"/>
    </row>
    <row r="313" spans="1:29" x14ac:dyDescent="0.25">
      <c r="A313"/>
      <c r="B313"/>
      <c r="C313"/>
      <c r="D313"/>
      <c r="E313"/>
      <c r="F313"/>
      <c r="G313"/>
      <c r="H313"/>
      <c r="I313"/>
      <c r="J313"/>
      <c r="K313"/>
      <c r="L313" s="1"/>
      <c r="M313" s="1"/>
      <c r="N313" s="4"/>
      <c r="O313" s="1"/>
      <c r="P313" s="1"/>
      <c r="Q313" s="1"/>
      <c r="R313" s="1"/>
      <c r="S313" s="1"/>
      <c r="T313" s="1"/>
      <c r="U313" s="1"/>
      <c r="V313" s="1"/>
      <c r="W313" s="1"/>
      <c r="X313" s="157"/>
      <c r="AC313" s="1"/>
    </row>
  </sheetData>
  <sheetProtection password="C95B" sheet="1" objects="1" scenarios="1"/>
  <mergeCells count="298">
    <mergeCell ref="L300:L302"/>
    <mergeCell ref="M300:M302"/>
    <mergeCell ref="N300:N302"/>
    <mergeCell ref="L294:L296"/>
    <mergeCell ref="M294:M296"/>
    <mergeCell ref="N294:N296"/>
    <mergeCell ref="L297:L299"/>
    <mergeCell ref="M297:M299"/>
    <mergeCell ref="N297:N299"/>
    <mergeCell ref="L288:L290"/>
    <mergeCell ref="M288:M290"/>
    <mergeCell ref="N288:N290"/>
    <mergeCell ref="L291:L293"/>
    <mergeCell ref="M291:M293"/>
    <mergeCell ref="N291:N293"/>
    <mergeCell ref="L282:L284"/>
    <mergeCell ref="M282:M284"/>
    <mergeCell ref="N282:N284"/>
    <mergeCell ref="L285:L287"/>
    <mergeCell ref="M285:M287"/>
    <mergeCell ref="N285:N287"/>
    <mergeCell ref="L276:L278"/>
    <mergeCell ref="M276:M278"/>
    <mergeCell ref="N276:N278"/>
    <mergeCell ref="L279:L281"/>
    <mergeCell ref="M279:M281"/>
    <mergeCell ref="N279:N281"/>
    <mergeCell ref="L270:L272"/>
    <mergeCell ref="M270:M272"/>
    <mergeCell ref="N270:N272"/>
    <mergeCell ref="L273:L275"/>
    <mergeCell ref="M273:M275"/>
    <mergeCell ref="N273:N275"/>
    <mergeCell ref="L264:L266"/>
    <mergeCell ref="M264:M266"/>
    <mergeCell ref="N264:N266"/>
    <mergeCell ref="L267:L269"/>
    <mergeCell ref="M267:M269"/>
    <mergeCell ref="N267:N269"/>
    <mergeCell ref="L258:L260"/>
    <mergeCell ref="M258:M260"/>
    <mergeCell ref="N258:N260"/>
    <mergeCell ref="L261:L263"/>
    <mergeCell ref="M261:M263"/>
    <mergeCell ref="N261:N263"/>
    <mergeCell ref="L252:L254"/>
    <mergeCell ref="M252:M254"/>
    <mergeCell ref="N252:N254"/>
    <mergeCell ref="L255:L257"/>
    <mergeCell ref="M255:M257"/>
    <mergeCell ref="N255:N257"/>
    <mergeCell ref="L246:L248"/>
    <mergeCell ref="M246:M248"/>
    <mergeCell ref="N246:N248"/>
    <mergeCell ref="L249:L251"/>
    <mergeCell ref="M249:M251"/>
    <mergeCell ref="N249:N251"/>
    <mergeCell ref="L240:L242"/>
    <mergeCell ref="M240:M242"/>
    <mergeCell ref="N240:N242"/>
    <mergeCell ref="L243:L245"/>
    <mergeCell ref="M243:M245"/>
    <mergeCell ref="N243:N245"/>
    <mergeCell ref="L234:L236"/>
    <mergeCell ref="M234:M236"/>
    <mergeCell ref="N234:N236"/>
    <mergeCell ref="L237:L239"/>
    <mergeCell ref="M237:M239"/>
    <mergeCell ref="N237:N239"/>
    <mergeCell ref="L228:L230"/>
    <mergeCell ref="M228:M230"/>
    <mergeCell ref="N228:N230"/>
    <mergeCell ref="L231:L233"/>
    <mergeCell ref="M231:M233"/>
    <mergeCell ref="N231:N233"/>
    <mergeCell ref="L222:L224"/>
    <mergeCell ref="M222:M224"/>
    <mergeCell ref="N222:N224"/>
    <mergeCell ref="L225:L227"/>
    <mergeCell ref="M225:M227"/>
    <mergeCell ref="N225:N227"/>
    <mergeCell ref="L216:L218"/>
    <mergeCell ref="M216:M218"/>
    <mergeCell ref="N216:N218"/>
    <mergeCell ref="L219:L221"/>
    <mergeCell ref="M219:M221"/>
    <mergeCell ref="N219:N221"/>
    <mergeCell ref="L210:L212"/>
    <mergeCell ref="M210:M212"/>
    <mergeCell ref="N210:N212"/>
    <mergeCell ref="L213:L215"/>
    <mergeCell ref="M213:M215"/>
    <mergeCell ref="N213:N215"/>
    <mergeCell ref="L204:L206"/>
    <mergeCell ref="M204:M206"/>
    <mergeCell ref="N204:N206"/>
    <mergeCell ref="L207:L209"/>
    <mergeCell ref="M207:M209"/>
    <mergeCell ref="N207:N209"/>
    <mergeCell ref="L198:L200"/>
    <mergeCell ref="M198:M200"/>
    <mergeCell ref="N198:N200"/>
    <mergeCell ref="L201:L203"/>
    <mergeCell ref="M201:M203"/>
    <mergeCell ref="N201:N203"/>
    <mergeCell ref="L192:L194"/>
    <mergeCell ref="M192:M194"/>
    <mergeCell ref="N192:N194"/>
    <mergeCell ref="L195:L197"/>
    <mergeCell ref="M195:M197"/>
    <mergeCell ref="N195:N197"/>
    <mergeCell ref="L186:L188"/>
    <mergeCell ref="M186:M188"/>
    <mergeCell ref="N186:N188"/>
    <mergeCell ref="L189:L191"/>
    <mergeCell ref="M189:M191"/>
    <mergeCell ref="N189:N191"/>
    <mergeCell ref="L180:L182"/>
    <mergeCell ref="M180:M182"/>
    <mergeCell ref="N180:N182"/>
    <mergeCell ref="L183:L185"/>
    <mergeCell ref="M183:M185"/>
    <mergeCell ref="N183:N185"/>
    <mergeCell ref="L174:L176"/>
    <mergeCell ref="M174:M176"/>
    <mergeCell ref="N174:N176"/>
    <mergeCell ref="L177:L179"/>
    <mergeCell ref="M177:M179"/>
    <mergeCell ref="N177:N179"/>
    <mergeCell ref="L168:L170"/>
    <mergeCell ref="M168:M170"/>
    <mergeCell ref="N168:N170"/>
    <mergeCell ref="L171:L173"/>
    <mergeCell ref="M171:M173"/>
    <mergeCell ref="N171:N173"/>
    <mergeCell ref="L162:L164"/>
    <mergeCell ref="M162:M164"/>
    <mergeCell ref="N162:N164"/>
    <mergeCell ref="L165:L167"/>
    <mergeCell ref="M165:M167"/>
    <mergeCell ref="N165:N167"/>
    <mergeCell ref="L156:L158"/>
    <mergeCell ref="M156:M158"/>
    <mergeCell ref="N156:N158"/>
    <mergeCell ref="L159:L161"/>
    <mergeCell ref="M159:M161"/>
    <mergeCell ref="N159:N161"/>
    <mergeCell ref="L150:L152"/>
    <mergeCell ref="M150:M152"/>
    <mergeCell ref="N150:N152"/>
    <mergeCell ref="L153:L155"/>
    <mergeCell ref="M153:M155"/>
    <mergeCell ref="N153:N155"/>
    <mergeCell ref="L144:L146"/>
    <mergeCell ref="M144:M146"/>
    <mergeCell ref="N144:N146"/>
    <mergeCell ref="L147:L149"/>
    <mergeCell ref="M147:M149"/>
    <mergeCell ref="N147:N149"/>
    <mergeCell ref="L138:L140"/>
    <mergeCell ref="M138:M140"/>
    <mergeCell ref="N138:N140"/>
    <mergeCell ref="L141:L143"/>
    <mergeCell ref="M141:M143"/>
    <mergeCell ref="N141:N143"/>
    <mergeCell ref="L132:L134"/>
    <mergeCell ref="M132:M134"/>
    <mergeCell ref="N132:N134"/>
    <mergeCell ref="L135:L137"/>
    <mergeCell ref="M135:M137"/>
    <mergeCell ref="N135:N137"/>
    <mergeCell ref="L126:L128"/>
    <mergeCell ref="M126:M128"/>
    <mergeCell ref="N126:N128"/>
    <mergeCell ref="L129:L131"/>
    <mergeCell ref="M129:M131"/>
    <mergeCell ref="N129:N131"/>
    <mergeCell ref="L120:L122"/>
    <mergeCell ref="M120:M122"/>
    <mergeCell ref="N120:N122"/>
    <mergeCell ref="L123:L125"/>
    <mergeCell ref="M123:M125"/>
    <mergeCell ref="N123:N125"/>
    <mergeCell ref="L114:L116"/>
    <mergeCell ref="M114:M116"/>
    <mergeCell ref="N114:N116"/>
    <mergeCell ref="L117:L119"/>
    <mergeCell ref="M117:M119"/>
    <mergeCell ref="N117:N119"/>
    <mergeCell ref="L108:L110"/>
    <mergeCell ref="M108:M110"/>
    <mergeCell ref="N108:N110"/>
    <mergeCell ref="L111:L113"/>
    <mergeCell ref="M111:M113"/>
    <mergeCell ref="N111:N113"/>
    <mergeCell ref="L102:L104"/>
    <mergeCell ref="M102:M104"/>
    <mergeCell ref="N102:N104"/>
    <mergeCell ref="L105:L107"/>
    <mergeCell ref="M105:M107"/>
    <mergeCell ref="N105:N107"/>
    <mergeCell ref="L96:L98"/>
    <mergeCell ref="M96:M98"/>
    <mergeCell ref="N96:N98"/>
    <mergeCell ref="L99:L101"/>
    <mergeCell ref="M99:M101"/>
    <mergeCell ref="N99:N101"/>
    <mergeCell ref="L90:L92"/>
    <mergeCell ref="M90:M92"/>
    <mergeCell ref="N90:N92"/>
    <mergeCell ref="L93:L95"/>
    <mergeCell ref="M93:M95"/>
    <mergeCell ref="N93:N95"/>
    <mergeCell ref="L84:L86"/>
    <mergeCell ref="M84:M86"/>
    <mergeCell ref="N84:N86"/>
    <mergeCell ref="L87:L89"/>
    <mergeCell ref="M87:M89"/>
    <mergeCell ref="N87:N89"/>
    <mergeCell ref="L78:L80"/>
    <mergeCell ref="M78:M80"/>
    <mergeCell ref="N78:N80"/>
    <mergeCell ref="L81:L83"/>
    <mergeCell ref="M81:M83"/>
    <mergeCell ref="N81:N83"/>
    <mergeCell ref="L72:L74"/>
    <mergeCell ref="M72:M74"/>
    <mergeCell ref="N72:N74"/>
    <mergeCell ref="L75:L77"/>
    <mergeCell ref="M75:M77"/>
    <mergeCell ref="N75:N77"/>
    <mergeCell ref="L66:L68"/>
    <mergeCell ref="M66:M68"/>
    <mergeCell ref="N66:N68"/>
    <mergeCell ref="L69:L71"/>
    <mergeCell ref="M69:M71"/>
    <mergeCell ref="N69:N71"/>
    <mergeCell ref="L60:L62"/>
    <mergeCell ref="M60:M62"/>
    <mergeCell ref="N60:N62"/>
    <mergeCell ref="L63:L65"/>
    <mergeCell ref="M63:M65"/>
    <mergeCell ref="N63:N65"/>
    <mergeCell ref="L54:L56"/>
    <mergeCell ref="M54:M56"/>
    <mergeCell ref="N54:N56"/>
    <mergeCell ref="L57:L59"/>
    <mergeCell ref="M57:M59"/>
    <mergeCell ref="N57:N59"/>
    <mergeCell ref="L48:L50"/>
    <mergeCell ref="M48:M50"/>
    <mergeCell ref="N48:N50"/>
    <mergeCell ref="L51:L53"/>
    <mergeCell ref="M51:M53"/>
    <mergeCell ref="N51:N53"/>
    <mergeCell ref="L42:L44"/>
    <mergeCell ref="M42:M44"/>
    <mergeCell ref="N42:N44"/>
    <mergeCell ref="L45:L47"/>
    <mergeCell ref="M45:M47"/>
    <mergeCell ref="N45:N47"/>
    <mergeCell ref="M36:M38"/>
    <mergeCell ref="N36:N38"/>
    <mergeCell ref="L39:L41"/>
    <mergeCell ref="M39:M41"/>
    <mergeCell ref="N39:N41"/>
    <mergeCell ref="M33:M35"/>
    <mergeCell ref="N33:N35"/>
    <mergeCell ref="L308:N308"/>
    <mergeCell ref="L11:L13"/>
    <mergeCell ref="M11:M13"/>
    <mergeCell ref="L14:M17"/>
    <mergeCell ref="N14:N17"/>
    <mergeCell ref="L18:L20"/>
    <mergeCell ref="L24:L26"/>
    <mergeCell ref="M24:M26"/>
    <mergeCell ref="N24:N26"/>
    <mergeCell ref="L27:L29"/>
    <mergeCell ref="M27:M29"/>
    <mergeCell ref="N27:N29"/>
    <mergeCell ref="L30:L32"/>
    <mergeCell ref="L36:L38"/>
    <mergeCell ref="L8:M8"/>
    <mergeCell ref="N11:N13"/>
    <mergeCell ref="M18:M20"/>
    <mergeCell ref="N18:N20"/>
    <mergeCell ref="Q307:S307"/>
    <mergeCell ref="M307:N307"/>
    <mergeCell ref="Q306:S306"/>
    <mergeCell ref="Q305:S305"/>
    <mergeCell ref="L305:N305"/>
    <mergeCell ref="M306:N306"/>
    <mergeCell ref="L21:L23"/>
    <mergeCell ref="M21:M23"/>
    <mergeCell ref="N21:N23"/>
    <mergeCell ref="M30:M32"/>
    <mergeCell ref="N30:N32"/>
    <mergeCell ref="L33:L35"/>
  </mergeCells>
  <phoneticPr fontId="20" type="noConversion"/>
  <conditionalFormatting sqref="L11:N11 L12:M13 L18:N18">
    <cfRule type="expression" dxfId="158" priority="1336" stopIfTrue="1">
      <formula>$C13=1</formula>
    </cfRule>
  </conditionalFormatting>
  <conditionalFormatting sqref="O11 O18">
    <cfRule type="expression" dxfId="157" priority="1408" stopIfTrue="1">
      <formula>$B13=FALSE</formula>
    </cfRule>
    <cfRule type="expression" dxfId="156" priority="1409" stopIfTrue="1">
      <formula>$C13=1</formula>
    </cfRule>
  </conditionalFormatting>
  <conditionalFormatting sqref="P12:W12 AC12 AC19 AC22">
    <cfRule type="expression" dxfId="155" priority="1398" stopIfTrue="1">
      <formula>AND(ISNUMBER(O13),O13&gt;=$N11)</formula>
    </cfRule>
    <cfRule type="cellIs" dxfId="154" priority="1399" stopIfTrue="1" operator="notBetween">
      <formula>0</formula>
      <formula>1</formula>
    </cfRule>
  </conditionalFormatting>
  <conditionalFormatting sqref="P13:W13 AC13 AC20 AC23">
    <cfRule type="expression" dxfId="153" priority="1400" stopIfTrue="1">
      <formula>AND(ISNUMBER(O13),O13&gt;=$N11)</formula>
    </cfRule>
    <cfRule type="cellIs" dxfId="152" priority="1401" stopIfTrue="1" operator="notBetween">
      <formula>0</formula>
      <formula>$N11</formula>
    </cfRule>
  </conditionalFormatting>
  <conditionalFormatting sqref="P14:W14 AC14">
    <cfRule type="expression" dxfId="151" priority="1402" stopIfTrue="1">
      <formula>AND(ISNUMBER(O17),O17&gt;=$N14)</formula>
    </cfRule>
  </conditionalFormatting>
  <conditionalFormatting sqref="P15:W15 AC15">
    <cfRule type="expression" dxfId="150" priority="1403" stopIfTrue="1">
      <formula>AND(ISNUMBER(O17),O17&gt;=$N14)</formula>
    </cfRule>
  </conditionalFormatting>
  <conditionalFormatting sqref="P16:W16 AC16">
    <cfRule type="expression" dxfId="149" priority="1404" stopIfTrue="1">
      <formula>AND(ISNUMBER(O17),O17&gt;=$N14)</formula>
    </cfRule>
    <cfRule type="cellIs" dxfId="148" priority="1405" stopIfTrue="1" operator="notBetween">
      <formula>0</formula>
      <formula>1</formula>
    </cfRule>
  </conditionalFormatting>
  <conditionalFormatting sqref="P17:W17 AC17">
    <cfRule type="expression" dxfId="147" priority="1406" stopIfTrue="1">
      <formula>AND(ISNUMBER(O17),O17&gt;=$N14)</formula>
    </cfRule>
    <cfRule type="cellIs" dxfId="146" priority="1407" stopIfTrue="1" operator="notBetween">
      <formula>0</formula>
      <formula>$N14</formula>
    </cfRule>
  </conditionalFormatting>
  <conditionalFormatting sqref="L8">
    <cfRule type="cellIs" dxfId="145" priority="1393" stopIfTrue="1" operator="notEqual">
      <formula>""</formula>
    </cfRule>
  </conditionalFormatting>
  <conditionalFormatting sqref="N9">
    <cfRule type="expression" dxfId="144" priority="1392" stopIfTrue="1">
      <formula>TipoOrçamento&lt;&gt;"REPROGRAMADOAC"</formula>
    </cfRule>
  </conditionalFormatting>
  <conditionalFormatting sqref="L19:M20">
    <cfRule type="expression" dxfId="143" priority="2227" stopIfTrue="1">
      <formula>#REF!=1</formula>
    </cfRule>
  </conditionalFormatting>
  <conditionalFormatting sqref="P11:W11 AC18 AC11 AC21">
    <cfRule type="expression" dxfId="142" priority="547" stopIfTrue="1">
      <formula>AND(ISNUMBER(O13),O13&gt;=$N11)</formula>
    </cfRule>
    <cfRule type="expression" dxfId="141" priority="548" stopIfTrue="1">
      <formula>$B13=FALSE</formula>
    </cfRule>
    <cfRule type="expression" dxfId="140" priority="549" stopIfTrue="1">
      <formula>$C13=1</formula>
    </cfRule>
  </conditionalFormatting>
  <conditionalFormatting sqref="P19:W19">
    <cfRule type="expression" dxfId="139" priority="498" stopIfTrue="1">
      <formula>AND(ISNUMBER(O20),O20&gt;=$N18)</formula>
    </cfRule>
    <cfRule type="cellIs" dxfId="138" priority="499" stopIfTrue="1" operator="notBetween">
      <formula>0</formula>
      <formula>1</formula>
    </cfRule>
  </conditionalFormatting>
  <conditionalFormatting sqref="P20:W20">
    <cfRule type="expression" dxfId="137" priority="500" stopIfTrue="1">
      <formula>AND(ISNUMBER(O20),O20&gt;=$N18)</formula>
    </cfRule>
    <cfRule type="cellIs" dxfId="136" priority="501" stopIfTrue="1" operator="notBetween">
      <formula>0</formula>
      <formula>$N18</formula>
    </cfRule>
  </conditionalFormatting>
  <conditionalFormatting sqref="O10:W10">
    <cfRule type="expression" dxfId="135" priority="470" stopIfTrue="1">
      <formula>1=1</formula>
    </cfRule>
  </conditionalFormatting>
  <conditionalFormatting sqref="P18:W18">
    <cfRule type="expression" dxfId="134" priority="425" stopIfTrue="1">
      <formula>AND(ISNUMBER(O20),O20&gt;=$N18)</formula>
    </cfRule>
    <cfRule type="expression" dxfId="133" priority="426" stopIfTrue="1">
      <formula>$B20=FALSE</formula>
    </cfRule>
    <cfRule type="expression" dxfId="132" priority="427" stopIfTrue="1">
      <formula>$C20=1</formula>
    </cfRule>
  </conditionalFormatting>
  <conditionalFormatting sqref="AC10">
    <cfRule type="expression" dxfId="131" priority="348" stopIfTrue="1">
      <formula>1=1</formula>
    </cfRule>
  </conditionalFormatting>
  <conditionalFormatting sqref="L21:N21">
    <cfRule type="expression" dxfId="130" priority="144" stopIfTrue="1">
      <formula>$C23=1</formula>
    </cfRule>
  </conditionalFormatting>
  <conditionalFormatting sqref="O21">
    <cfRule type="expression" dxfId="129" priority="149" stopIfTrue="1">
      <formula>$B23=FALSE</formula>
    </cfRule>
    <cfRule type="expression" dxfId="128" priority="150" stopIfTrue="1">
      <formula>$C23=1</formula>
    </cfRule>
  </conditionalFormatting>
  <conditionalFormatting sqref="P22:W22">
    <cfRule type="expression" dxfId="127" priority="145" stopIfTrue="1">
      <formula>AND(ISNUMBER(O23),O23&gt;=$N21)</formula>
    </cfRule>
    <cfRule type="cellIs" dxfId="126" priority="146" stopIfTrue="1" operator="notBetween">
      <formula>0</formula>
      <formula>1</formula>
    </cfRule>
  </conditionalFormatting>
  <conditionalFormatting sqref="P23:W23">
    <cfRule type="expression" dxfId="125" priority="147" stopIfTrue="1">
      <formula>AND(ISNUMBER(O23),O23&gt;=$N21)</formula>
    </cfRule>
    <cfRule type="cellIs" dxfId="124" priority="148" stopIfTrue="1" operator="notBetween">
      <formula>0</formula>
      <formula>$N21</formula>
    </cfRule>
  </conditionalFormatting>
  <conditionalFormatting sqref="P21:W21">
    <cfRule type="expression" dxfId="123" priority="141" stopIfTrue="1">
      <formula>AND(ISNUMBER(O23),O23&gt;=$N21)</formula>
    </cfRule>
    <cfRule type="expression" dxfId="122" priority="142" stopIfTrue="1">
      <formula>$B23=FALSE</formula>
    </cfRule>
    <cfRule type="expression" dxfId="121" priority="143" stopIfTrue="1">
      <formula>$C23=1</formula>
    </cfRule>
  </conditionalFormatting>
  <conditionalFormatting sqref="L22:M23">
    <cfRule type="expression" dxfId="120" priority="4428" stopIfTrue="1">
      <formula>$C303=1</formula>
    </cfRule>
  </conditionalFormatting>
  <conditionalFormatting sqref="L24:N24 L27:N27 L30:N30 L25:M26 L28:M29">
    <cfRule type="expression" dxfId="119" priority="120" stopIfTrue="1">
      <formula>$C26=1</formula>
    </cfRule>
  </conditionalFormatting>
  <conditionalFormatting sqref="O24 O27 O30">
    <cfRule type="expression" dxfId="118" priority="125" stopIfTrue="1">
      <formula>$B26=FALSE</formula>
    </cfRule>
    <cfRule type="expression" dxfId="117" priority="126" stopIfTrue="1">
      <formula>$C26=1</formula>
    </cfRule>
  </conditionalFormatting>
  <conditionalFormatting sqref="P25:W25 P28:W28 P31:W31 AC25 AC28 AC31">
    <cfRule type="expression" dxfId="116" priority="121" stopIfTrue="1">
      <formula>AND(ISNUMBER(O26),O26&gt;=$N24)</formula>
    </cfRule>
    <cfRule type="cellIs" dxfId="115" priority="122" stopIfTrue="1" operator="notBetween">
      <formula>0</formula>
      <formula>1</formula>
    </cfRule>
  </conditionalFormatting>
  <conditionalFormatting sqref="P26:W26 P29:W29 P32:W32 AC26 AC29 AC32">
    <cfRule type="expression" dxfId="114" priority="123" stopIfTrue="1">
      <formula>AND(ISNUMBER(O26),O26&gt;=$N24)</formula>
    </cfRule>
    <cfRule type="cellIs" dxfId="113" priority="124" stopIfTrue="1" operator="notBetween">
      <formula>0</formula>
      <formula>$N24</formula>
    </cfRule>
  </conditionalFormatting>
  <conditionalFormatting sqref="P24:W24 P27:W27 P30:W30 AC24 AC27 AC30">
    <cfRule type="expression" dxfId="112" priority="117" stopIfTrue="1">
      <formula>AND(ISNUMBER(O26),O26&gt;=$N24)</formula>
    </cfRule>
    <cfRule type="expression" dxfId="111" priority="118" stopIfTrue="1">
      <formula>$B26=FALSE</formula>
    </cfRule>
    <cfRule type="expression" dxfId="110" priority="119" stopIfTrue="1">
      <formula>$C26=1</formula>
    </cfRule>
  </conditionalFormatting>
  <conditionalFormatting sqref="L31:M32">
    <cfRule type="expression" dxfId="109" priority="4505" stopIfTrue="1">
      <formula>$C303=1</formula>
    </cfRule>
  </conditionalFormatting>
  <conditionalFormatting sqref="L33:N33">
    <cfRule type="expression" dxfId="108" priority="110" stopIfTrue="1">
      <formula>$C35=1</formula>
    </cfRule>
  </conditionalFormatting>
  <conditionalFormatting sqref="O33">
    <cfRule type="expression" dxfId="107" priority="115" stopIfTrue="1">
      <formula>$B35=FALSE</formula>
    </cfRule>
    <cfRule type="expression" dxfId="106" priority="116" stopIfTrue="1">
      <formula>$C35=1</formula>
    </cfRule>
  </conditionalFormatting>
  <conditionalFormatting sqref="P34:W34 AC34">
    <cfRule type="expression" dxfId="105" priority="111" stopIfTrue="1">
      <formula>AND(ISNUMBER(O35),O35&gt;=$N33)</formula>
    </cfRule>
    <cfRule type="cellIs" dxfId="104" priority="112" stopIfTrue="1" operator="notBetween">
      <formula>0</formula>
      <formula>1</formula>
    </cfRule>
  </conditionalFormatting>
  <conditionalFormatting sqref="P35:W35 AC35">
    <cfRule type="expression" dxfId="103" priority="113" stopIfTrue="1">
      <formula>AND(ISNUMBER(O35),O35&gt;=$N33)</formula>
    </cfRule>
    <cfRule type="cellIs" dxfId="102" priority="114" stopIfTrue="1" operator="notBetween">
      <formula>0</formula>
      <formula>$N33</formula>
    </cfRule>
  </conditionalFormatting>
  <conditionalFormatting sqref="P33:W33 AC33">
    <cfRule type="expression" dxfId="101" priority="107" stopIfTrue="1">
      <formula>AND(ISNUMBER(O35),O35&gt;=$N33)</formula>
    </cfRule>
    <cfRule type="expression" dxfId="100" priority="108" stopIfTrue="1">
      <formula>$B35=FALSE</formula>
    </cfRule>
    <cfRule type="expression" dxfId="99" priority="109" stopIfTrue="1">
      <formula>$C35=1</formula>
    </cfRule>
  </conditionalFormatting>
  <conditionalFormatting sqref="L34:M35">
    <cfRule type="expression" dxfId="98" priority="5017" stopIfTrue="1">
      <formula>$C303=1</formula>
    </cfRule>
  </conditionalFormatting>
  <conditionalFormatting sqref="L36:N36 L39:N39 L42:N42 L45:N45 L48:N48 L51:N51 L54:N54 L57:N57 L60:N60 L63:N63 L66:N66 L69:N69 L72:N72 L75:N75 L78:N78 L81:N81 L84:N84 L87:N87 L37:M38 L40:M41 L43:M44 L46:M47 L49:M50 L52:M53 L55:M56 L58:M59 L61:M62 L64:M65 L67:M68 L70:M71 L73:M74 L76:M77 L79:M80 L82:M83 L85:M86">
    <cfRule type="expression" dxfId="97" priority="100" stopIfTrue="1">
      <formula>$C38=1</formula>
    </cfRule>
  </conditionalFormatting>
  <conditionalFormatting sqref="O36 O39 O42 O45 O48 O51 O54 O57 O60 O63 O66 O69 O72 O75 O78 O81 O84 O87">
    <cfRule type="expression" dxfId="96" priority="105" stopIfTrue="1">
      <formula>$B38=FALSE</formula>
    </cfRule>
    <cfRule type="expression" dxfId="95" priority="106" stopIfTrue="1">
      <formula>$C38=1</formula>
    </cfRule>
  </conditionalFormatting>
  <conditionalFormatting sqref="P37:W37 P40:W40 P43:W43 P46:W46 P49:W49 P52:W52 P55:W55 P58:W58 P61:W61 P64:W64 P67:W67 P70:W70 P73:W73 P76:W76 P79:W79 P82:W82 P85:W85 P88:W88 AC37 AC40 AC43 AC46 AC49 AC52 AC55 AC58 AC61 AC64 AC67 AC70 AC73 AC76 AC79 AC82 AC85 AC88">
    <cfRule type="expression" dxfId="94" priority="101" stopIfTrue="1">
      <formula>AND(ISNUMBER(O38),O38&gt;=$N36)</formula>
    </cfRule>
    <cfRule type="cellIs" dxfId="93" priority="102" stopIfTrue="1" operator="notBetween">
      <formula>0</formula>
      <formula>1</formula>
    </cfRule>
  </conditionalFormatting>
  <conditionalFormatting sqref="P38:W38 P41:W41 P44:W44 P47:W47 P50:W50 P53:W53 P56:W56 P59:W59 P62:W62 P65:W65 P68:W68 P71:W71 P74:W74 P77:W77 P80:W80 P83:W83 P86:W86 P89:W89 AC38 AC41 AC44 AC47 AC50 AC53 AC56 AC59 AC62 AC65 AC68 AC71 AC74 AC77 AC80 AC83 AC86 AC89">
    <cfRule type="expression" dxfId="92" priority="103" stopIfTrue="1">
      <formula>AND(ISNUMBER(O38),O38&gt;=$N36)</formula>
    </cfRule>
    <cfRule type="cellIs" dxfId="91" priority="104" stopIfTrue="1" operator="notBetween">
      <formula>0</formula>
      <formula>$N36</formula>
    </cfRule>
  </conditionalFormatting>
  <conditionalFormatting sqref="P36:W36 P39:W39 P42:W42 P45:W45 P48:W48 P51:W51 P54:W54 P57:W57 P60:W60 P63:W63 P66:W66 P69:W69 P72:W72 P75:W75 P78:W78 P81:W81 P84:W84 P87:W87 AC36 AC39 AC42 AC45 AC48 AC51 AC54 AC57 AC60 AC63 AC66 AC69 AC72 AC75 AC78 AC81 AC84 AC87">
    <cfRule type="expression" dxfId="90" priority="97" stopIfTrue="1">
      <formula>AND(ISNUMBER(O38),O38&gt;=$N36)</formula>
    </cfRule>
    <cfRule type="expression" dxfId="89" priority="98" stopIfTrue="1">
      <formula>$B38=FALSE</formula>
    </cfRule>
    <cfRule type="expression" dxfId="88" priority="99" stopIfTrue="1">
      <formula>$C38=1</formula>
    </cfRule>
  </conditionalFormatting>
  <conditionalFormatting sqref="L88:M89">
    <cfRule type="expression" dxfId="87" priority="5018" stopIfTrue="1">
      <formula>$C303=1</formula>
    </cfRule>
  </conditionalFormatting>
  <conditionalFormatting sqref="L90:N90 L93:N93 L96:N96 L99:N99 L102:N102 L105:N105 L108:N108 L111:N111 L114:N114 L117:N117 L120:N120 L123:N123 L126:N126 L129:N129 L132:N132 L135:N135 L138:N138 L141:N141 L144:N144 L147:N147 L150:N150 L153:N153 L156:N156 L159:N159 L162:N162 L165:N165 L168:N168 L171:N171 L174:N174 L177:N177 L180:N180 L183:N183 L186:N186 L189:N189 L192:N192 L195:N195 L198:N198 L201:N201 L204:N204 L207:N207 L210:N210 L213:N213 L216:N216 L219:N219 L222:N222 L225:N225 L228:N228 L231:N231 L234:N234 L237:N237 L91:M92 L94:M95 L97:M98 L100:M101 L103:M104 L106:M107 L109:M110 L112:M113 L115:M116 L118:M119 L121:M122 L124:M125 L127:M128 L130:M131 L133:M134 L136:M137 L139:M140 L142:M143 L145:M146 L148:M149 L151:M152 L154:M155 L157:M158 L160:M161 L163:M164 L166:M167 L169:M170 L172:M173 L175:M176 L178:M179 L181:M182 L184:M185 L187:M188 L190:M191 L193:M194 L196:M197 L199:M200 L202:M203 L205:M206 L208:M209 L211:M212 L214:M215 L217:M218 L220:M221 L223:M224 L226:M227 L229:M230 L232:M233 L235:M236">
    <cfRule type="expression" dxfId="86" priority="80" stopIfTrue="1">
      <formula>$C92=1</formula>
    </cfRule>
  </conditionalFormatting>
  <conditionalFormatting sqref="O90 O93 O96 O99 O102 O105 O108 O111 O114 O117 O120 O123 O126 O129 O132 O135 O138 O141 O144 O147 O150 O153 O156 O159 O162 O165 O168 O171 O174 O177 O180 O183 O186 O189 O192 O195 O198 O201 O204 O207 O210 O213 O216 O219 O222 O225 O228 O231 O234 O237">
    <cfRule type="expression" dxfId="85" priority="85" stopIfTrue="1">
      <formula>$B92=FALSE</formula>
    </cfRule>
    <cfRule type="expression" dxfId="84" priority="86" stopIfTrue="1">
      <formula>$C92=1</formula>
    </cfRule>
  </conditionalFormatting>
  <conditionalFormatting sqref="P91:W91 P94:W94 P97:W97 P100:W100 P103:W103 P106:W106 P109:W109 P112:W112 P115:W115 P118:W118 P121:W121 P124:W124 P127:W127 P130:W130 P133:W133 P136:W136 P139:W139 P142:W142 P145:W145 P148:W148 P151:W151 P154:W154 P157:W157 P160:W160 P163:W163 P166:W166 P169:W169 P172:W172 P175:W175 P178:W178 P181:W181 P184:W184 P187:W187 P190:W190 P193:W193 P196:W196 P199:W199 P202:W202 P205:W205 P208:W208 P211:W211 P214:W214 P217:W217 P220:W220 P223:W223 P226:W226 P229:W229 P232:W232 P235:W235 P238:W238 AC91 AC94 AC97 AC100 AC103 AC106 AC109 AC112 AC115 AC118 AC121 AC124 AC127 AC130 AC133 AC136 AC139 AC142 AC145 AC148 AC151 AC154 AC157 AC160 AC163 AC166 AC169 AC172 AC175 AC178 AC181 AC184 AC187 AC190 AC193 AC196 AC199 AC202 AC205 AC208 AC211 AC214 AC217 AC220 AC223 AC226 AC229 AC232 AC235 AC238">
    <cfRule type="expression" dxfId="83" priority="81" stopIfTrue="1">
      <formula>AND(ISNUMBER(O92),O92&gt;=$N90)</formula>
    </cfRule>
    <cfRule type="cellIs" dxfId="82" priority="82" stopIfTrue="1" operator="notBetween">
      <formula>0</formula>
      <formula>1</formula>
    </cfRule>
  </conditionalFormatting>
  <conditionalFormatting sqref="P92:W92 P95:W95 P98:W98 P101:W101 P104:W104 P107:W107 P110:W110 P113:W113 P116:W116 P119:W119 P122:W122 P125:W125 P128:W128 P131:W131 P134:W134 P137:W137 P140:W140 P143:W143 P146:W146 P149:W149 P152:W152 P155:W155 P158:W158 P161:W161 P164:W164 P167:W167 P170:W170 P173:W173 P176:W176 P179:W179 P182:W182 P185:W185 P188:W188 P191:W191 P194:W194 P197:W197 P200:W200 P203:W203 P206:W206 P209:W209 P212:W212 P215:W215 P218:W218 P221:W221 P224:W224 P227:W227 P230:W230 P233:W233 P236:W236 P239:W239 AC92 AC95 AC98 AC101 AC104 AC107 AC110 AC113 AC116 AC119 AC122 AC125 AC128 AC131 AC134 AC137 AC140 AC143 AC146 AC149 AC152 AC155 AC158 AC161 AC164 AC167 AC170 AC173 AC176 AC179 AC182 AC185 AC188 AC191 AC194 AC197 AC200 AC203 AC206 AC209 AC212 AC215 AC218 AC221 AC224 AC227 AC230 AC233 AC236 AC239">
    <cfRule type="expression" dxfId="81" priority="83" stopIfTrue="1">
      <formula>AND(ISNUMBER(O92),O92&gt;=$N90)</formula>
    </cfRule>
    <cfRule type="cellIs" dxfId="80" priority="84" stopIfTrue="1" operator="notBetween">
      <formula>0</formula>
      <formula>$N90</formula>
    </cfRule>
  </conditionalFormatting>
  <conditionalFormatting sqref="P90:W90 P93:W93 P96:W96 P99:W99 P102:W102 P105:W105 P108:W108 P111:W111 P114:W114 P117:W117 P120:W120 P123:W123 P126:W126 P129:W129 P132:W132 P135:W135 P138:W138 P141:W141 P144:W144 P147:W147 P150:W150 P153:W153 P162:W162 P171:W171 P186:W186 P204:W204 P225:W225 P234:W234 AC90 AC93 AC96 AC99 AC102 AC105 AC108 AC111 AC114 AC117 AC120 AC123 AC126 AC129 AC132 AC135 AC138 AC141 AC144 AC147 AC150 AC153 AC156 AC159 AC162 AC165 AC168 AC171 AC174 AC177 AC180 AC183 AC186 AC189 AC192 AC195 AC198 AC201 AC204 AC207 AC210 AC213 AC216 AC219 AC222 AC225 AC228 AC231 AC234 AC237 P156:W156 P159:W159 P165:W165 P168:W168 P174:W174 P177:W177 P180:W180 P183:W183 P189:W189 P192:W192 P195:W195 P198:W198 P201:W201 P207:W207 P210:W210 P213:W213 P216:W216 P219:W219 P222:W222 P228:W228 P231:W231 P237:W237">
    <cfRule type="expression" dxfId="79" priority="77" stopIfTrue="1">
      <formula>AND(ISNUMBER(O92),O92&gt;=$N90)</formula>
    </cfRule>
    <cfRule type="expression" dxfId="78" priority="78" stopIfTrue="1">
      <formula>$B92=FALSE</formula>
    </cfRule>
    <cfRule type="expression" dxfId="77" priority="79" stopIfTrue="1">
      <formula>$C92=1</formula>
    </cfRule>
  </conditionalFormatting>
  <conditionalFormatting sqref="L238:M239">
    <cfRule type="expression" dxfId="76" priority="6259" stopIfTrue="1">
      <formula>$C303=1</formula>
    </cfRule>
  </conditionalFormatting>
  <conditionalFormatting sqref="L240:N240 L243:N243 L246:N246 L249:N249 L252:N252 L255:N255 L258:N258 L261:N261 L264:N264 L267:N267 L270:N270 L273:N273 L276:N276 L279:N279 L282:N282 L285:N285 L288:N288 L291:N291 L294:N294 L297:N297 L300:N300 L241:M242 L244:M245 L247:M248 L250:M251 L253:M254 L256:M257 L259:M260 L262:M263 L265:M266 L268:M269 L271:M272 L274:M275 L277:M278 L280:M281 L283:M284 L286:M287 L289:M290 L292:M293 L295:M296 L298:M299 L301:M302">
    <cfRule type="expression" dxfId="75" priority="70" stopIfTrue="1">
      <formula>$C242=1</formula>
    </cfRule>
  </conditionalFormatting>
  <conditionalFormatting sqref="O240 O243 O246 O249 O252 O255 O258 O261 O264 O267 O270 O273 O276 O279 O282 O285 O288 O291 O294 O297 O300">
    <cfRule type="expression" dxfId="74" priority="75" stopIfTrue="1">
      <formula>$B242=FALSE</formula>
    </cfRule>
    <cfRule type="expression" dxfId="73" priority="76" stopIfTrue="1">
      <formula>$C242=1</formula>
    </cfRule>
  </conditionalFormatting>
  <conditionalFormatting sqref="P241:W241 P244:W244 P247:W247 P250:W250 P253:W253 P256:W256 P259:W259 P262:W262 P265:W265 P268:W268 P271:W271 P274:W274 P277:W277 P280:W280 P283:W283 P286:W286 P289:W289 P292:W292 P295:W295 P298:W298 P301:W301 AC241 AC244 AC247 AC250 AC253 AC256 AC259 AC262 AC265 AC268 AC271 AC274 AC277 AC280 AC283 AC286 AC289 AC292 AC295 AC298 AC301">
    <cfRule type="expression" dxfId="72" priority="71" stopIfTrue="1">
      <formula>AND(ISNUMBER(O242),O242&gt;=$N240)</formula>
    </cfRule>
    <cfRule type="cellIs" dxfId="71" priority="72" stopIfTrue="1" operator="notBetween">
      <formula>0</formula>
      <formula>1</formula>
    </cfRule>
  </conditionalFormatting>
  <conditionalFormatting sqref="P242:W242 P245:W245 P248:W248 P251:W251 P254:W254 P257:W257 P260:W260 P263:W263 P266:W266 P269:W269 P272:W272 P275:W275 P278:W278 P281:W281 P284:W284 P287:W287 P290:W290 P293:W293 P296:W296 P299:W299 P302:W302 AC242 AC245 AC248 AC251 AC254 AC257 AC260 AC263 AC266 AC269 AC272 AC275 AC278 AC281 AC284 AC287 AC290 AC293 AC296 AC299 AC302">
    <cfRule type="expression" dxfId="70" priority="73" stopIfTrue="1">
      <formula>AND(ISNUMBER(O242),O242&gt;=$N240)</formula>
    </cfRule>
    <cfRule type="cellIs" dxfId="69" priority="74" stopIfTrue="1" operator="notBetween">
      <formula>0</formula>
      <formula>$N240</formula>
    </cfRule>
  </conditionalFormatting>
  <conditionalFormatting sqref="P240:S240 P243:S243 P246:S246 P249:S249 P252:S252 P255:S255 P258:S258 P261:W261 P270 P273 P276 P279:Q279 P282:S282 P285:S285 P288:S288 P291:S291 P294:S294 P297 P300:S300 AC240 AC243 AC246 AC249 AC252 AC255 AC258 AC261 AC264 AC267 AC270 AC273 AC276 AC279 AC282 AC285 AC288 AC291 AC294 AC297 AC300 U270:W270 U273:W273 U276:W276 V279:W279 U297:W297">
    <cfRule type="expression" dxfId="68" priority="67" stopIfTrue="1">
      <formula>AND(ISNUMBER(O242),O242&gt;=$N240)</formula>
    </cfRule>
    <cfRule type="expression" dxfId="67" priority="68" stopIfTrue="1">
      <formula>$B242=FALSE</formula>
    </cfRule>
    <cfRule type="expression" dxfId="66" priority="69" stopIfTrue="1">
      <formula>$C242=1</formula>
    </cfRule>
  </conditionalFormatting>
  <conditionalFormatting sqref="T240:W240">
    <cfRule type="expression" dxfId="65" priority="64" stopIfTrue="1">
      <formula>AND(ISNUMBER(S242),S242&gt;=$N240)</formula>
    </cfRule>
    <cfRule type="expression" dxfId="64" priority="65" stopIfTrue="1">
      <formula>$B242=FALSE</formula>
    </cfRule>
    <cfRule type="expression" dxfId="63" priority="66" stopIfTrue="1">
      <formula>$C242=1</formula>
    </cfRule>
  </conditionalFormatting>
  <conditionalFormatting sqref="T243:W243">
    <cfRule type="expression" dxfId="62" priority="61" stopIfTrue="1">
      <formula>AND(ISNUMBER(S245),S245&gt;=$N243)</formula>
    </cfRule>
    <cfRule type="expression" dxfId="61" priority="62" stopIfTrue="1">
      <formula>$B245=FALSE</formula>
    </cfRule>
    <cfRule type="expression" dxfId="60" priority="63" stopIfTrue="1">
      <formula>$C245=1</formula>
    </cfRule>
  </conditionalFormatting>
  <conditionalFormatting sqref="T246:W246">
    <cfRule type="expression" dxfId="59" priority="58" stopIfTrue="1">
      <formula>AND(ISNUMBER(S248),S248&gt;=$N246)</formula>
    </cfRule>
    <cfRule type="expression" dxfId="58" priority="59" stopIfTrue="1">
      <formula>$B248=FALSE</formula>
    </cfRule>
    <cfRule type="expression" dxfId="57" priority="60" stopIfTrue="1">
      <formula>$C248=1</formula>
    </cfRule>
  </conditionalFormatting>
  <conditionalFormatting sqref="T249:W249">
    <cfRule type="expression" dxfId="56" priority="55" stopIfTrue="1">
      <formula>AND(ISNUMBER(S251),S251&gt;=$N249)</formula>
    </cfRule>
    <cfRule type="expression" dxfId="55" priority="56" stopIfTrue="1">
      <formula>$B251=FALSE</formula>
    </cfRule>
    <cfRule type="expression" dxfId="54" priority="57" stopIfTrue="1">
      <formula>$C251=1</formula>
    </cfRule>
  </conditionalFormatting>
  <conditionalFormatting sqref="T252:W252">
    <cfRule type="expression" dxfId="53" priority="52" stopIfTrue="1">
      <formula>AND(ISNUMBER(S254),S254&gt;=$N252)</formula>
    </cfRule>
    <cfRule type="expression" dxfId="52" priority="53" stopIfTrue="1">
      <formula>$B254=FALSE</formula>
    </cfRule>
    <cfRule type="expression" dxfId="51" priority="54" stopIfTrue="1">
      <formula>$C254=1</formula>
    </cfRule>
  </conditionalFormatting>
  <conditionalFormatting sqref="T255:W255">
    <cfRule type="expression" dxfId="50" priority="49" stopIfTrue="1">
      <formula>AND(ISNUMBER(S257),S257&gt;=$N255)</formula>
    </cfRule>
    <cfRule type="expression" dxfId="49" priority="50" stopIfTrue="1">
      <formula>$B257=FALSE</formula>
    </cfRule>
    <cfRule type="expression" dxfId="48" priority="51" stopIfTrue="1">
      <formula>$C257=1</formula>
    </cfRule>
  </conditionalFormatting>
  <conditionalFormatting sqref="T258:W258">
    <cfRule type="expression" dxfId="47" priority="46" stopIfTrue="1">
      <formula>AND(ISNUMBER(S260),S260&gt;=$N258)</formula>
    </cfRule>
    <cfRule type="expression" dxfId="46" priority="47" stopIfTrue="1">
      <formula>$B260=FALSE</formula>
    </cfRule>
    <cfRule type="expression" dxfId="45" priority="48" stopIfTrue="1">
      <formula>$C260=1</formula>
    </cfRule>
  </conditionalFormatting>
  <conditionalFormatting sqref="T264:W264">
    <cfRule type="expression" dxfId="44" priority="43" stopIfTrue="1">
      <formula>AND(ISNUMBER(S266),S266&gt;=$N264)</formula>
    </cfRule>
    <cfRule type="expression" dxfId="43" priority="44" stopIfTrue="1">
      <formula>$B266=FALSE</formula>
    </cfRule>
    <cfRule type="expression" dxfId="42" priority="45" stopIfTrue="1">
      <formula>$C266=1</formula>
    </cfRule>
  </conditionalFormatting>
  <conditionalFormatting sqref="T267:W267">
    <cfRule type="expression" dxfId="41" priority="40" stopIfTrue="1">
      <formula>AND(ISNUMBER(S269),S269&gt;=$N267)</formula>
    </cfRule>
    <cfRule type="expression" dxfId="40" priority="41" stopIfTrue="1">
      <formula>$B269=FALSE</formula>
    </cfRule>
    <cfRule type="expression" dxfId="39" priority="42" stopIfTrue="1">
      <formula>$C269=1</formula>
    </cfRule>
  </conditionalFormatting>
  <conditionalFormatting sqref="P264:S264">
    <cfRule type="expression" dxfId="38" priority="37" stopIfTrue="1">
      <formula>AND(ISNUMBER(O266),O266&gt;=$N264)</formula>
    </cfRule>
    <cfRule type="expression" dxfId="37" priority="38" stopIfTrue="1">
      <formula>$B266=FALSE</formula>
    </cfRule>
    <cfRule type="expression" dxfId="36" priority="39" stopIfTrue="1">
      <formula>$C266=1</formula>
    </cfRule>
  </conditionalFormatting>
  <conditionalFormatting sqref="P267:S267">
    <cfRule type="expression" dxfId="35" priority="34" stopIfTrue="1">
      <formula>AND(ISNUMBER(O269),O269&gt;=$N267)</formula>
    </cfRule>
    <cfRule type="expression" dxfId="34" priority="35" stopIfTrue="1">
      <formula>$B269=FALSE</formula>
    </cfRule>
    <cfRule type="expression" dxfId="33" priority="36" stopIfTrue="1">
      <formula>$C269=1</formula>
    </cfRule>
  </conditionalFormatting>
  <conditionalFormatting sqref="Q270:T270">
    <cfRule type="expression" dxfId="32" priority="31" stopIfTrue="1">
      <formula>AND(ISNUMBER(P272),P272&gt;=$N270)</formula>
    </cfRule>
    <cfRule type="expression" dxfId="31" priority="32" stopIfTrue="1">
      <formula>$B272=FALSE</formula>
    </cfRule>
    <cfRule type="expression" dxfId="30" priority="33" stopIfTrue="1">
      <formula>$C272=1</formula>
    </cfRule>
  </conditionalFormatting>
  <conditionalFormatting sqref="Q273:T273">
    <cfRule type="expression" dxfId="29" priority="28" stopIfTrue="1">
      <formula>AND(ISNUMBER(P275),P275&gt;=$N273)</formula>
    </cfRule>
    <cfRule type="expression" dxfId="28" priority="29" stopIfTrue="1">
      <formula>$B275=FALSE</formula>
    </cfRule>
    <cfRule type="expression" dxfId="27" priority="30" stopIfTrue="1">
      <formula>$C275=1</formula>
    </cfRule>
  </conditionalFormatting>
  <conditionalFormatting sqref="Q276:T276">
    <cfRule type="expression" dxfId="26" priority="25" stopIfTrue="1">
      <formula>AND(ISNUMBER(P278),P278&gt;=$N276)</formula>
    </cfRule>
    <cfRule type="expression" dxfId="25" priority="26" stopIfTrue="1">
      <formula>$B278=FALSE</formula>
    </cfRule>
    <cfRule type="expression" dxfId="24" priority="27" stopIfTrue="1">
      <formula>$C278=1</formula>
    </cfRule>
  </conditionalFormatting>
  <conditionalFormatting sqref="R279:U279">
    <cfRule type="expression" dxfId="23" priority="22" stopIfTrue="1">
      <formula>AND(ISNUMBER(Q281),Q281&gt;=$N279)</formula>
    </cfRule>
    <cfRule type="expression" dxfId="22" priority="23" stopIfTrue="1">
      <formula>$B281=FALSE</formula>
    </cfRule>
    <cfRule type="expression" dxfId="21" priority="24" stopIfTrue="1">
      <formula>$C281=1</formula>
    </cfRule>
  </conditionalFormatting>
  <conditionalFormatting sqref="T282:W282">
    <cfRule type="expression" dxfId="20" priority="19" stopIfTrue="1">
      <formula>AND(ISNUMBER(S284),S284&gt;=$N282)</formula>
    </cfRule>
    <cfRule type="expression" dxfId="19" priority="20" stopIfTrue="1">
      <formula>$B284=FALSE</formula>
    </cfRule>
    <cfRule type="expression" dxfId="18" priority="21" stopIfTrue="1">
      <formula>$C284=1</formula>
    </cfRule>
  </conditionalFormatting>
  <conditionalFormatting sqref="T285:W285">
    <cfRule type="expression" dxfId="17" priority="16" stopIfTrue="1">
      <formula>AND(ISNUMBER(S287),S287&gt;=$N285)</formula>
    </cfRule>
    <cfRule type="expression" dxfId="16" priority="17" stopIfTrue="1">
      <formula>$B287=FALSE</formula>
    </cfRule>
    <cfRule type="expression" dxfId="15" priority="18" stopIfTrue="1">
      <formula>$C287=1</formula>
    </cfRule>
  </conditionalFormatting>
  <conditionalFormatting sqref="T288:W288">
    <cfRule type="expression" dxfId="14" priority="13" stopIfTrue="1">
      <formula>AND(ISNUMBER(S290),S290&gt;=$N288)</formula>
    </cfRule>
    <cfRule type="expression" dxfId="13" priority="14" stopIfTrue="1">
      <formula>$B290=FALSE</formula>
    </cfRule>
    <cfRule type="expression" dxfId="12" priority="15" stopIfTrue="1">
      <formula>$C290=1</formula>
    </cfRule>
  </conditionalFormatting>
  <conditionalFormatting sqref="T291:W291">
    <cfRule type="expression" dxfId="11" priority="10" stopIfTrue="1">
      <formula>AND(ISNUMBER(S293),S293&gt;=$N291)</formula>
    </cfRule>
    <cfRule type="expression" dxfId="10" priority="11" stopIfTrue="1">
      <formula>$B293=FALSE</formula>
    </cfRule>
    <cfRule type="expression" dxfId="9" priority="12" stopIfTrue="1">
      <formula>$C293=1</formula>
    </cfRule>
  </conditionalFormatting>
  <conditionalFormatting sqref="T294:W294">
    <cfRule type="expression" dxfId="8" priority="7" stopIfTrue="1">
      <formula>AND(ISNUMBER(S296),S296&gt;=$N294)</formula>
    </cfRule>
    <cfRule type="expression" dxfId="7" priority="8" stopIfTrue="1">
      <formula>$B296=FALSE</formula>
    </cfRule>
    <cfRule type="expression" dxfId="6" priority="9" stopIfTrue="1">
      <formula>$C296=1</formula>
    </cfRule>
  </conditionalFormatting>
  <conditionalFormatting sqref="Q297:T297">
    <cfRule type="expression" dxfId="5" priority="4" stopIfTrue="1">
      <formula>AND(ISNUMBER(P299),P299&gt;=$N297)</formula>
    </cfRule>
    <cfRule type="expression" dxfId="4" priority="5" stopIfTrue="1">
      <formula>$B299=FALSE</formula>
    </cfRule>
    <cfRule type="expression" dxfId="3" priority="6" stopIfTrue="1">
      <formula>$C299=1</formula>
    </cfRule>
  </conditionalFormatting>
  <conditionalFormatting sqref="T300:W300">
    <cfRule type="expression" dxfId="2" priority="1" stopIfTrue="1">
      <formula>AND(ISNUMBER(S302),S302&gt;=$N300)</formula>
    </cfRule>
    <cfRule type="expression" dxfId="1" priority="2" stopIfTrue="1">
      <formula>$B302=FALSE</formula>
    </cfRule>
    <cfRule type="expression" dxfId="0" priority="3" stopIfTrue="1">
      <formula>$C302=1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8:W18 P21:W21 AC21 P11:W11 AC18 AC11 P24:W24 P27:W27 P30:W30 AC24 AC27 AC30 P33:W33 AC33 P36:W36 P39:W39 P42:W42 P45:W45 P48:W48 P51:W51 P54:W54 P57:W57 P60:W60 P63:W63 P66:W66 P69:W69 P72:W72 P75:W75 P78:W78 P81:W81 P84:W84 P87:W87 AC36 AC39 AC42 AC45 AC48 AC51 AC54 AC57 AC60 AC63 AC66 AC69 AC72 AC75 AC78 AC81 AC84 AC87 P90:W90 P93:W93 P96:W96 P99:W99 P102:W102 P105:W105 P108:W108 P111:W111 P114:W114 P117:W117 P120:W120 P123:W123 P126:W126 P129:W129 P132:W132 P135:W135 P138:W138 P141:W141 P144:W144 P147:W147 P150:W150 P153:W153 P156:W156 P159:W159 P162:W162 P165:W165 P168:W168 P171:W171 P174:W174 P177:W177 P180:W180 P183:W183 P186:W186 P189:W189 P192:W192 P195:W195 P198:W198 P201:W201 P204:W204 P207:W207 P210:W210 P213:W213 P216:W216 P219:W219 P222:W222 P225:W225 P228:W228 P231:W231 P234:W234 P237:W237 AC90 AC93 AC96 AC99 AC102 AC105 AC108 AC111 AC114 AC117 AC120 AC123 AC126 AC129 AC132 AC135 AC138 AC141 AC144 AC147 AC150 AC153 AC156 AC159 AC162 AC165 AC168 AC171 AC174 AC177 AC180 AC183 AC186 AC189 AC192 AC195 AC198 AC201 AC204 AC207 AC210 AC213 AC216 AC219 AC222 AC225 AC228 AC231 AC234 AC237 P240:W240 P243:W243 P246:W246 P249:W249 P252:W252 P255:W255 P258:W258 P261:W261 P264:W264 P267:W267 P270:W270 P273:W273 P276:W276 P279:W279 P282:W282 P285:W285 P288:W288 P291:W291 P294:W294 P297:W297 P300:W300 AC240 AC243 AC246 AC249 AC252 AC255 AC258 AC261 AC264 AC267 AC270 AC273 AC276 AC279 AC282 AC285 AC288 AC291 AC294 AC297 AC300">
      <formula1>0</formula1>
      <formula2>1-SUM($P11:P11)+P11</formula2>
    </dataValidation>
  </dataValidations>
  <printOptions horizontalCentered="1"/>
  <pageMargins left="0.7" right="0.7" top="0.75" bottom="0.75" header="0.3" footer="0.3"/>
  <pageSetup paperSize="9" scale="45"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59</vt:i4>
      </vt:variant>
    </vt:vector>
  </HeadingPairs>
  <TitlesOfParts>
    <vt:vector size="65"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2025-04-22T13:16:32Z</cp:lastPrinted>
  <dcterms:created xsi:type="dcterms:W3CDTF">1998-03-27T18:43:07Z</dcterms:created>
  <dcterms:modified xsi:type="dcterms:W3CDTF">2025-04-23T16:43:37Z</dcterms:modified>
</cp:coreProperties>
</file>